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BRIANCEAU - CD/"/>
    </mc:Choice>
  </mc:AlternateContent>
  <xr:revisionPtr revIDLastSave="0" documentId="14_{699DA181-E614-4942-B6F7-E366B8047AD2}" xr6:coauthVersionLast="47" xr6:coauthVersionMax="47" xr10:uidLastSave="{00000000-0000-0000-0000-000000000000}"/>
  <bookViews>
    <workbookView xWindow="9583" yWindow="0" windowWidth="9840" windowHeight="12257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X155" i="2"/>
  <c r="EY154" i="2"/>
  <c r="ED154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DI161" i="2"/>
  <c r="HH162" i="2"/>
  <c r="EC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D171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Y184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W192" i="2"/>
  <c r="HG192" i="2"/>
  <c r="EA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EY194" i="2"/>
  <c r="AA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EA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BC47" i="2" l="1" a="1"/>
  <c r="BC47" i="2" s="1"/>
  <c r="BC192" i="2" a="1"/>
  <c r="BC192" i="2" s="1"/>
  <c r="BC55" i="2" a="1"/>
  <c r="BC55" i="2" s="1"/>
  <c r="BC117" i="2" a="1"/>
  <c r="BC117" i="2" s="1"/>
  <c r="BC181" i="2" a="1"/>
  <c r="BC181" i="2" s="1"/>
  <c r="BC65" i="2" a="1"/>
  <c r="BC65" i="2" s="1"/>
  <c r="EI166" i="2" a="1"/>
  <c r="EI166" i="2" s="1"/>
  <c r="CS161" i="2" a="1"/>
  <c r="CS161" i="2" s="1"/>
  <c r="AH163" i="2" a="1"/>
  <c r="AH163" i="2" s="1"/>
  <c r="AH62" i="2" a="1"/>
  <c r="AH62" i="2" s="1"/>
  <c r="AH199" i="2" a="1"/>
  <c r="AH199" i="2" s="1"/>
  <c r="AH92" i="2" a="1"/>
  <c r="AH92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22" i="2" l="1"/>
  <c r="CD60" i="2"/>
  <c r="CD53" i="2"/>
  <c r="CD12" i="2"/>
  <c r="CD104" i="2"/>
  <c r="CD190" i="2"/>
  <c r="CD121" i="2"/>
  <c r="CD134" i="2"/>
  <c r="CD61" i="2"/>
  <c r="CD136" i="2"/>
  <c r="CD36" i="2"/>
  <c r="CD5" i="2"/>
  <c r="CD43" i="2"/>
  <c r="CD65" i="2"/>
  <c r="CD148" i="2"/>
  <c r="CD21" i="2"/>
  <c r="CD87" i="2"/>
  <c r="CD158" i="2"/>
  <c r="CD151" i="2"/>
  <c r="CD72" i="2"/>
  <c r="CD78" i="2"/>
  <c r="CD62" i="2"/>
  <c r="CD117" i="2"/>
  <c r="CD93" i="2"/>
  <c r="CD96" i="2"/>
  <c r="CD162" i="2"/>
  <c r="CD37" i="2"/>
  <c r="CD132" i="2"/>
  <c r="CD191" i="2"/>
  <c r="CD85" i="2"/>
  <c r="CD18" i="2"/>
  <c r="CD97" i="2"/>
  <c r="CD19" i="2"/>
  <c r="CD58" i="2"/>
  <c r="CD177" i="2"/>
  <c r="CD156" i="2"/>
  <c r="CD119" i="2"/>
  <c r="CD189" i="2"/>
  <c r="CD80" i="2"/>
  <c r="CD29" i="2"/>
  <c r="CD59" i="2"/>
  <c r="CD176" i="2"/>
  <c r="CD14" i="2"/>
  <c r="CD9" i="2"/>
  <c r="CD40" i="2"/>
  <c r="CD202" i="2"/>
  <c r="CD95" i="2"/>
  <c r="CD165" i="2"/>
  <c r="CD103" i="2"/>
  <c r="CD38" i="2"/>
  <c r="CD20" i="2"/>
  <c r="CD8" i="2"/>
  <c r="CD34" i="2"/>
  <c r="CD114" i="2"/>
  <c r="CD196" i="2"/>
  <c r="CD125" i="2"/>
  <c r="CD102" i="2"/>
  <c r="CD7" i="2"/>
  <c r="CD33" i="2"/>
  <c r="CD131" i="2"/>
  <c r="CD99" i="2"/>
  <c r="CD44" i="2"/>
  <c r="CD41" i="2"/>
  <c r="CD178" i="2"/>
  <c r="CD30" i="2"/>
  <c r="CD194" i="2"/>
  <c r="CD27" i="2"/>
  <c r="CD149" i="2"/>
  <c r="CD173" i="2"/>
  <c r="CD126" i="2"/>
  <c r="CD144" i="2"/>
  <c r="CD195" i="2"/>
  <c r="CD76" i="2"/>
  <c r="CD28" i="2"/>
  <c r="CD84" i="2"/>
  <c r="CD141" i="2"/>
  <c r="CD107" i="2"/>
  <c r="CD92" i="2"/>
  <c r="CD139" i="2"/>
  <c r="CD128" i="2"/>
  <c r="CD163" i="2"/>
  <c r="CD101" i="2"/>
  <c r="CD69" i="2"/>
  <c r="CD77" i="2"/>
  <c r="CD86" i="2"/>
  <c r="CD183" i="2"/>
  <c r="CD73" i="2"/>
  <c r="CD184" i="2"/>
  <c r="CD116" i="2"/>
  <c r="CD140" i="2"/>
  <c r="CD42" i="2"/>
  <c r="CD123" i="2"/>
  <c r="CD164" i="2"/>
  <c r="CD118" i="2"/>
  <c r="CD169" i="2"/>
  <c r="CD198" i="2"/>
  <c r="CD31" i="2"/>
  <c r="CD68" i="2"/>
  <c r="CD66" i="2"/>
  <c r="CD181" i="2"/>
  <c r="CD174" i="2"/>
  <c r="CD17" i="2"/>
  <c r="CD152" i="2"/>
  <c r="CD199" i="2"/>
  <c r="CD197" i="2"/>
  <c r="CD137" i="2"/>
  <c r="CD55" i="2"/>
  <c r="CD90" i="2"/>
  <c r="CD48" i="2"/>
  <c r="CD127" i="2"/>
  <c r="CD75" i="2"/>
  <c r="CD138" i="2"/>
  <c r="CD124" i="2"/>
  <c r="CD203" i="2"/>
  <c r="CD35" i="2"/>
  <c r="CD11" i="2"/>
  <c r="CD193" i="2"/>
  <c r="CD111" i="2"/>
  <c r="CD109" i="2"/>
  <c r="CD82" i="2"/>
  <c r="CD24" i="2"/>
  <c r="CD186" i="2"/>
  <c r="CD47" i="2"/>
  <c r="CD67" i="2"/>
  <c r="CD187" i="2"/>
  <c r="CD63" i="2"/>
  <c r="CD54" i="2"/>
  <c r="CD16" i="2"/>
  <c r="CD39" i="2"/>
  <c r="CD175" i="2"/>
  <c r="CD192" i="2"/>
  <c r="CD52" i="2"/>
  <c r="CD143" i="2"/>
  <c r="CD172" i="2"/>
  <c r="CD51" i="2"/>
  <c r="CD70" i="2"/>
  <c r="CD79" i="2"/>
  <c r="CD83" i="2"/>
  <c r="CD112" i="2"/>
  <c r="CD171" i="2"/>
  <c r="CD105" i="2"/>
  <c r="CD106" i="2"/>
  <c r="CD157" i="2"/>
  <c r="CD94" i="2"/>
  <c r="CD81" i="2"/>
  <c r="CD145" i="2"/>
  <c r="CD179" i="2"/>
  <c r="CD50" i="2"/>
  <c r="CD49" i="2"/>
  <c r="CD150" i="2"/>
  <c r="CD182" i="2"/>
  <c r="CD22" i="2"/>
  <c r="CD168" i="2"/>
  <c r="CD120" i="2"/>
  <c r="CD113" i="2"/>
  <c r="CD166" i="2"/>
  <c r="CD32" i="2"/>
  <c r="CD201" i="2"/>
  <c r="CD74" i="2"/>
  <c r="CD100" i="2"/>
  <c r="CD25" i="2"/>
  <c r="CD133" i="2"/>
  <c r="CD110" i="2"/>
  <c r="CD159" i="2"/>
  <c r="CD170" i="2"/>
  <c r="CD135" i="2"/>
  <c r="CD6" i="2"/>
  <c r="CD147" i="2"/>
  <c r="CD153" i="2"/>
  <c r="CD64" i="2"/>
  <c r="CD185" i="2"/>
  <c r="CD46" i="2"/>
  <c r="CD57" i="2"/>
  <c r="CD180" i="2"/>
  <c r="CD89" i="2"/>
  <c r="CD130" i="2"/>
  <c r="CD142" i="2"/>
  <c r="CD98" i="2"/>
  <c r="CD23" i="2"/>
  <c r="CD188" i="2"/>
  <c r="CD56" i="2"/>
  <c r="CD154" i="2"/>
  <c r="CD26" i="2"/>
  <c r="CD88" i="2"/>
  <c r="CD4" i="2"/>
  <c r="CD13" i="2"/>
  <c r="CD108" i="2"/>
  <c r="CD71" i="2"/>
  <c r="CD115" i="2"/>
  <c r="CD3" i="2"/>
  <c r="C9" i="4" s="1"/>
  <c r="E9" i="4" s="1"/>
  <c r="F9" i="4" s="1"/>
  <c r="G9" i="4" s="1"/>
  <c r="L9" i="4" s="1"/>
  <c r="CD91" i="2"/>
  <c r="CD167" i="2"/>
  <c r="CD45" i="2"/>
  <c r="CD129" i="2"/>
  <c r="CD15" i="2"/>
  <c r="CD10" i="2"/>
  <c r="CD160" i="2"/>
  <c r="CD200" i="2"/>
  <c r="CD155" i="2"/>
  <c r="CD146" i="2"/>
  <c r="CD161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32" i="2" l="1"/>
  <c r="AN4" i="2"/>
  <c r="AN56" i="2"/>
  <c r="AN181" i="2"/>
  <c r="AN106" i="2"/>
  <c r="AN54" i="2"/>
  <c r="AN87" i="2"/>
  <c r="AN178" i="2"/>
  <c r="AN12" i="2"/>
  <c r="AN5" i="2"/>
  <c r="AN8" i="2"/>
  <c r="AN42" i="2"/>
  <c r="AN95" i="2"/>
  <c r="AN75" i="2"/>
  <c r="AN139" i="2"/>
  <c r="AN182" i="2"/>
  <c r="AN187" i="2"/>
  <c r="AN80" i="2"/>
  <c r="AN141" i="2"/>
  <c r="AN18" i="2"/>
  <c r="AN52" i="2"/>
  <c r="AN162" i="2"/>
  <c r="AN199" i="2"/>
  <c r="AN60" i="2"/>
  <c r="AN66" i="2"/>
  <c r="AN59" i="2"/>
  <c r="AN100" i="2"/>
  <c r="AN186" i="2"/>
  <c r="AN157" i="2"/>
  <c r="AN40" i="2"/>
  <c r="AN203" i="2"/>
  <c r="AN118" i="2"/>
  <c r="AN171" i="2"/>
  <c r="AN103" i="2"/>
  <c r="AN116" i="2"/>
  <c r="AN126" i="2"/>
  <c r="AN149" i="2"/>
  <c r="AN24" i="2"/>
  <c r="AN20" i="2"/>
  <c r="AN79" i="2"/>
  <c r="AN194" i="2"/>
  <c r="AN105" i="2"/>
  <c r="AN156" i="2"/>
  <c r="AN94" i="2"/>
  <c r="AN132" i="2"/>
  <c r="AN165" i="2"/>
  <c r="AN69" i="2"/>
  <c r="AN176" i="2"/>
  <c r="AN159" i="2"/>
  <c r="AN91" i="2"/>
  <c r="AN155" i="2"/>
  <c r="AN134" i="2"/>
  <c r="AN200" i="2"/>
  <c r="AN68" i="2"/>
  <c r="AN49" i="2"/>
  <c r="AN21" i="2"/>
  <c r="AN28" i="2"/>
  <c r="AN133" i="2"/>
  <c r="AN97" i="2"/>
  <c r="AN6" i="2"/>
  <c r="AN25" i="2"/>
  <c r="AN113" i="2"/>
  <c r="AN120" i="2"/>
  <c r="AN185" i="2"/>
  <c r="AN135" i="2"/>
  <c r="AN131" i="2"/>
  <c r="AN110" i="2"/>
  <c r="AN63" i="2"/>
  <c r="AN119" i="2"/>
  <c r="AN76" i="2"/>
  <c r="AN39" i="2"/>
  <c r="AN81" i="2"/>
  <c r="AN7" i="2"/>
  <c r="AN170" i="2"/>
  <c r="AN43" i="2"/>
  <c r="AN96" i="2"/>
  <c r="AN146" i="2"/>
  <c r="AN152" i="2"/>
  <c r="AN167" i="2"/>
  <c r="AN30" i="2"/>
  <c r="AN73" i="2"/>
  <c r="AN61" i="2"/>
  <c r="AN27" i="2"/>
  <c r="AN88" i="2"/>
  <c r="AN136" i="2"/>
  <c r="AN84" i="2"/>
  <c r="AN53" i="2"/>
  <c r="AN85" i="2"/>
  <c r="AN35" i="2"/>
  <c r="AN29" i="2"/>
  <c r="AN99" i="2"/>
  <c r="AN140" i="2"/>
  <c r="AN70" i="2"/>
  <c r="AN147" i="2"/>
  <c r="AN142" i="2"/>
  <c r="AN71" i="2"/>
  <c r="AN101" i="2"/>
  <c r="AN143" i="2"/>
  <c r="AN202" i="2"/>
  <c r="AN151" i="2"/>
  <c r="AN67" i="2"/>
  <c r="AN150" i="2"/>
  <c r="AN166" i="2"/>
  <c r="AN122" i="2"/>
  <c r="AN3" i="2"/>
  <c r="C7" i="4" s="1"/>
  <c r="E7" i="4" s="1"/>
  <c r="F7" i="4" s="1"/>
  <c r="G7" i="4" s="1"/>
  <c r="L7" i="4" s="1"/>
  <c r="AN160" i="2"/>
  <c r="AN62" i="2"/>
  <c r="AN90" i="2"/>
  <c r="AN198" i="2"/>
  <c r="AN179" i="2"/>
  <c r="AN137" i="2"/>
  <c r="AN64" i="2"/>
  <c r="AN130" i="2"/>
  <c r="AN83" i="2"/>
  <c r="AN161" i="2"/>
  <c r="AN129" i="2"/>
  <c r="AN169" i="2"/>
  <c r="AN172" i="2"/>
  <c r="AN121" i="2"/>
  <c r="AN45" i="2"/>
  <c r="AN191" i="2"/>
  <c r="AN82" i="2"/>
  <c r="AN11" i="2"/>
  <c r="AN177" i="2"/>
  <c r="AN9" i="2"/>
  <c r="AN164" i="2"/>
  <c r="AN78" i="2"/>
  <c r="AN44" i="2"/>
  <c r="AN180" i="2"/>
  <c r="AN92" i="2"/>
  <c r="AN26" i="2"/>
  <c r="AN123" i="2"/>
  <c r="AN190" i="2"/>
  <c r="AN15" i="2"/>
  <c r="AN23" i="2"/>
  <c r="AN201" i="2"/>
  <c r="AN10" i="2"/>
  <c r="AN168" i="2"/>
  <c r="AN19" i="2"/>
  <c r="AN192" i="2"/>
  <c r="AN93" i="2"/>
  <c r="AN163" i="2"/>
  <c r="AN31" i="2"/>
  <c r="AN38" i="2"/>
  <c r="AN55" i="2"/>
  <c r="AN74" i="2"/>
  <c r="AN112" i="2"/>
  <c r="AN153" i="2"/>
  <c r="AN196" i="2"/>
  <c r="AN107" i="2"/>
  <c r="AN154" i="2"/>
  <c r="AN173" i="2"/>
  <c r="AN189" i="2"/>
  <c r="AN158" i="2"/>
  <c r="AN174" i="2"/>
  <c r="AN114" i="2"/>
  <c r="AN37" i="2"/>
  <c r="AN104" i="2"/>
  <c r="AN195" i="2"/>
  <c r="AN58" i="2"/>
  <c r="AN50" i="2"/>
  <c r="AN184" i="2"/>
  <c r="AN125" i="2"/>
  <c r="AN98" i="2"/>
  <c r="AN16" i="2"/>
  <c r="AN109" i="2"/>
  <c r="AN145" i="2"/>
  <c r="AN128" i="2"/>
  <c r="AN117" i="2"/>
  <c r="AN188" i="2"/>
  <c r="AN148" i="2"/>
  <c r="AN108" i="2"/>
  <c r="AN72" i="2"/>
  <c r="AN127" i="2"/>
  <c r="AN183" i="2"/>
  <c r="AN102" i="2"/>
  <c r="AN89" i="2"/>
  <c r="AN115" i="2"/>
  <c r="AN17" i="2"/>
  <c r="AN41" i="2"/>
  <c r="AN193" i="2"/>
  <c r="AN77" i="2"/>
  <c r="AN111" i="2"/>
  <c r="AN51" i="2"/>
  <c r="AN36" i="2"/>
  <c r="AN33" i="2"/>
  <c r="AN14" i="2"/>
  <c r="AN34" i="2"/>
  <c r="AN46" i="2"/>
  <c r="AN144" i="2"/>
  <c r="AN86" i="2"/>
  <c r="AN57" i="2"/>
  <c r="AN138" i="2"/>
  <c r="AN48" i="2"/>
  <c r="AN197" i="2"/>
  <c r="AN175" i="2"/>
  <c r="AN22" i="2"/>
  <c r="AN47" i="2"/>
  <c r="AN65" i="2"/>
  <c r="AN124" i="2"/>
  <c r="AN13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4" i="2" l="1"/>
  <c r="BI20" i="2"/>
  <c r="BI170" i="2"/>
  <c r="BI12" i="2"/>
  <c r="BI7" i="2"/>
  <c r="BI199" i="2"/>
  <c r="BI106" i="2"/>
  <c r="BI188" i="2"/>
  <c r="BI145" i="2"/>
  <c r="BI64" i="2"/>
  <c r="BI147" i="2"/>
  <c r="BI48" i="2"/>
  <c r="BI192" i="2"/>
  <c r="BI51" i="2"/>
  <c r="BI104" i="2"/>
  <c r="BI32" i="2"/>
  <c r="BI53" i="2"/>
  <c r="BI22" i="2"/>
  <c r="BI47" i="2"/>
  <c r="BI82" i="2"/>
  <c r="BI94" i="2"/>
  <c r="BI21" i="2"/>
  <c r="BI120" i="2"/>
  <c r="BI144" i="2"/>
  <c r="BI17" i="2"/>
  <c r="BI103" i="2"/>
  <c r="BI25" i="2"/>
  <c r="BI150" i="2"/>
  <c r="BI164" i="2"/>
  <c r="BI140" i="2"/>
  <c r="BI95" i="2"/>
  <c r="BI63" i="2"/>
  <c r="BI161" i="2"/>
  <c r="BI19" i="2"/>
  <c r="BI18" i="2"/>
  <c r="BI167" i="2"/>
  <c r="BI187" i="2"/>
  <c r="BI114" i="2"/>
  <c r="BI41" i="2"/>
  <c r="BI72" i="2"/>
  <c r="BI151" i="2"/>
  <c r="BI74" i="2"/>
  <c r="BI65" i="2"/>
  <c r="BI69" i="2"/>
  <c r="BI24" i="2"/>
  <c r="BI134" i="2"/>
  <c r="BI203" i="2"/>
  <c r="BI172" i="2"/>
  <c r="BI52" i="2"/>
  <c r="BI16" i="2"/>
  <c r="BI174" i="2"/>
  <c r="BI185" i="2"/>
  <c r="BI35" i="2"/>
  <c r="BI102" i="2"/>
  <c r="BI66" i="2"/>
  <c r="BI122" i="2"/>
  <c r="BI166" i="2"/>
  <c r="BI139" i="2"/>
  <c r="BI171" i="2"/>
  <c r="BI15" i="2"/>
  <c r="BI112" i="2"/>
  <c r="BI128" i="2"/>
  <c r="BI59" i="2"/>
  <c r="BI148" i="2"/>
  <c r="BI124" i="2"/>
  <c r="BI158" i="2"/>
  <c r="BI133" i="2"/>
  <c r="BI119" i="2"/>
  <c r="BI10" i="2"/>
  <c r="BI165" i="2"/>
  <c r="BI141" i="2"/>
  <c r="BI70" i="2"/>
  <c r="BI105" i="2"/>
  <c r="BI101" i="2"/>
  <c r="BI58" i="2"/>
  <c r="BI92" i="2"/>
  <c r="BI173" i="2"/>
  <c r="BI50" i="2"/>
  <c r="BI67" i="2"/>
  <c r="BI132" i="2"/>
  <c r="BI143" i="2"/>
  <c r="BI176" i="2"/>
  <c r="BI49" i="2"/>
  <c r="BI3" i="2"/>
  <c r="C8" i="4" s="1"/>
  <c r="E8" i="4" s="1"/>
  <c r="F8" i="4" s="1"/>
  <c r="G8" i="4" s="1"/>
  <c r="L8" i="4" s="1"/>
  <c r="BI138" i="2"/>
  <c r="BI73" i="2"/>
  <c r="BI202" i="2"/>
  <c r="BI39" i="2"/>
  <c r="BI14" i="2"/>
  <c r="BI62" i="2"/>
  <c r="BI75" i="2"/>
  <c r="BI9" i="2"/>
  <c r="BI196" i="2"/>
  <c r="BI193" i="2"/>
  <c r="BI135" i="2"/>
  <c r="BI37" i="2"/>
  <c r="BI45" i="2"/>
  <c r="BI79" i="2"/>
  <c r="BI197" i="2"/>
  <c r="BI155" i="2"/>
  <c r="BI175" i="2"/>
  <c r="BI5" i="2"/>
  <c r="BI182" i="2"/>
  <c r="BI54" i="2"/>
  <c r="BI153" i="2"/>
  <c r="BI31" i="2"/>
  <c r="BI99" i="2"/>
  <c r="BI89" i="2"/>
  <c r="BI23" i="2"/>
  <c r="BI157" i="2"/>
  <c r="BI87" i="2"/>
  <c r="BI118" i="2"/>
  <c r="BI107" i="2"/>
  <c r="BI113" i="2"/>
  <c r="BI34" i="2"/>
  <c r="BI40" i="2"/>
  <c r="BI27" i="2"/>
  <c r="BI6" i="2"/>
  <c r="BI28" i="2"/>
  <c r="BI29" i="2"/>
  <c r="BI109" i="2"/>
  <c r="BI121" i="2"/>
  <c r="BI162" i="2"/>
  <c r="BI116" i="2"/>
  <c r="BI13" i="2"/>
  <c r="BI68" i="2"/>
  <c r="BI26" i="2"/>
  <c r="BI81" i="2"/>
  <c r="BI163" i="2"/>
  <c r="BI88" i="2"/>
  <c r="BI86" i="2"/>
  <c r="BI100" i="2"/>
  <c r="BI4" i="2"/>
  <c r="BI186" i="2"/>
  <c r="BI60" i="2"/>
  <c r="BI61" i="2"/>
  <c r="BI160" i="2"/>
  <c r="BI90" i="2"/>
  <c r="BI177" i="2"/>
  <c r="BI201" i="2"/>
  <c r="BI85" i="2"/>
  <c r="BI130" i="2"/>
  <c r="BI97" i="2"/>
  <c r="BI46" i="2"/>
  <c r="BI33" i="2"/>
  <c r="BI191" i="2"/>
  <c r="BI142" i="2"/>
  <c r="BI117" i="2"/>
  <c r="BI178" i="2"/>
  <c r="BI200" i="2"/>
  <c r="BI169" i="2"/>
  <c r="BI110" i="2"/>
  <c r="BI195" i="2"/>
  <c r="BI8" i="2"/>
  <c r="BI57" i="2"/>
  <c r="BI152" i="2"/>
  <c r="BI184" i="2"/>
  <c r="BI149" i="2"/>
  <c r="BI159" i="2"/>
  <c r="BI136" i="2"/>
  <c r="BI126" i="2"/>
  <c r="BI156" i="2"/>
  <c r="BI98" i="2"/>
  <c r="BI198" i="2"/>
  <c r="BI38" i="2"/>
  <c r="BI127" i="2"/>
  <c r="BI190" i="2"/>
  <c r="BI131" i="2"/>
  <c r="BI80" i="2"/>
  <c r="BI56" i="2"/>
  <c r="BI91" i="2"/>
  <c r="BI55" i="2"/>
  <c r="BI83" i="2"/>
  <c r="BI77" i="2"/>
  <c r="BI183" i="2"/>
  <c r="BI181" i="2"/>
  <c r="BI180" i="2"/>
  <c r="BI44" i="2"/>
  <c r="BI71" i="2"/>
  <c r="BI108" i="2"/>
  <c r="BI137" i="2"/>
  <c r="BI129" i="2"/>
  <c r="BI168" i="2"/>
  <c r="BI194" i="2"/>
  <c r="BI125" i="2"/>
  <c r="BI115" i="2"/>
  <c r="BI84" i="2"/>
  <c r="BI11" i="2"/>
  <c r="BI76" i="2"/>
  <c r="BI96" i="2"/>
  <c r="BI179" i="2"/>
  <c r="BI189" i="2"/>
  <c r="BI123" i="2"/>
  <c r="BI146" i="2"/>
  <c r="BI93" i="2"/>
  <c r="BI30" i="2"/>
  <c r="BI43" i="2"/>
  <c r="BI42" i="2"/>
  <c r="BI111" i="2"/>
  <c r="BI36" i="2"/>
  <c r="BI7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<sst xmlns="http://schemas.openxmlformats.org/spreadsheetml/2006/main" count="1176" uniqueCount="324">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</sst>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2.1334285104713615</c:v>
                </c:pt>
                <c:pt idx="2">
                  <c:v>2.9353408895492845</c:v>
                </c:pt>
                <c:pt idx="3">
                  <c:v>4.039964437386435</c:v>
                </c:pt>
                <c:pt idx="4">
                  <c:v>5.56202642625703</c:v>
                </c:pt>
                <c:pt idx="5">
                  <c:v>7.6598976599795643</c:v>
                </c:pt>
                <c:pt idx="6">
                  <c:v>10.55225204441256</c:v>
                </c:pt>
                <c:pt idx="7">
                  <c:v>14.541105476202981</c:v>
                </c:pt>
                <c:pt idx="8">
                  <c:v>20.043683844100759</c:v>
                </c:pt>
                <c:pt idx="9">
                  <c:v>27.636513156144243</c:v>
                </c:pt>
                <c:pt idx="10">
                  <c:v>38.116432033448227</c:v>
                </c:pt>
                <c:pt idx="11">
                  <c:v>52.585038820898312</c:v>
                </c:pt>
                <c:pt idx="12">
                  <c:v>72.565597674284803</c:v>
                </c:pt>
                <c:pt idx="13">
                  <c:v>100.16491122227438</c:v>
                </c:pt>
                <c:pt idx="14">
                  <c:v>138.2974979090055</c:v>
                </c:pt>
                <c:pt idx="15">
                  <c:v>190.99611197319894</c:v>
                </c:pt>
                <c:pt idx="16">
                  <c:v>155.256978631686</c:v>
                </c:pt>
                <c:pt idx="17">
                  <c:v>185.00517186105367</c:v>
                </c:pt>
                <c:pt idx="18">
                  <c:v>214.64142025602294</c:v>
                </c:pt>
                <c:pt idx="19">
                  <c:v>244.18337108523338</c:v>
                </c:pt>
                <c:pt idx="20">
                  <c:v>273.64403918646246</c:v>
                </c:pt>
                <c:pt idx="21">
                  <c:v>233.89014607034687</c:v>
                </c:pt>
                <c:pt idx="22">
                  <c:v>265.06349566455668</c:v>
                </c:pt>
                <c:pt idx="23">
                  <c:v>296.15414676007953</c:v>
                </c:pt>
                <c:pt idx="24">
                  <c:v>327.17199695479388</c:v>
                </c:pt>
                <c:pt idx="25">
                  <c:v>358.12491265217704</c:v>
                </c:pt>
                <c:pt idx="26">
                  <c:v>389.01928929133305</c:v>
                </c:pt>
                <c:pt idx="27">
                  <c:v>349.30264839689653</c:v>
                </c:pt>
                <c:pt idx="28">
                  <c:v>381.18143660146501</c:v>
                </c:pt>
                <c:pt idx="29">
                  <c:v>413.00225010505613</c:v>
                </c:pt>
                <c:pt idx="30">
                  <c:v>444.77017787716136</c:v>
                </c:pt>
                <c:pt idx="31">
                  <c:v>476.48952312680632</c:v>
                </c:pt>
                <c:pt idx="32">
                  <c:v>508.16396992698787</c:v>
                </c:pt>
                <c:pt idx="33">
                  <c:v>436.83767056079637</c:v>
                </c:pt>
                <c:pt idx="34">
                  <c:v>466.44941609934472</c:v>
                </c:pt>
                <c:pt idx="35">
                  <c:v>496.0211046581191</c:v>
                </c:pt>
                <c:pt idx="36">
                  <c:v>525.55545685100537</c:v>
                </c:pt>
                <c:pt idx="37">
                  <c:v>555.0548629154506</c:v>
                </c:pt>
                <c:pt idx="38">
                  <c:v>584.52143860798708</c:v>
                </c:pt>
                <c:pt idx="39">
                  <c:v>613.95706924671242</c:v>
                </c:pt>
                <c:pt idx="40">
                  <c:v>643.36344487291547</c:v>
                </c:pt>
                <c:pt idx="41">
                  <c:v>520.78320077784304</c:v>
                </c:pt>
                <c:pt idx="42">
                  <c:v>545.51100151163848</c:v>
                </c:pt>
                <c:pt idx="43">
                  <c:v>570.21528899315069</c:v>
                </c:pt>
                <c:pt idx="44">
                  <c:v>594.89722403219321</c:v>
                </c:pt>
                <c:pt idx="45">
                  <c:v>619.55786337057941</c:v>
                </c:pt>
                <c:pt idx="46">
                  <c:v>644.19817286540308</c:v>
                </c:pt>
                <c:pt idx="47">
                  <c:v>668.81903855203529</c:v>
                </c:pt>
                <c:pt idx="48">
                  <c:v>693.4212759948449</c:v>
                </c:pt>
                <c:pt idx="49">
                  <c:v>580.12446097271857</c:v>
                </c:pt>
                <c:pt idx="50">
                  <c:v>600.8029190934418</c:v>
                </c:pt>
                <c:pt idx="51">
                  <c:v>621.46659067212056</c:v>
                </c:pt>
                <c:pt idx="52">
                  <c:v>642.11603608146129</c:v>
                </c:pt>
                <c:pt idx="53">
                  <c:v>662.75177675014834</c:v>
                </c:pt>
                <c:pt idx="54">
                  <c:v>683.37429902203985</c:v>
                </c:pt>
                <c:pt idx="55">
                  <c:v>703.9840575257158</c:v>
                </c:pt>
                <c:pt idx="56">
                  <c:v>724.58147812929258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3.4410738171973398</c:v>
                </c:pt>
                <c:pt idx="2">
                  <c:v>4.4608209455466667</c:v>
                </c:pt>
                <c:pt idx="3">
                  <c:v>5.7839593618286251</c:v>
                </c:pt>
                <c:pt idx="4">
                  <c:v>7.5010867058128019</c:v>
                </c:pt>
                <c:pt idx="5">
                  <c:v>9.7299475504541739</c:v>
                </c:pt>
                <c:pt idx="6">
                  <c:v>12.62359359108882</c:v>
                </c:pt>
                <c:pt idx="7">
                  <c:v>16.381003870746099</c:v>
                </c:pt>
                <c:pt idx="8">
                  <c:v>21.260908631465579</c:v>
                </c:pt>
                <c:pt idx="9">
                  <c:v>27.599785685746742</c:v>
                </c:pt>
                <c:pt idx="10">
                  <c:v>35.835291920925037</c:v>
                </c:pt>
                <c:pt idx="11">
                  <c:v>46.985024019618947</c:v>
                </c:pt>
                <c:pt idx="12">
                  <c:v>58.063766046335616</c:v>
                </c:pt>
                <c:pt idx="13">
                  <c:v>69.087081703584502</c:v>
                </c:pt>
                <c:pt idx="14">
                  <c:v>80.065105012179131</c:v>
                </c:pt>
                <c:pt idx="15">
                  <c:v>91.004942333925854</c:v>
                </c:pt>
                <c:pt idx="16">
                  <c:v>105.14870185419373</c:v>
                </c:pt>
                <c:pt idx="17">
                  <c:v>119.24545723284972</c:v>
                </c:pt>
                <c:pt idx="18">
                  <c:v>133.30155764202001</c:v>
                </c:pt>
                <c:pt idx="19">
                  <c:v>147.32189924742238</c:v>
                </c:pt>
                <c:pt idx="20">
                  <c:v>161.31036772442937</c:v>
                </c:pt>
                <c:pt idx="21">
                  <c:v>114.84485279709075</c:v>
                </c:pt>
                <c:pt idx="22">
                  <c:v>128.32767279839109</c:v>
                </c:pt>
                <c:pt idx="23">
                  <c:v>141.77618935167845</c:v>
                </c:pt>
                <c:pt idx="24">
                  <c:v>155.19411815315803</c:v>
                </c:pt>
                <c:pt idx="25">
                  <c:v>168.58447853302872</c:v>
                </c:pt>
                <c:pt idx="26">
                  <c:v>148.19707636008866</c:v>
                </c:pt>
                <c:pt idx="27">
                  <c:v>161.31036772442937</c:v>
                </c:pt>
                <c:pt idx="28">
                  <c:v>174.3984236178724</c:v>
                </c:pt>
                <c:pt idx="29">
                  <c:v>187.46340594209792</c:v>
                </c:pt>
                <c:pt idx="30">
                  <c:v>200.50715025518221</c:v>
                </c:pt>
                <c:pt idx="31">
                  <c:v>177.88459399640385</c:v>
                </c:pt>
                <c:pt idx="32">
                  <c:v>190.07380002073521</c:v>
                </c:pt>
                <c:pt idx="33">
                  <c:v>202.24479885360915</c:v>
                </c:pt>
                <c:pt idx="34">
                  <c:v>214.39884125727303</c:v>
                </c:pt>
                <c:pt idx="35">
                  <c:v>226.5370244687019</c:v>
                </c:pt>
                <c:pt idx="36">
                  <c:v>203.11349326743414</c:v>
                </c:pt>
                <c:pt idx="37">
                  <c:v>214.39884125727303</c:v>
                </c:pt>
                <c:pt idx="38">
                  <c:v>225.67051599369438</c:v>
                </c:pt>
                <c:pt idx="39">
                  <c:v>236.92929712202124</c:v>
                </c:pt>
                <c:pt idx="40">
                  <c:v>248.17588407773692</c:v>
                </c:pt>
                <c:pt idx="41">
                  <c:v>225.09280133418588</c:v>
                </c:pt>
                <c:pt idx="42">
                  <c:v>235.19798731677477</c:v>
                </c:pt>
                <c:pt idx="43">
                  <c:v>245.29327027921784</c:v>
                </c:pt>
                <c:pt idx="44">
                  <c:v>255.37911556611809</c:v>
                </c:pt>
                <c:pt idx="45">
                  <c:v>265.45594873287132</c:v>
                </c:pt>
                <c:pt idx="46">
                  <c:v>243.2749829854902</c:v>
                </c:pt>
                <c:pt idx="47">
                  <c:v>252.78648962904825</c:v>
                </c:pt>
                <c:pt idx="48">
                  <c:v>262.28989082672678</c:v>
                </c:pt>
                <c:pt idx="49">
                  <c:v>271.78552190976148</c:v>
                </c:pt>
                <c:pt idx="50">
                  <c:v>281.27369284448542</c:v>
                </c:pt>
                <c:pt idx="51">
                  <c:v>259.98676180657628</c:v>
                </c:pt>
                <c:pt idx="52">
                  <c:v>268.90885950185276</c:v>
                </c:pt>
                <c:pt idx="53">
                  <c:v>277.8242934335666</c:v>
                </c:pt>
                <c:pt idx="54">
                  <c:v>286.7333077859592</c:v>
                </c:pt>
                <c:pt idx="55">
                  <c:v>295.63613031709275</c:v>
                </c:pt>
                <c:pt idx="56">
                  <c:v>274.3739322618332</c:v>
                </c:pt>
                <c:pt idx="57">
                  <c:v>281.8485001937197</c:v>
                </c:pt>
                <c:pt idx="58">
                  <c:v>289.31862636311035</c:v>
                </c:pt>
                <c:pt idx="59">
                  <c:v>296.78444175729186</c:v>
                </c:pt>
                <c:pt idx="60">
                  <c:v>304.24607022840337</c:v>
                </c:pt>
                <c:pt idx="61">
                  <c:v>285.58411013783456</c:v>
                </c:pt>
                <c:pt idx="62">
                  <c:v>292.76491531563642</c:v>
                </c:pt>
                <c:pt idx="63">
                  <c:v>299.94178861650374</c:v>
                </c:pt>
                <c:pt idx="64">
                  <c:v>307.11483749581919</c:v>
                </c:pt>
                <c:pt idx="65">
                  <c:v>314.28416397433648</c:v>
                </c:pt>
                <c:pt idx="66">
                  <c:v>296.49737320370497</c:v>
                </c:pt>
                <c:pt idx="67">
                  <c:v>303.09839513833816</c:v>
                </c:pt>
                <c:pt idx="68">
                  <c:v>309.69621867977315</c:v>
                </c:pt>
                <c:pt idx="69">
                  <c:v>316.29092165981257</c:v>
                </c:pt>
                <c:pt idx="70">
                  <c:v>322.88257839605922</c:v>
                </c:pt>
                <c:pt idx="71">
                  <c:v>305.39364900712422</c:v>
                </c:pt>
                <c:pt idx="72">
                  <c:v>310.84334557443191</c:v>
                </c:pt>
                <c:pt idx="73">
                  <c:v>316.29092165981257</c:v>
                </c:pt>
                <c:pt idx="74">
                  <c:v>321.73641898783791</c:v>
                </c:pt>
                <c:pt idx="75">
                  <c:v>327.17987775354368</c:v>
                </c:pt>
                <c:pt idx="76">
                  <c:v>312.27712208414272</c:v>
                </c:pt>
                <c:pt idx="77">
                  <c:v>317.43751352960959</c:v>
                </c:pt>
                <c:pt idx="78">
                  <c:v>322.59604699390326</c:v>
                </c:pt>
                <c:pt idx="79">
                  <c:v>327.7527564208786</c:v>
                </c:pt>
                <c:pt idx="80">
                  <c:v>332.90767459767238</c:v>
                </c:pt>
                <c:pt idx="81">
                  <c:v>318.87062439138862</c:v>
                </c:pt>
                <c:pt idx="82">
                  <c:v>323.45562433486742</c:v>
                </c:pt>
                <c:pt idx="83">
                  <c:v>328.0391874593783</c:v>
                </c:pt>
                <c:pt idx="84">
                  <c:v>332.62133670359054</c:v>
                </c:pt>
                <c:pt idx="85">
                  <c:v>337.20209432169565</c:v>
                </c:pt>
                <c:pt idx="86">
                  <c:v>324.31515116468773</c:v>
                </c:pt>
                <c:pt idx="87">
                  <c:v>328.61203297364347</c:v>
                </c:pt>
                <c:pt idx="88">
                  <c:v>332.90767459767216</c:v>
                </c:pt>
                <c:pt idx="89">
                  <c:v>337.20209432169548</c:v>
                </c:pt>
                <c:pt idx="90">
                  <c:v>341.49530992621681</c:v>
                </c:pt>
                <c:pt idx="91">
                  <c:v>329.75765790514163</c:v>
                </c:pt>
                <c:pt idx="92">
                  <c:v>333.76665571836884</c:v>
                </c:pt>
                <c:pt idx="93">
                  <c:v>337.7745922579382</c:v>
                </c:pt>
                <c:pt idx="94">
                  <c:v>341.78148191306553</c:v>
                </c:pt>
                <c:pt idx="95">
                  <c:v>345.78733870754724</c:v>
                </c:pt>
                <c:pt idx="96">
                  <c:v>334.33928271745089</c:v>
                </c:pt>
                <c:pt idx="97">
                  <c:v>338.63329911701209</c:v>
                </c:pt>
                <c:pt idx="98">
                  <c:v>342.92611721533939</c:v>
                </c:pt>
                <c:pt idx="99">
                  <c:v>347.21775415165695</c:v>
                </c:pt>
                <c:pt idx="100">
                  <c:v>351.50822660633276</c:v>
                </c:pt>
                <c:pt idx="101">
                  <c:v>2.5184749408430782E-12</c:v>
                </c:pt>
                <c:pt idx="102">
                  <c:v>2.5184749408430782E-12</c:v>
                </c:pt>
                <c:pt idx="103">
                  <c:v>2.5184749408430782E-12</c:v>
                </c:pt>
                <c:pt idx="104">
                  <c:v>2.5184749408430782E-12</c:v>
                </c:pt>
                <c:pt idx="105">
                  <c:v>2.5184749408430782E-12</c:v>
                </c:pt>
                <c:pt idx="106">
                  <c:v>2.5184749408430782E-12</c:v>
                </c:pt>
                <c:pt idx="107">
                  <c:v>2.5184749408430782E-12</c:v>
                </c:pt>
                <c:pt idx="108">
                  <c:v>2.5184749408430782E-12</c:v>
                </c:pt>
                <c:pt idx="109">
                  <c:v>2.5184749408430782E-12</c:v>
                </c:pt>
                <c:pt idx="110">
                  <c:v>2.5184749408430782E-12</c:v>
                </c:pt>
                <c:pt idx="111">
                  <c:v>2.5184749408430782E-12</c:v>
                </c:pt>
                <c:pt idx="112">
                  <c:v>2.5184749408430782E-12</c:v>
                </c:pt>
                <c:pt idx="113">
                  <c:v>2.5184749408430782E-12</c:v>
                </c:pt>
                <c:pt idx="114">
                  <c:v>2.5184749408430782E-12</c:v>
                </c:pt>
                <c:pt idx="115">
                  <c:v>2.5184749408430782E-12</c:v>
                </c:pt>
                <c:pt idx="116">
                  <c:v>2.5184749408430782E-12</c:v>
                </c:pt>
                <c:pt idx="117">
                  <c:v>2.5184749408430782E-12</c:v>
                </c:pt>
                <c:pt idx="118">
                  <c:v>2.5184749408430782E-12</c:v>
                </c:pt>
                <c:pt idx="119">
                  <c:v>2.5184749408430782E-12</c:v>
                </c:pt>
                <c:pt idx="120">
                  <c:v>2.5184749408430782E-12</c:v>
                </c:pt>
                <c:pt idx="121">
                  <c:v>2.5184749408430782E-12</c:v>
                </c:pt>
                <c:pt idx="122">
                  <c:v>2.5184749408430782E-12</c:v>
                </c:pt>
                <c:pt idx="123">
                  <c:v>2.5184749408430782E-12</c:v>
                </c:pt>
                <c:pt idx="124">
                  <c:v>2.5184749408430782E-12</c:v>
                </c:pt>
                <c:pt idx="125">
                  <c:v>2.5184749408430782E-12</c:v>
                </c:pt>
                <c:pt idx="126">
                  <c:v>2.5184749408430782E-12</c:v>
                </c:pt>
                <c:pt idx="127">
                  <c:v>2.5184749408430782E-12</c:v>
                </c:pt>
                <c:pt idx="128">
                  <c:v>2.5184749408430782E-12</c:v>
                </c:pt>
                <c:pt idx="129">
                  <c:v>2.5184749408430782E-12</c:v>
                </c:pt>
                <c:pt idx="130">
                  <c:v>2.5184749408430782E-12</c:v>
                </c:pt>
                <c:pt idx="131">
                  <c:v>2.5184749408430782E-12</c:v>
                </c:pt>
                <c:pt idx="132">
                  <c:v>2.5184749408430782E-12</c:v>
                </c:pt>
                <c:pt idx="133">
                  <c:v>2.5184749408430782E-12</c:v>
                </c:pt>
                <c:pt idx="134">
                  <c:v>2.5184749408430782E-12</c:v>
                </c:pt>
                <c:pt idx="135">
                  <c:v>2.5184749408430782E-12</c:v>
                </c:pt>
                <c:pt idx="136">
                  <c:v>2.5184749408430782E-12</c:v>
                </c:pt>
                <c:pt idx="137">
                  <c:v>2.5184749408430782E-12</c:v>
                </c:pt>
                <c:pt idx="138">
                  <c:v>2.5184749408430782E-12</c:v>
                </c:pt>
                <c:pt idx="139">
                  <c:v>2.5184749408430782E-12</c:v>
                </c:pt>
                <c:pt idx="140">
                  <c:v>2.5184749408430782E-12</c:v>
                </c:pt>
                <c:pt idx="141">
                  <c:v>2.5184749408430782E-12</c:v>
                </c:pt>
                <c:pt idx="142">
                  <c:v>2.5184749408430782E-12</c:v>
                </c:pt>
                <c:pt idx="143">
                  <c:v>2.5184749408430782E-12</c:v>
                </c:pt>
                <c:pt idx="144">
                  <c:v>2.5184749408430782E-12</c:v>
                </c:pt>
                <c:pt idx="145">
                  <c:v>2.5184749408430782E-12</c:v>
                </c:pt>
                <c:pt idx="146">
                  <c:v>2.5184749408430782E-12</c:v>
                </c:pt>
                <c:pt idx="147">
                  <c:v>2.5184749408430782E-12</c:v>
                </c:pt>
                <c:pt idx="148">
                  <c:v>2.5184749408430782E-12</c:v>
                </c:pt>
                <c:pt idx="149">
                  <c:v>2.5184749408430782E-12</c:v>
                </c:pt>
                <c:pt idx="150">
                  <c:v>2.5184749408430782E-12</c:v>
                </c:pt>
                <c:pt idx="151">
                  <c:v>2.5184749408430782E-12</c:v>
                </c:pt>
                <c:pt idx="152">
                  <c:v>2.5184749408430782E-12</c:v>
                </c:pt>
                <c:pt idx="153">
                  <c:v>2.5184749408430782E-12</c:v>
                </c:pt>
                <c:pt idx="154">
                  <c:v>2.5184749408430782E-12</c:v>
                </c:pt>
                <c:pt idx="155">
                  <c:v>2.5184749408430782E-12</c:v>
                </c:pt>
                <c:pt idx="156">
                  <c:v>2.5184749408430782E-12</c:v>
                </c:pt>
                <c:pt idx="157">
                  <c:v>2.5184749408430782E-12</c:v>
                </c:pt>
                <c:pt idx="158">
                  <c:v>2.5184749408430782E-12</c:v>
                </c:pt>
                <c:pt idx="159">
                  <c:v>2.5184749408430782E-12</c:v>
                </c:pt>
                <c:pt idx="160">
                  <c:v>2.5184749408430782E-12</c:v>
                </c:pt>
                <c:pt idx="161">
                  <c:v>2.5184749408430782E-12</c:v>
                </c:pt>
                <c:pt idx="162">
                  <c:v>2.5184749408430782E-12</c:v>
                </c:pt>
                <c:pt idx="163">
                  <c:v>2.5184749408430782E-12</c:v>
                </c:pt>
                <c:pt idx="164">
                  <c:v>2.5184749408430782E-12</c:v>
                </c:pt>
                <c:pt idx="165">
                  <c:v>2.5184749408430782E-12</c:v>
                </c:pt>
                <c:pt idx="166">
                  <c:v>2.5184749408430782E-12</c:v>
                </c:pt>
                <c:pt idx="167">
                  <c:v>2.5184749408430782E-12</c:v>
                </c:pt>
                <c:pt idx="168">
                  <c:v>2.5184749408430782E-12</c:v>
                </c:pt>
                <c:pt idx="169">
                  <c:v>2.5184749408430782E-12</c:v>
                </c:pt>
                <c:pt idx="170">
                  <c:v>2.5184749408430782E-12</c:v>
                </c:pt>
                <c:pt idx="171">
                  <c:v>2.5184749408430782E-12</c:v>
                </c:pt>
                <c:pt idx="172">
                  <c:v>2.5184749408430782E-12</c:v>
                </c:pt>
                <c:pt idx="173">
                  <c:v>2.5184749408430782E-12</c:v>
                </c:pt>
                <c:pt idx="174">
                  <c:v>2.5184749408430782E-12</c:v>
                </c:pt>
                <c:pt idx="175">
                  <c:v>2.5184749408430782E-12</c:v>
                </c:pt>
                <c:pt idx="176">
                  <c:v>2.5184749408430782E-12</c:v>
                </c:pt>
                <c:pt idx="177">
                  <c:v>2.5184749408430782E-12</c:v>
                </c:pt>
                <c:pt idx="178">
                  <c:v>2.5184749408430782E-12</c:v>
                </c:pt>
                <c:pt idx="179">
                  <c:v>2.5184749408430782E-12</c:v>
                </c:pt>
                <c:pt idx="180">
                  <c:v>2.5184749408430782E-12</c:v>
                </c:pt>
                <c:pt idx="181">
                  <c:v>2.5184749408430782E-12</c:v>
                </c:pt>
                <c:pt idx="182">
                  <c:v>2.5184749408430782E-12</c:v>
                </c:pt>
                <c:pt idx="183">
                  <c:v>2.5184749408430782E-12</c:v>
                </c:pt>
                <c:pt idx="184">
                  <c:v>2.5184749408430782E-12</c:v>
                </c:pt>
                <c:pt idx="185">
                  <c:v>2.5184749408430782E-12</c:v>
                </c:pt>
                <c:pt idx="186">
                  <c:v>2.5184749408430782E-12</c:v>
                </c:pt>
                <c:pt idx="187">
                  <c:v>2.5184749408430782E-12</c:v>
                </c:pt>
                <c:pt idx="188">
                  <c:v>2.5184749408430782E-12</c:v>
                </c:pt>
                <c:pt idx="189">
                  <c:v>2.5184749408430782E-12</c:v>
                </c:pt>
                <c:pt idx="190">
                  <c:v>2.5184749408430782E-12</c:v>
                </c:pt>
                <c:pt idx="191">
                  <c:v>2.5184749408430782E-12</c:v>
                </c:pt>
                <c:pt idx="192">
                  <c:v>2.5184749408430782E-12</c:v>
                </c:pt>
                <c:pt idx="193">
                  <c:v>2.5184749408430782E-12</c:v>
                </c:pt>
                <c:pt idx="194">
                  <c:v>2.5184749408430782E-12</c:v>
                </c:pt>
                <c:pt idx="195">
                  <c:v>2.5184749408430782E-12</c:v>
                </c:pt>
                <c:pt idx="196">
                  <c:v>2.5184749408430782E-12</c:v>
                </c:pt>
                <c:pt idx="197">
                  <c:v>2.5184749408430782E-12</c:v>
                </c:pt>
                <c:pt idx="198">
                  <c:v>2.5184749408430782E-12</c:v>
                </c:pt>
                <c:pt idx="199">
                  <c:v>2.5184749408430782E-12</c:v>
                </c:pt>
                <c:pt idx="200">
                  <c:v>2.5184749408430782E-12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2.6737980304323585</c:v>
                </c:pt>
                <c:pt idx="2">
                  <c:v>3.0943090739629628</c:v>
                </c:pt>
                <c:pt idx="3">
                  <c:v>3.5811929339565567</c:v>
                </c:pt>
                <c:pt idx="4">
                  <c:v>4.1449613785168511</c:v>
                </c:pt>
                <c:pt idx="5">
                  <c:v>4.7977962608357618</c:v>
                </c:pt>
                <c:pt idx="6">
                  <c:v>5.5538156415632898</c:v>
                </c:pt>
                <c:pt idx="7">
                  <c:v>6.4293824324905131</c:v>
                </c:pt>
                <c:pt idx="8">
                  <c:v>7.4434623726649827</c:v>
                </c:pt>
                <c:pt idx="9">
                  <c:v>8.6180392415700524</c:v>
                </c:pt>
                <c:pt idx="10">
                  <c:v>9.9785964834391248</c:v>
                </c:pt>
                <c:pt idx="11">
                  <c:v>11.554675890499484</c:v>
                </c:pt>
                <c:pt idx="12">
                  <c:v>13.38052570388389</c:v>
                </c:pt>
                <c:pt idx="13">
                  <c:v>15.495852477366185</c:v>
                </c:pt>
                <c:pt idx="14">
                  <c:v>17.946693355403458</c:v>
                </c:pt>
                <c:pt idx="15">
                  <c:v>20.786428094814809</c:v>
                </c:pt>
                <c:pt idx="16">
                  <c:v>24.076953268748301</c:v>
                </c:pt>
                <c:pt idx="17">
                  <c:v>27.890044702026973</c:v>
                </c:pt>
                <c:pt idx="18">
                  <c:v>32.30893837942314</c:v>
                </c:pt>
                <c:pt idx="19">
                  <c:v>37.430164936871329</c:v>
                </c:pt>
                <c:pt idx="20">
                  <c:v>43.365678499276271</c:v>
                </c:pt>
                <c:pt idx="21">
                  <c:v>50.245327194245732</c:v>
                </c:pt>
                <c:pt idx="22">
                  <c:v>58.219720296145177</c:v>
                </c:pt>
                <c:pt idx="23">
                  <c:v>67.463555810539106</c:v>
                </c:pt>
                <c:pt idx="24">
                  <c:v>78.179482594275399</c:v>
                </c:pt>
                <c:pt idx="25">
                  <c:v>90.60258305230083</c:v>
                </c:pt>
                <c:pt idx="26">
                  <c:v>105.005576327306</c:v>
                </c:pt>
                <c:pt idx="27">
                  <c:v>121.70485801451069</c:v>
                </c:pt>
                <c:pt idx="28">
                  <c:v>141.06751115386842</c:v>
                </c:pt>
                <c:pt idx="29">
                  <c:v>163.51944499698146</c:v>
                </c:pt>
                <c:pt idx="30">
                  <c:v>189.5548433056081</c:v>
                </c:pt>
                <c:pt idx="31">
                  <c:v>219.74713328168124</c:v>
                </c:pt>
                <c:pt idx="32">
                  <c:v>254.76172031629076</c:v>
                </c:pt>
                <c:pt idx="33">
                  <c:v>295.37077334531978</c:v>
                </c:pt>
                <c:pt idx="34">
                  <c:v>342.47039160511548</c:v>
                </c:pt>
                <c:pt idx="35">
                  <c:v>298.49846155904305</c:v>
                </c:pt>
                <c:pt idx="36">
                  <c:v>325.52045225626819</c:v>
                </c:pt>
                <c:pt idx="37">
                  <c:v>352.49289391837186</c:v>
                </c:pt>
                <c:pt idx="38">
                  <c:v>379.42010762458534</c:v>
                </c:pt>
                <c:pt idx="39">
                  <c:v>406.30575129176503</c:v>
                </c:pt>
                <c:pt idx="40">
                  <c:v>433.15295950772139</c:v>
                </c:pt>
                <c:pt idx="41">
                  <c:v>459.9644468634869</c:v>
                </c:pt>
                <c:pt idx="42">
                  <c:v>486.74258592712107</c:v>
                </c:pt>
                <c:pt idx="43">
                  <c:v>402.6863801134038</c:v>
                </c:pt>
                <c:pt idx="44">
                  <c:v>430.29805347853835</c:v>
                </c:pt>
                <c:pt idx="45">
                  <c:v>457.87166664968487</c:v>
                </c:pt>
                <c:pt idx="46">
                  <c:v>485.40983120164657</c:v>
                </c:pt>
                <c:pt idx="47">
                  <c:v>512.91483849860072</c:v>
                </c:pt>
                <c:pt idx="48">
                  <c:v>540.38871436673799</c:v>
                </c:pt>
                <c:pt idx="49">
                  <c:v>567.83326207225002</c:v>
                </c:pt>
                <c:pt idx="50">
                  <c:v>595.25009656142754</c:v>
                </c:pt>
                <c:pt idx="51">
                  <c:v>486.84565545428495</c:v>
                </c:pt>
                <c:pt idx="52">
                  <c:v>513.81747826911885</c:v>
                </c:pt>
                <c:pt idx="53">
                  <c:v>540.7594227694326</c:v>
                </c:pt>
                <c:pt idx="54">
                  <c:v>567.67318501986585</c:v>
                </c:pt>
                <c:pt idx="55">
                  <c:v>594.56028733429628</c:v>
                </c:pt>
                <c:pt idx="56">
                  <c:v>621.42210328406259</c:v>
                </c:pt>
                <c:pt idx="57">
                  <c:v>648.25987816020552</c:v>
                </c:pt>
                <c:pt idx="58">
                  <c:v>675.07474587368461</c:v>
                </c:pt>
                <c:pt idx="59">
                  <c:v>575.30805370400878</c:v>
                </c:pt>
                <c:pt idx="60">
                  <c:v>601.13070346995141</c:v>
                </c:pt>
                <c:pt idx="61">
                  <c:v>626.93030959755595</c:v>
                </c:pt>
                <c:pt idx="62">
                  <c:v>652.70795254564484</c:v>
                </c:pt>
                <c:pt idx="63">
                  <c:v>678.46462058239911</c:v>
                </c:pt>
                <c:pt idx="64">
                  <c:v>704.20122092209192</c:v>
                </c:pt>
                <c:pt idx="65">
                  <c:v>729.91858915073738</c:v>
                </c:pt>
                <c:pt idx="66">
                  <c:v>755.61749725572326</c:v>
                </c:pt>
                <c:pt idx="67">
                  <c:v>634.39698138943356</c:v>
                </c:pt>
                <c:pt idx="68">
                  <c:v>658.78701023794144</c:v>
                </c:pt>
                <c:pt idx="69">
                  <c:v>683.158451920331</c:v>
                </c:pt>
                <c:pt idx="70">
                  <c:v>707.51206197606132</c:v>
                </c:pt>
                <c:pt idx="71">
                  <c:v>731.84853975815815</c:v>
                </c:pt>
                <c:pt idx="72">
                  <c:v>756.16853437807106</c:v>
                </c:pt>
                <c:pt idx="73">
                  <c:v>780.47264984684045</c:v>
                </c:pt>
                <c:pt idx="74">
                  <c:v>804.76144954334825</c:v>
                </c:pt>
                <c:pt idx="75">
                  <c:v>684.6197833537384</c:v>
                </c:pt>
                <c:pt idx="76">
                  <c:v>707.61670982448493</c:v>
                </c:pt>
                <c:pt idx="77">
                  <c:v>730.59836192905857</c:v>
                </c:pt>
                <c:pt idx="78">
                  <c:v>753.56528715170464</c:v>
                </c:pt>
                <c:pt idx="79">
                  <c:v>776.51799692714212</c:v>
                </c:pt>
                <c:pt idx="80">
                  <c:v>799.45697003086968</c:v>
                </c:pt>
                <c:pt idx="81">
                  <c:v>822.38265556060048</c:v>
                </c:pt>
                <c:pt idx="82">
                  <c:v>845.29547556837406</c:v>
                </c:pt>
                <c:pt idx="83">
                  <c:v>757.09482840743919</c:v>
                </c:pt>
                <c:pt idx="84">
                  <c:v>779.25733761234221</c:v>
                </c:pt>
                <c:pt idx="85">
                  <c:v>801.40708912663069</c:v>
                </c:pt>
                <c:pt idx="86">
                  <c:v>823.54448473067441</c:v>
                </c:pt>
                <c:pt idx="87">
                  <c:v>845.66990287278952</c:v>
                </c:pt>
                <c:pt idx="88">
                  <c:v>867.78370061131125</c:v>
                </c:pt>
                <c:pt idx="89">
                  <c:v>889.88621534867627</c:v>
                </c:pt>
                <c:pt idx="90">
                  <c:v>911.9777663845033</c:v>
                </c:pt>
                <c:pt idx="91">
                  <c:v>803.45959274206746</c:v>
                </c:pt>
                <c:pt idx="92">
                  <c:v>824.86845553628189</c:v>
                </c:pt>
                <c:pt idx="93">
                  <c:v>846.26613593714671</c:v>
                </c:pt>
                <c:pt idx="94">
                  <c:v>867.65295612366288</c:v>
                </c:pt>
                <c:pt idx="95">
                  <c:v>889.02922111887312</c:v>
                </c:pt>
                <c:pt idx="96">
                  <c:v>910.39522010217399</c:v>
                </c:pt>
                <c:pt idx="97">
                  <c:v>931.75122759220085</c:v>
                </c:pt>
                <c:pt idx="98">
                  <c:v>953.09750451577702</c:v>
                </c:pt>
                <c:pt idx="99">
                  <c:v>974.43429917626281</c:v>
                </c:pt>
                <c:pt idx="100">
                  <c:v>995.76184813280258</c:v>
                </c:pt>
                <c:pt idx="101">
                  <c:v>840.17828387797579</c:v>
                </c:pt>
                <c:pt idx="102">
                  <c:v>860.72861734504897</c:v>
                </c:pt>
                <c:pt idx="103">
                  <c:v>881.26911871096502</c:v>
                </c:pt>
                <c:pt idx="104">
                  <c:v>901.80004910721084</c:v>
                </c:pt>
                <c:pt idx="105">
                  <c:v>922.32165682199127</c:v>
                </c:pt>
                <c:pt idx="106">
                  <c:v>942.83417820931766</c:v>
                </c:pt>
                <c:pt idx="107">
                  <c:v>963.33783851498117</c:v>
                </c:pt>
                <c:pt idx="108">
                  <c:v>983.83285262865172</c:v>
                </c:pt>
                <c:pt idx="109">
                  <c:v>1004.3194257701401</c:v>
                </c:pt>
                <c:pt idx="110">
                  <c:v>1024.7977541168391</c:v>
                </c:pt>
                <c:pt idx="111">
                  <c:v>906.48026452257966</c:v>
                </c:pt>
                <c:pt idx="112">
                  <c:v>926.78215925861196</c:v>
                </c:pt>
                <c:pt idx="113">
                  <c:v>947.07520827387407</c:v>
                </c:pt>
                <c:pt idx="114">
                  <c:v>967.35962753381591</c:v>
                </c:pt>
                <c:pt idx="115">
                  <c:v>987.63562322140353</c:v>
                </c:pt>
                <c:pt idx="116">
                  <c:v>1007.9033923759724</c:v>
                </c:pt>
                <c:pt idx="117">
                  <c:v>1028.1631234781019</c:v>
                </c:pt>
                <c:pt idx="118">
                  <c:v>1048.4149969860646</c:v>
                </c:pt>
                <c:pt idx="119">
                  <c:v>1068.6591858287338</c:v>
                </c:pt>
                <c:pt idx="120">
                  <c:v>1088.8958558592624</c:v>
                </c:pt>
                <c:pt idx="121">
                  <c:v>984.47170812959484</c:v>
                </c:pt>
                <c:pt idx="122">
                  <c:v>1004.7785351985522</c:v>
                </c:pt>
                <c:pt idx="123">
                  <c:v>1025.0772655736414</c:v>
                </c:pt>
                <c:pt idx="124">
                  <c:v>1045.3680819280014</c:v>
                </c:pt>
                <c:pt idx="125">
                  <c:v>1065.6511592760337</c:v>
                </c:pt>
                <c:pt idx="126">
                  <c:v>1085.9266654370654</c:v>
                </c:pt>
                <c:pt idx="127">
                  <c:v>1106.1947614626372</c:v>
                </c:pt>
                <c:pt idx="128">
                  <c:v>1126.4556020309005</c:v>
                </c:pt>
                <c:pt idx="129">
                  <c:v>1146.709335811212</c:v>
                </c:pt>
                <c:pt idx="130">
                  <c:v>1166.95610580167</c:v>
                </c:pt>
                <c:pt idx="131">
                  <c:v>1044.4619025340414</c:v>
                </c:pt>
                <c:pt idx="132">
                  <c:v>1064.9302649523968</c:v>
                </c:pt>
                <c:pt idx="133">
                  <c:v>1085.3909114956843</c:v>
                </c:pt>
                <c:pt idx="134">
                  <c:v>1105.8440078721535</c:v>
                </c:pt>
                <c:pt idx="135">
                  <c:v>1126.2897131704797</c:v>
                </c:pt>
                <c:pt idx="136">
                  <c:v>1146.7281802419484</c:v>
                </c:pt>
                <c:pt idx="137">
                  <c:v>1167.1595560540247</c:v>
                </c:pt>
                <c:pt idx="138">
                  <c:v>1187.5839820179174</c:v>
                </c:pt>
                <c:pt idx="139">
                  <c:v>1208.0015942924804</c:v>
                </c:pt>
                <c:pt idx="140">
                  <c:v>1228.4125240665323</c:v>
                </c:pt>
                <c:pt idx="141">
                  <c:v>1108.2370093829725</c:v>
                </c:pt>
                <c:pt idx="142">
                  <c:v>1128.7402956172302</c:v>
                </c:pt>
                <c:pt idx="143">
                  <c:v>1149.2363202035792</c:v>
                </c:pt>
                <c:pt idx="144">
                  <c:v>1169.7252306767962</c:v>
                </c:pt>
                <c:pt idx="145">
                  <c:v>1190.2071689905461</c:v>
                </c:pt>
                <c:pt idx="146">
                  <c:v>1210.6822718228229</c:v>
                </c:pt>
                <c:pt idx="147">
                  <c:v>1231.1506708596933</c:v>
                </c:pt>
                <c:pt idx="148">
                  <c:v>1251.6124930592212</c:v>
                </c:pt>
                <c:pt idx="149">
                  <c:v>1272.0678608972707</c:v>
                </c:pt>
                <c:pt idx="150">
                  <c:v>1292.5168925967034</c:v>
                </c:pt>
                <c:pt idx="151">
                  <c:v>816.01334617680141</c:v>
                </c:pt>
                <c:pt idx="152">
                  <c:v>829.51908601437174</c:v>
                </c:pt>
                <c:pt idx="153">
                  <c:v>843.0204025614504</c:v>
                </c:pt>
                <c:pt idx="154">
                  <c:v>553.29262833385587</c:v>
                </c:pt>
                <c:pt idx="155">
                  <c:v>561.10044728949822</c:v>
                </c:pt>
                <c:pt idx="156">
                  <c:v>568.90599291549813</c:v>
                </c:pt>
                <c:pt idx="157">
                  <c:v>388.08375787348422</c:v>
                </c:pt>
                <c:pt idx="158">
                  <c:v>392.7077850319518</c:v>
                </c:pt>
                <c:pt idx="159">
                  <c:v>397.33063149976448</c:v>
                </c:pt>
                <c:pt idx="160">
                  <c:v>8.7420875242334695E-12</c:v>
                </c:pt>
                <c:pt idx="161">
                  <c:v>8.7420875242334695E-12</c:v>
                </c:pt>
                <c:pt idx="162">
                  <c:v>8.7420875242334695E-12</c:v>
                </c:pt>
                <c:pt idx="163">
                  <c:v>8.7420875242334695E-12</c:v>
                </c:pt>
                <c:pt idx="164">
                  <c:v>8.7420875242334695E-12</c:v>
                </c:pt>
                <c:pt idx="165">
                  <c:v>8.7420875242334695E-12</c:v>
                </c:pt>
                <c:pt idx="166">
                  <c:v>8.7420875242334695E-12</c:v>
                </c:pt>
                <c:pt idx="167">
                  <c:v>8.7420875242334695E-12</c:v>
                </c:pt>
                <c:pt idx="168">
                  <c:v>8.7420875242334695E-12</c:v>
                </c:pt>
                <c:pt idx="169">
                  <c:v>8.7420875242334695E-12</c:v>
                </c:pt>
                <c:pt idx="170">
                  <c:v>8.7420875242334695E-12</c:v>
                </c:pt>
                <c:pt idx="171">
                  <c:v>8.7420875242334695E-12</c:v>
                </c:pt>
                <c:pt idx="172">
                  <c:v>8.7420875242334695E-12</c:v>
                </c:pt>
                <c:pt idx="173">
                  <c:v>8.7420875242334695E-12</c:v>
                </c:pt>
                <c:pt idx="174">
                  <c:v>8.7420875242334695E-12</c:v>
                </c:pt>
                <c:pt idx="175">
                  <c:v>8.7420875242334695E-12</c:v>
                </c:pt>
                <c:pt idx="176">
                  <c:v>8.7420875242334695E-12</c:v>
                </c:pt>
                <c:pt idx="177">
                  <c:v>8.7420875242334695E-12</c:v>
                </c:pt>
                <c:pt idx="178">
                  <c:v>8.7420875242334695E-12</c:v>
                </c:pt>
                <c:pt idx="179">
                  <c:v>8.7420875242334695E-12</c:v>
                </c:pt>
                <c:pt idx="180">
                  <c:v>8.7420875242334695E-12</c:v>
                </c:pt>
                <c:pt idx="181">
                  <c:v>8.7420875242334695E-12</c:v>
                </c:pt>
                <c:pt idx="182">
                  <c:v>8.7420875242334695E-12</c:v>
                </c:pt>
                <c:pt idx="183">
                  <c:v>8.7420875242334695E-12</c:v>
                </c:pt>
                <c:pt idx="184">
                  <c:v>8.7420875242334695E-12</c:v>
                </c:pt>
                <c:pt idx="185">
                  <c:v>8.7420875242334695E-12</c:v>
                </c:pt>
                <c:pt idx="186">
                  <c:v>8.7420875242334695E-12</c:v>
                </c:pt>
                <c:pt idx="187">
                  <c:v>8.7420875242334695E-12</c:v>
                </c:pt>
                <c:pt idx="188">
                  <c:v>8.7420875242334695E-12</c:v>
                </c:pt>
                <c:pt idx="189">
                  <c:v>8.7420875242334695E-12</c:v>
                </c:pt>
                <c:pt idx="190">
                  <c:v>8.7420875242334695E-12</c:v>
                </c:pt>
                <c:pt idx="191">
                  <c:v>8.7420875242334695E-12</c:v>
                </c:pt>
                <c:pt idx="192">
                  <c:v>8.7420875242334695E-12</c:v>
                </c:pt>
                <c:pt idx="193">
                  <c:v>8.7420875242334695E-12</c:v>
                </c:pt>
                <c:pt idx="194">
                  <c:v>8.7420875242334695E-12</c:v>
                </c:pt>
                <c:pt idx="195">
                  <c:v>8.7420875242334695E-12</c:v>
                </c:pt>
                <c:pt idx="196">
                  <c:v>8.7420875242334695E-12</c:v>
                </c:pt>
                <c:pt idx="197">
                  <c:v>8.7420875242334695E-12</c:v>
                </c:pt>
                <c:pt idx="198">
                  <c:v>8.7420875242334695E-12</c:v>
                </c:pt>
                <c:pt idx="199">
                  <c:v>8.7420875242334695E-12</c:v>
                </c:pt>
                <c:pt idx="200">
                  <c:v>8.7420875242334695E-12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2.9840942318802361</c:v>
                </c:pt>
                <c:pt idx="2">
                  <c:v>3.4535790057512776</c:v>
                </c:pt>
                <c:pt idx="3">
                  <c:v>3.9971923532958851</c:v>
                </c:pt>
                <c:pt idx="4">
                  <c:v>4.6266781943391786</c:v>
                </c:pt>
                <c:pt idx="5">
                  <c:v>5.3556468634056316</c:v>
                </c:pt>
                <c:pt idx="6">
                  <c:v>6.1998726004329585</c:v>
                </c:pt>
                <c:pt idx="7">
                  <c:v>7.1776385872145383</c:v>
                </c:pt>
                <c:pt idx="8">
                  <c:v>8.3101371473197236</c:v>
                </c:pt>
                <c:pt idx="9">
                  <c:v>9.6219339505220205</c:v>
                </c:pt>
                <c:pt idx="10">
                  <c:v>11.141506482889234</c:v>
                </c:pt>
                <c:pt idx="11">
                  <c:v>12.901868692391245</c:v>
                </c:pt>
                <c:pt idx="12">
                  <c:v>14.941295634019047</c:v>
                </c:pt>
                <c:pt idx="13">
                  <c:v>17.304164160795441</c:v>
                </c:pt>
                <c:pt idx="14">
                  <c:v>20.041928287421641</c:v>
                </c:pt>
                <c:pt idx="15">
                  <c:v>23.21425084941016</c:v>
                </c:pt>
                <c:pt idx="16">
                  <c:v>26.890316559502356</c:v>
                </c:pt>
                <c:pt idx="17">
                  <c:v>31.150355602906419</c:v>
                </c:pt>
                <c:pt idx="18">
                  <c:v>36.087411603968839</c:v>
                </c:pt>
                <c:pt idx="19">
                  <c:v>41.809393244502211</c:v>
                </c:pt>
                <c:pt idx="20">
                  <c:v>48.441455140343976</c:v>
                </c:pt>
                <c:pt idx="21">
                  <c:v>56.128760929792101</c:v>
                </c:pt>
                <c:pt idx="22">
                  <c:v>65.039690060307194</c:v>
                </c:pt>
                <c:pt idx="23">
                  <c:v>75.369559669933622</c:v>
                </c:pt>
                <c:pt idx="24">
                  <c:v>87.344944469942433</c:v>
                </c:pt>
                <c:pt idx="25">
                  <c:v>101.22869090395496</c:v>
                </c:pt>
                <c:pt idx="26">
                  <c:v>117.32573738687431</c:v>
                </c:pt>
                <c:pt idx="27">
                  <c:v>135.98987046363143</c:v>
                </c:pt>
                <c:pt idx="28">
                  <c:v>157.63156767890774</c:v>
                </c:pt>
                <c:pt idx="29">
                  <c:v>182.72710228625712</c:v>
                </c:pt>
                <c:pt idx="30">
                  <c:v>211.82911319645839</c:v>
                </c:pt>
                <c:pt idx="31">
                  <c:v>245.57887640734143</c:v>
                </c:pt>
                <c:pt idx="32">
                  <c:v>284.72055231083124</c:v>
                </c:pt>
                <c:pt idx="33">
                  <c:v>330.11772759760032</c:v>
                </c:pt>
                <c:pt idx="34">
                  <c:v>382.77262197501381</c:v>
                </c:pt>
                <c:pt idx="35">
                  <c:v>333.61425957445311</c:v>
                </c:pt>
                <c:pt idx="36">
                  <c:v>363.82326988160054</c:v>
                </c:pt>
                <c:pt idx="37">
                  <c:v>393.97748272366266</c:v>
                </c:pt>
                <c:pt idx="38">
                  <c:v>424.08167688568966</c:v>
                </c:pt>
                <c:pt idx="39">
                  <c:v>454.13989774557325</c:v>
                </c:pt>
                <c:pt idx="40">
                  <c:v>484.15561191907437</c:v>
                </c:pt>
                <c:pt idx="41">
                  <c:v>514.13182153745458</c:v>
                </c:pt>
                <c:pt idx="42">
                  <c:v>544.07115048057574</c:v>
                </c:pt>
                <c:pt idx="43">
                  <c:v>450.09340334337344</c:v>
                </c:pt>
                <c:pt idx="44">
                  <c:v>480.96374896580784</c:v>
                </c:pt>
                <c:pt idx="45">
                  <c:v>511.79200290782688</c:v>
                </c:pt>
                <c:pt idx="46">
                  <c:v>542.58105337257666</c:v>
                </c:pt>
                <c:pt idx="47">
                  <c:v>573.33343443459933</c:v>
                </c:pt>
                <c:pt idx="48">
                  <c:v>604.0513865036155</c:v>
                </c:pt>
                <c:pt idx="49">
                  <c:v>634.73690385491182</c:v>
                </c:pt>
                <c:pt idx="50">
                  <c:v>665.39177249628278</c:v>
                </c:pt>
                <c:pt idx="51">
                  <c:v>544.18638823111974</c:v>
                </c:pt>
                <c:pt idx="52">
                  <c:v>574.34265074388281</c:v>
                </c:pt>
                <c:pt idx="53">
                  <c:v>604.46587011276404</c:v>
                </c:pt>
                <c:pt idx="54">
                  <c:v>634.55792205628416</c:v>
                </c:pt>
                <c:pt idx="55">
                  <c:v>664.62049013783405</c:v>
                </c:pt>
                <c:pt idx="56">
                  <c:v>694.65509342286566</c:v>
                </c:pt>
                <c:pt idx="57">
                  <c:v>724.66310910857771</c:v>
                </c:pt>
                <c:pt idx="58">
                  <c:v>754.64579121426732</c:v>
                </c:pt>
                <c:pt idx="59">
                  <c:v>643.09446459441199</c:v>
                </c:pt>
                <c:pt idx="60">
                  <c:v>671.96694407337634</c:v>
                </c:pt>
                <c:pt idx="61">
                  <c:v>700.81393904060053</c:v>
                </c:pt>
                <c:pt idx="62">
                  <c:v>729.63664440138302</c:v>
                </c:pt>
                <c:pt idx="63">
                  <c:v>758.43615310518271</c:v>
                </c:pt>
                <c:pt idx="64">
                  <c:v>787.21346846200061</c:v>
                </c:pt>
                <c:pt idx="65">
                  <c:v>815.96951456642921</c:v>
                </c:pt>
                <c:pt idx="66">
                  <c:v>844.70514517781703</c:v>
                </c:pt>
                <c:pt idx="67">
                  <c:v>709.16260711214545</c:v>
                </c:pt>
                <c:pt idx="68">
                  <c:v>736.43384700862953</c:v>
                </c:pt>
                <c:pt idx="69">
                  <c:v>763.68453091277308</c:v>
                </c:pt>
                <c:pt idx="70">
                  <c:v>790.91549439376729</c:v>
                </c:pt>
                <c:pt idx="71">
                  <c:v>818.12751088287814</c:v>
                </c:pt>
                <c:pt idx="72">
                  <c:v>845.32129824800961</c:v>
                </c:pt>
                <c:pt idx="73">
                  <c:v>872.49752447944365</c:v>
                </c:pt>
                <c:pt idx="74">
                  <c:v>899.65681263138276</c:v>
                </c:pt>
                <c:pt idx="75">
                  <c:v>765.31851106121758</c:v>
                </c:pt>
                <c:pt idx="76">
                  <c:v>791.03250673344519</c:v>
                </c:pt>
                <c:pt idx="77">
                  <c:v>816.72961011816324</c:v>
                </c:pt>
                <c:pt idx="78">
                  <c:v>842.4104266913173</c:v>
                </c:pt>
                <c:pt idx="79">
                  <c:v>868.07552206081482</c:v>
                </c:pt>
                <c:pt idx="80">
                  <c:v>893.72542571595193</c:v>
                </c:pt>
                <c:pt idx="81">
                  <c:v>919.36063432464925</c:v>
                </c:pt>
                <c:pt idx="82">
                  <c:v>944.98161464436873</c:v>
                </c:pt>
                <c:pt idx="83">
                  <c:v>846.35705248477518</c:v>
                </c:pt>
                <c:pt idx="84">
                  <c:v>871.13858961286758</c:v>
                </c:pt>
                <c:pt idx="85">
                  <c:v>895.90601770524825</c:v>
                </c:pt>
                <c:pt idx="86">
                  <c:v>920.65978110045342</c:v>
                </c:pt>
                <c:pt idx="87">
                  <c:v>945.40029833354436</c:v>
                </c:pt>
                <c:pt idx="88">
                  <c:v>970.1279642838881</c:v>
                </c:pt>
                <c:pt idx="89">
                  <c:v>994.84315209292356</c:v>
                </c:pt>
                <c:pt idx="90">
                  <c:v>1019.5462148817486</c:v>
                </c:pt>
                <c:pt idx="91">
                  <c:v>898.201095696062</c:v>
                </c:pt>
                <c:pt idx="92">
                  <c:v>922.14023366702747</c:v>
                </c:pt>
                <c:pt idx="93">
                  <c:v>946.06700476126923</c:v>
                </c:pt>
                <c:pt idx="94">
                  <c:v>969.98176528426302</c:v>
                </c:pt>
                <c:pt idx="95">
                  <c:v>993.88485256829938</c:v>
                </c:pt>
                <c:pt idx="96">
                  <c:v>1017.7765864238023</c:v>
                </c:pt>
                <c:pt idx="97">
                  <c:v>1041.6572704475072</c:v>
                </c:pt>
                <c:pt idx="98">
                  <c:v>1065.5271932046405</c:v>
                </c:pt>
                <c:pt idx="99">
                  <c:v>1089.3866292998357</c:v>
                </c:pt>
                <c:pt idx="100">
                  <c:v>1113.23584034952</c:v>
                </c:pt>
                <c:pt idx="101">
                  <c:v>939.25958761092261</c:v>
                </c:pt>
                <c:pt idx="102">
                  <c:v>962.23894940870412</c:v>
                </c:pt>
                <c:pt idx="103">
                  <c:v>985.20743765024827</c:v>
                </c:pt>
                <c:pt idx="104">
                  <c:v>1008.1653411271233</c:v>
                </c:pt>
                <c:pt idx="105">
                  <c:v>1031.1129344272042</c:v>
                </c:pt>
                <c:pt idx="106">
                  <c:v>1054.0504789400543</c:v>
                </c:pt>
                <c:pt idx="107">
                  <c:v>1076.9782237703905</c:v>
                </c:pt>
                <c:pt idx="108">
                  <c:v>1099.8964065698481</c:v>
                </c:pt>
                <c:pt idx="109">
                  <c:v>1122.8052542959319</c:v>
                </c:pt>
                <c:pt idx="110">
                  <c:v>1145.7049839059212</c:v>
                </c:pt>
                <c:pt idx="111">
                  <c:v>1013.3988236404176</c:v>
                </c:pt>
                <c:pt idx="112">
                  <c:v>1036.100755196152</c:v>
                </c:pt>
                <c:pt idx="113">
                  <c:v>1058.7929040573508</c:v>
                </c:pt>
                <c:pt idx="114">
                  <c:v>1081.4755090653814</c:v>
                </c:pt>
                <c:pt idx="115">
                  <c:v>1104.1487982429255</c:v>
                </c:pt>
                <c:pt idx="116">
                  <c:v>1126.812989500504</c:v>
                </c:pt>
                <c:pt idx="117">
                  <c:v>1149.4682912833071</c:v>
                </c:pt>
                <c:pt idx="118">
                  <c:v>1172.1149031644602</c:v>
                </c:pt>
                <c:pt idx="119">
                  <c:v>1194.7530163901495</c:v>
                </c:pt>
                <c:pt idx="120">
                  <c:v>1217.3828143813482</c:v>
                </c:pt>
                <c:pt idx="121">
                  <c:v>1100.6107969851284</c:v>
                </c:pt>
                <c:pt idx="122">
                  <c:v>1123.3186486994175</c:v>
                </c:pt>
                <c:pt idx="123">
                  <c:v>1146.0175460859693</c:v>
                </c:pt>
                <c:pt idx="124">
                  <c:v>1168.7076911673851</c:v>
                </c:pt>
                <c:pt idx="125">
                  <c:v>1191.389277496284</c:v>
                </c:pt>
                <c:pt idx="126">
                  <c:v>1214.0624906680803</c:v>
                </c:pt>
                <c:pt idx="127">
                  <c:v>1236.727508793532</c:v>
                </c:pt>
                <c:pt idx="128">
                  <c:v>1259.3845029349141</c:v>
                </c:pt>
                <c:pt idx="129">
                  <c:v>1282.0336375092281</c:v>
                </c:pt>
                <c:pt idx="130">
                  <c:v>1304.6750706614978</c:v>
                </c:pt>
                <c:pt idx="131">
                  <c:v>1167.6943567028686</c:v>
                </c:pt>
                <c:pt idx="132">
                  <c:v>1190.5831345599393</c:v>
                </c:pt>
                <c:pt idx="133">
                  <c:v>1213.4633792459078</c:v>
                </c:pt>
                <c:pt idx="134">
                  <c:v>1236.3352740214975</c:v>
                </c:pt>
                <c:pt idx="135">
                  <c:v>1259.1989948266862</c:v>
                </c:pt>
                <c:pt idx="136">
                  <c:v>1282.0547107033728</c:v>
                </c:pt>
                <c:pt idx="137">
                  <c:v>1304.9025841863979</c:v>
                </c:pt>
                <c:pt idx="138">
                  <c:v>1327.7427716658058</c:v>
                </c:pt>
                <c:pt idx="139">
                  <c:v>1350.5754237229339</c:v>
                </c:pt>
                <c:pt idx="140">
                  <c:v>1373.4006854426418</c:v>
                </c:pt>
                <c:pt idx="141">
                  <c:v>1239.0112796684232</c:v>
                </c:pt>
                <c:pt idx="142">
                  <c:v>1261.9394019390095</c:v>
                </c:pt>
                <c:pt idx="143">
                  <c:v>1284.8594933791912</c:v>
                </c:pt>
                <c:pt idx="144">
                  <c:v>1307.7717171512138</c:v>
                </c:pt>
                <c:pt idx="145">
                  <c:v>1330.6762302450354</c:v>
                </c:pt>
                <c:pt idx="146">
                  <c:v>1353.5731838161248</c:v>
                </c:pt>
                <c:pt idx="147">
                  <c:v>1376.4627234992583</c:v>
                </c:pt>
                <c:pt idx="148">
                  <c:v>1399.3449897004009</c:v>
                </c:pt>
                <c:pt idx="149">
                  <c:v>1422.2201178685439</c:v>
                </c:pt>
                <c:pt idx="150">
                  <c:v>1445.0882387491831</c:v>
                </c:pt>
                <c:pt idx="151">
                  <c:v>912.23853791541035</c:v>
                </c:pt>
                <c:pt idx="152">
                  <c:v>927.34053211596074</c:v>
                </c:pt>
                <c:pt idx="153">
                  <c:v>942.43763449357857</c:v>
                </c:pt>
                <c:pt idx="154">
                  <c:v>618.47910069420618</c:v>
                </c:pt>
                <c:pt idx="155">
                  <c:v>627.20896848048062</c:v>
                </c:pt>
                <c:pt idx="156">
                  <c:v>635.93632213703665</c:v>
                </c:pt>
                <c:pt idx="157">
                  <c:v>433.76760793984045</c:v>
                </c:pt>
                <c:pt idx="158">
                  <c:v>438.93727516937474</c:v>
                </c:pt>
                <c:pt idx="159">
                  <c:v>444.10563664482567</c:v>
                </c:pt>
                <c:pt idx="160">
                  <c:v>9.6773427399001538E-12</c:v>
                </c:pt>
                <c:pt idx="161">
                  <c:v>9.6773427399001538E-12</c:v>
                </c:pt>
                <c:pt idx="162">
                  <c:v>9.6773427399001538E-12</c:v>
                </c:pt>
                <c:pt idx="163">
                  <c:v>9.6773427399001538E-12</c:v>
                </c:pt>
                <c:pt idx="164">
                  <c:v>9.6773427399001538E-12</c:v>
                </c:pt>
                <c:pt idx="165">
                  <c:v>9.6773427399001538E-12</c:v>
                </c:pt>
                <c:pt idx="166">
                  <c:v>9.6773427399001538E-12</c:v>
                </c:pt>
                <c:pt idx="167">
                  <c:v>9.6773427399001538E-12</c:v>
                </c:pt>
                <c:pt idx="168">
                  <c:v>9.6773427399001538E-12</c:v>
                </c:pt>
                <c:pt idx="169">
                  <c:v>9.6773427399001538E-12</c:v>
                </c:pt>
                <c:pt idx="170">
                  <c:v>9.6773427399001538E-12</c:v>
                </c:pt>
                <c:pt idx="171">
                  <c:v>9.6773427399001538E-12</c:v>
                </c:pt>
                <c:pt idx="172">
                  <c:v>9.6773427399001538E-12</c:v>
                </c:pt>
                <c:pt idx="173">
                  <c:v>9.6773427399001538E-12</c:v>
                </c:pt>
                <c:pt idx="174">
                  <c:v>9.6773427399001538E-12</c:v>
                </c:pt>
                <c:pt idx="175">
                  <c:v>9.6773427399001538E-12</c:v>
                </c:pt>
                <c:pt idx="176">
                  <c:v>9.6773427399001538E-12</c:v>
                </c:pt>
                <c:pt idx="177">
                  <c:v>9.6773427399001538E-12</c:v>
                </c:pt>
                <c:pt idx="178">
                  <c:v>9.6773427399001538E-12</c:v>
                </c:pt>
                <c:pt idx="179">
                  <c:v>9.6773427399001538E-12</c:v>
                </c:pt>
                <c:pt idx="180">
                  <c:v>9.6773427399001538E-12</c:v>
                </c:pt>
                <c:pt idx="181">
                  <c:v>9.6773427399001538E-12</c:v>
                </c:pt>
                <c:pt idx="182">
                  <c:v>9.6773427399001538E-12</c:v>
                </c:pt>
                <c:pt idx="183">
                  <c:v>9.6773427399001538E-12</c:v>
                </c:pt>
                <c:pt idx="184">
                  <c:v>9.6773427399001538E-12</c:v>
                </c:pt>
                <c:pt idx="185">
                  <c:v>9.6773427399001538E-12</c:v>
                </c:pt>
                <c:pt idx="186">
                  <c:v>9.6773427399001538E-12</c:v>
                </c:pt>
                <c:pt idx="187">
                  <c:v>9.6773427399001538E-12</c:v>
                </c:pt>
                <c:pt idx="188">
                  <c:v>9.6773427399001538E-12</c:v>
                </c:pt>
                <c:pt idx="189">
                  <c:v>9.6773427399001538E-12</c:v>
                </c:pt>
                <c:pt idx="190">
                  <c:v>9.6773427399001538E-12</c:v>
                </c:pt>
                <c:pt idx="191">
                  <c:v>9.6773427399001538E-12</c:v>
                </c:pt>
                <c:pt idx="192">
                  <c:v>9.6773427399001538E-12</c:v>
                </c:pt>
                <c:pt idx="193">
                  <c:v>9.6773427399001538E-12</c:v>
                </c:pt>
                <c:pt idx="194">
                  <c:v>9.6773427399001538E-12</c:v>
                </c:pt>
                <c:pt idx="195">
                  <c:v>9.6773427399001538E-12</c:v>
                </c:pt>
                <c:pt idx="196">
                  <c:v>9.6773427399001538E-12</c:v>
                </c:pt>
                <c:pt idx="197">
                  <c:v>9.6773427399001538E-12</c:v>
                </c:pt>
                <c:pt idx="198">
                  <c:v>9.6773427399001538E-12</c:v>
                </c:pt>
                <c:pt idx="199">
                  <c:v>9.6773427399001538E-12</c:v>
                </c:pt>
                <c:pt idx="200">
                  <c:v>9.6773427399001538E-12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7.3800406658039828</c:v>
                </c:pt>
                <c:pt idx="2">
                  <c:v>14.430122778312859</c:v>
                </c:pt>
                <c:pt idx="3">
                  <c:v>21.373644840990689</c:v>
                </c:pt>
                <c:pt idx="4">
                  <c:v>28.251480809573795</c:v>
                </c:pt>
                <c:pt idx="5">
                  <c:v>35.082156100738764</c:v>
                </c:pt>
                <c:pt idx="6">
                  <c:v>41.876238385615665</c:v>
                </c:pt>
                <c:pt idx="7">
                  <c:v>48.640540233177099</c:v>
                </c:pt>
                <c:pt idx="8">
                  <c:v>55.379806866672531</c:v>
                </c:pt>
                <c:pt idx="9">
                  <c:v>62.097526085554399</c:v>
                </c:pt>
                <c:pt idx="10">
                  <c:v>68.796365153350322</c:v>
                </c:pt>
                <c:pt idx="11">
                  <c:v>75.47842701139993</c:v>
                </c:pt>
                <c:pt idx="12">
                  <c:v>82.145410317563559</c:v>
                </c:pt>
                <c:pt idx="13">
                  <c:v>88.79871447595167</c:v>
                </c:pt>
                <c:pt idx="14">
                  <c:v>95.439511367710338</c:v>
                </c:pt>
                <c:pt idx="15">
                  <c:v>102.06879597606302</c:v>
                </c:pt>
                <c:pt idx="16">
                  <c:v>108.68742311436408</c:v>
                </c:pt>
                <c:pt idx="17">
                  <c:v>115.29613470502277</c:v>
                </c:pt>
                <c:pt idx="18">
                  <c:v>121.89558045466629</c:v>
                </c:pt>
                <c:pt idx="19">
                  <c:v>128.48633380310281</c:v>
                </c:pt>
                <c:pt idx="20">
                  <c:v>135.06890441882061</c:v>
                </c:pt>
                <c:pt idx="21">
                  <c:v>141.64374812436762</c:v>
                </c:pt>
                <c:pt idx="22">
                  <c:v>148.21127487761666</c:v>
                </c:pt>
                <c:pt idx="23">
                  <c:v>154.77185526087118</c:v>
                </c:pt>
                <c:pt idx="24">
                  <c:v>161.32582580958686</c:v>
                </c:pt>
                <c:pt idx="25">
                  <c:v>167.87349342794758</c:v>
                </c:pt>
                <c:pt idx="26">
                  <c:v>174.41513907806188</c:v>
                </c:pt>
                <c:pt idx="27">
                  <c:v>180.95102088562683</c:v>
                </c:pt>
                <c:pt idx="28">
                  <c:v>187.48137677255966</c:v>
                </c:pt>
                <c:pt idx="29">
                  <c:v>194.00642670297006</c:v>
                </c:pt>
                <c:pt idx="30">
                  <c:v>200.52637461064015</c:v>
                </c:pt>
                <c:pt idx="31">
                  <c:v>207.04141006228784</c:v>
                </c:pt>
                <c:pt idx="32">
                  <c:v>213.55170970018628</c:v>
                </c:pt>
                <c:pt idx="33">
                  <c:v>220.05743849939086</c:v>
                </c:pt>
                <c:pt idx="34">
                  <c:v>226.55875086829255</c:v>
                </c:pt>
                <c:pt idx="35">
                  <c:v>233.05579161605704</c:v>
                </c:pt>
                <c:pt idx="36">
                  <c:v>239.5486968063905</c:v>
                </c:pt>
                <c:pt idx="37">
                  <c:v>246.03759451377718</c:v>
                </c:pt>
                <c:pt idx="38">
                  <c:v>252.5226054956606</c:v>
                </c:pt>
                <c:pt idx="39">
                  <c:v>259.00384379188023</c:v>
                </c:pt>
                <c:pt idx="40">
                  <c:v>265.48141726089602</c:v>
                </c:pt>
                <c:pt idx="41">
                  <c:v>271.95542806088224</c:v>
                </c:pt>
                <c:pt idx="42">
                  <c:v>278.42597308256319</c:v>
                </c:pt>
                <c:pt idx="43">
                  <c:v>284.89314433966507</c:v>
                </c:pt>
                <c:pt idx="44">
                  <c:v>291.35702932202412</c:v>
                </c:pt>
                <c:pt idx="45">
                  <c:v>297.8177113156882</c:v>
                </c:pt>
                <c:pt idx="46">
                  <c:v>304.27526969376351</c:v>
                </c:pt>
                <c:pt idx="47">
                  <c:v>310.72978018125599</c:v>
                </c:pt>
                <c:pt idx="48">
                  <c:v>317.1813150967381</c:v>
                </c:pt>
                <c:pt idx="49">
                  <c:v>323.62994357330712</c:v>
                </c:pt>
                <c:pt idx="50">
                  <c:v>330.0757317609972</c:v>
                </c:pt>
                <c:pt idx="51">
                  <c:v>336.51874301254134</c:v>
                </c:pt>
                <c:pt idx="52">
                  <c:v>247.01200248677006</c:v>
                </c:pt>
                <c:pt idx="53">
                  <c:v>259.43488785150095</c:v>
                </c:pt>
                <c:pt idx="54">
                  <c:v>271.84433604206578</c:v>
                </c:pt>
                <c:pt idx="55">
                  <c:v>284.24104711596163</c:v>
                </c:pt>
                <c:pt idx="56">
                  <c:v>296.6256550515152</c:v>
                </c:pt>
                <c:pt idx="57">
                  <c:v>308.99873654266725</c:v>
                </c:pt>
                <c:pt idx="58">
                  <c:v>321.36081831054946</c:v>
                </c:pt>
                <c:pt idx="59">
                  <c:v>333.71238323059265</c:v>
                </c:pt>
                <c:pt idx="60">
                  <c:v>346.05387550468822</c:v>
                </c:pt>
                <c:pt idx="61">
                  <c:v>358.3857050566765</c:v>
                </c:pt>
                <c:pt idx="62">
                  <c:v>370.70825129105378</c:v>
                </c:pt>
                <c:pt idx="63">
                  <c:v>383.02186632567759</c:v>
                </c:pt>
                <c:pt idx="64">
                  <c:v>278.73116194548425</c:v>
                </c:pt>
                <c:pt idx="65">
                  <c:v>290.09879353244492</c:v>
                </c:pt>
                <c:pt idx="66">
                  <c:v>301.4564733796521</c:v>
                </c:pt>
                <c:pt idx="67">
                  <c:v>312.80462944093028</c:v>
                </c:pt>
                <c:pt idx="68">
                  <c:v>324.1436560691223</c:v>
                </c:pt>
                <c:pt idx="69">
                  <c:v>335.47391776262225</c:v>
                </c:pt>
                <c:pt idx="70">
                  <c:v>346.7957523790833</c:v>
                </c:pt>
                <c:pt idx="71">
                  <c:v>358.10947390735413</c:v>
                </c:pt>
                <c:pt idx="72">
                  <c:v>369.41537487070042</c:v>
                </c:pt>
                <c:pt idx="73">
                  <c:v>380.71372842036959</c:v>
                </c:pt>
                <c:pt idx="74">
                  <c:v>392.00479016759505</c:v>
                </c:pt>
                <c:pt idx="75">
                  <c:v>403.28879979346425</c:v>
                </c:pt>
                <c:pt idx="76">
                  <c:v>320.09055988993907</c:v>
                </c:pt>
                <c:pt idx="77">
                  <c:v>330.51376496417566</c:v>
                </c:pt>
                <c:pt idx="78">
                  <c:v>340.9297203238948</c:v>
                </c:pt>
                <c:pt idx="79">
                  <c:v>351.33867878828346</c:v>
                </c:pt>
                <c:pt idx="80">
                  <c:v>361.74087696659825</c:v>
                </c:pt>
                <c:pt idx="81">
                  <c:v>372.13653674377588</c:v>
                </c:pt>
                <c:pt idx="82">
                  <c:v>382.52586659131663</c:v>
                </c:pt>
                <c:pt idx="83">
                  <c:v>392.90906272827596</c:v>
                </c:pt>
                <c:pt idx="84">
                  <c:v>403.28631015309378</c:v>
                </c:pt>
                <c:pt idx="85">
                  <c:v>413.6577835636549</c:v>
                </c:pt>
                <c:pt idx="86">
                  <c:v>424.02364818024301</c:v>
                </c:pt>
                <c:pt idx="87">
                  <c:v>434.38406048380944</c:v>
                </c:pt>
                <c:pt idx="88">
                  <c:v>351.58422801050841</c:v>
                </c:pt>
                <c:pt idx="89">
                  <c:v>360.99635900937443</c:v>
                </c:pt>
                <c:pt idx="90">
                  <c:v>370.40312470931332</c:v>
                </c:pt>
                <c:pt idx="91">
                  <c:v>379.80468065192116</c:v>
                </c:pt>
                <c:pt idx="92">
                  <c:v>389.20117404606736</c:v>
                </c:pt>
                <c:pt idx="93">
                  <c:v>398.59274440905824</c:v>
                </c:pt>
                <c:pt idx="94">
                  <c:v>407.97952414419888</c:v>
                </c:pt>
                <c:pt idx="95">
                  <c:v>417.36163906241222</c:v>
                </c:pt>
                <c:pt idx="96">
                  <c:v>426.73920885449638</c:v>
                </c:pt>
                <c:pt idx="97">
                  <c:v>436.11234751969567</c:v>
                </c:pt>
                <c:pt idx="98">
                  <c:v>445.48116375549813</c:v>
                </c:pt>
                <c:pt idx="99">
                  <c:v>454.84576131292738</c:v>
                </c:pt>
                <c:pt idx="100">
                  <c:v>238.64812478518766</c:v>
                </c:pt>
                <c:pt idx="101">
                  <c:v>245.25745220730889</c:v>
                </c:pt>
                <c:pt idx="102">
                  <c:v>251.86273322597432</c:v>
                </c:pt>
                <c:pt idx="103">
                  <c:v>258.46408908205132</c:v>
                </c:pt>
                <c:pt idx="104">
                  <c:v>265.06163430905343</c:v>
                </c:pt>
                <c:pt idx="105">
                  <c:v>271.65547726567394</c:v>
                </c:pt>
                <c:pt idx="106">
                  <c:v>278.2457206138526</c:v>
                </c:pt>
                <c:pt idx="107">
                  <c:v>284.83246174913438</c:v>
                </c:pt>
                <c:pt idx="108">
                  <c:v>291.41579318909641</c:v>
                </c:pt>
                <c:pt idx="109">
                  <c:v>297.99580292480601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1.8891398896951692</c:v>
                </c:pt>
                <c:pt idx="2">
                  <c:v>2.3011457530182922</c:v>
                </c:pt>
                <c:pt idx="3">
                  <c:v>2.8033526931140025</c:v>
                </c:pt>
                <c:pt idx="4">
                  <c:v>3.4155801990054346</c:v>
                </c:pt>
                <c:pt idx="5">
                  <c:v>4.1620173816876562</c:v>
                </c:pt>
                <c:pt idx="6">
                  <c:v>5.0721893843985804</c:v>
                </c:pt>
                <c:pt idx="7">
                  <c:v>6.1821381512840219</c:v>
                </c:pt>
                <c:pt idx="8">
                  <c:v>7.5358652279626872</c:v>
                </c:pt>
                <c:pt idx="9">
                  <c:v>9.187094895961657</c:v>
                </c:pt>
                <c:pt idx="10">
                  <c:v>11.201428946241828</c:v>
                </c:pt>
                <c:pt idx="11">
                  <c:v>13.658980306740689</c:v>
                </c:pt>
                <c:pt idx="12">
                  <c:v>16.65759220594968</c:v>
                </c:pt>
                <c:pt idx="13">
                  <c:v>20.316773375974538</c:v>
                </c:pt>
                <c:pt idx="14">
                  <c:v>24.7825089501127</c:v>
                </c:pt>
                <c:pt idx="15">
                  <c:v>30.233142386586664</c:v>
                </c:pt>
                <c:pt idx="16">
                  <c:v>36.886567414865773</c:v>
                </c:pt>
                <c:pt idx="17">
                  <c:v>45.009022445795274</c:v>
                </c:pt>
                <c:pt idx="18">
                  <c:v>54.925845305900829</c:v>
                </c:pt>
                <c:pt idx="19">
                  <c:v>67.034626237248631</c:v>
                </c:pt>
                <c:pt idx="20">
                  <c:v>81.821295138730591</c:v>
                </c:pt>
                <c:pt idx="21">
                  <c:v>99.879799044317551</c:v>
                </c:pt>
                <c:pt idx="22">
                  <c:v>121.93617277711394</c:v>
                </c:pt>
                <c:pt idx="23">
                  <c:v>148.87798563430445</c:v>
                </c:pt>
                <c:pt idx="24">
                  <c:v>181.79036725780301</c:v>
                </c:pt>
                <c:pt idx="25">
                  <c:v>134.6826564598318</c:v>
                </c:pt>
                <c:pt idx="26">
                  <c:v>152.11458245926272</c:v>
                </c:pt>
                <c:pt idx="27">
                  <c:v>169.49892180197631</c:v>
                </c:pt>
                <c:pt idx="28">
                  <c:v>186.84124553823835</c:v>
                </c:pt>
                <c:pt idx="29">
                  <c:v>204.14600406345403</c:v>
                </c:pt>
                <c:pt idx="30">
                  <c:v>221.41683060637737</c:v>
                </c:pt>
                <c:pt idx="31">
                  <c:v>189.80229109216677</c:v>
                </c:pt>
                <c:pt idx="32">
                  <c:v>207.07194925804288</c:v>
                </c:pt>
                <c:pt idx="33">
                  <c:v>224.30833758345966</c:v>
                </c:pt>
                <c:pt idx="34">
                  <c:v>241.51437268190762</c:v>
                </c:pt>
                <c:pt idx="35">
                  <c:v>258.69252137024819</c:v>
                </c:pt>
                <c:pt idx="36">
                  <c:v>275.84489594318421</c:v>
                </c:pt>
                <c:pt idx="37">
                  <c:v>292.97332447200637</c:v>
                </c:pt>
                <c:pt idx="38">
                  <c:v>310.0794037824773</c:v>
                </c:pt>
                <c:pt idx="39">
                  <c:v>256.96722342594791</c:v>
                </c:pt>
                <c:pt idx="40">
                  <c:v>273.64403918646235</c:v>
                </c:pt>
                <c:pt idx="41">
                  <c:v>290.2980182153845</c:v>
                </c:pt>
                <c:pt idx="42">
                  <c:v>306.93065490611383</c:v>
                </c:pt>
                <c:pt idx="43">
                  <c:v>323.54326844776637</c:v>
                </c:pt>
                <c:pt idx="44">
                  <c:v>340.13703149677923</c:v>
                </c:pt>
                <c:pt idx="45">
                  <c:v>356.71299295782404</c:v>
                </c:pt>
                <c:pt idx="46">
                  <c:v>373.2720963073013</c:v>
                </c:pt>
                <c:pt idx="47">
                  <c:v>304.83589169242236</c:v>
                </c:pt>
                <c:pt idx="48">
                  <c:v>320.32396328505172</c:v>
                </c:pt>
                <c:pt idx="49">
                  <c:v>335.79546883173754</c:v>
                </c:pt>
                <c:pt idx="50">
                  <c:v>351.2512790044596</c:v>
                </c:pt>
                <c:pt idx="51">
                  <c:v>366.6921815995218</c:v>
                </c:pt>
                <c:pt idx="52">
                  <c:v>382.11889265679474</c:v>
                </c:pt>
                <c:pt idx="53">
                  <c:v>397.53206568923684</c:v>
                </c:pt>
                <c:pt idx="54">
                  <c:v>412.93229940614214</c:v>
                </c:pt>
                <c:pt idx="55">
                  <c:v>333.50842697735885</c:v>
                </c:pt>
                <c:pt idx="56">
                  <c:v>346.397341358522</c:v>
                </c:pt>
                <c:pt idx="57">
                  <c:v>359.2757284135393</c:v>
                </c:pt>
                <c:pt idx="58">
                  <c:v>372.14401871558738</c:v>
                </c:pt>
                <c:pt idx="59">
                  <c:v>385.00261062621888</c:v>
                </c:pt>
                <c:pt idx="60">
                  <c:v>397.85187372325157</c:v>
                </c:pt>
                <c:pt idx="61">
                  <c:v>410.69215176264447</c:v>
                </c:pt>
                <c:pt idx="62">
                  <c:v>423.52376525060163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6" x14ac:dyDescent="0.4"/>
  <cols>
    <col min="1" max="1" width="6.613281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80" zoomScaleNormal="80" workbookViewId="0">
      <selection activeCell="A130" sqref="A130"/>
    </sheetView>
  </sheetViews>
  <sheetFormatPr baseColWidth="10" defaultColWidth="11.4609375" defaultRowHeight="14.6" x14ac:dyDescent="0.4"/>
  <cols>
    <col min="1" max="1" width="13.613281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828125" style="23" customWidth="1"/>
    <col min="6" max="6" width="28.921875" style="23" bestFit="1" customWidth="1"/>
    <col min="7" max="8" width="14.613281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8.36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36</v>
      </c>
      <c r="C9" s="32">
        <v>0.5</v>
      </c>
      <c r="D9" s="33">
        <f t="shared" ref="D9:D18" si="0">C9*$C$5</f>
        <v>4.18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35</v>
      </c>
      <c r="C10" s="32">
        <v>0.3</v>
      </c>
      <c r="D10" s="33">
        <f t="shared" si="0"/>
        <v>2.5079999999999996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9</v>
      </c>
      <c r="C11" s="32">
        <v>0.03</v>
      </c>
      <c r="D11" s="33">
        <f t="shared" si="0"/>
        <v>0.25079999999999997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 t="s">
        <v>14</v>
      </c>
      <c r="C12" s="32">
        <v>0.04</v>
      </c>
      <c r="D12" s="33">
        <f t="shared" si="0"/>
        <v>0.33439999999999998</v>
      </c>
      <c r="E12" s="34">
        <v>159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 t="s">
        <v>12</v>
      </c>
      <c r="C13" s="32">
        <v>0.03</v>
      </c>
      <c r="D13" s="33">
        <f t="shared" si="0"/>
        <v>0.25079999999999997</v>
      </c>
      <c r="E13" s="34">
        <v>159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 t="s">
        <v>164</v>
      </c>
      <c r="C14" s="32">
        <v>0.05</v>
      </c>
      <c r="D14" s="33">
        <f t="shared" si="0"/>
        <v>0.41799999999999998</v>
      </c>
      <c r="E14" s="34">
        <v>109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 t="s">
        <v>138</v>
      </c>
      <c r="C15" s="32">
        <v>0.05</v>
      </c>
      <c r="D15" s="33">
        <f t="shared" si="0"/>
        <v>0.41799999999999998</v>
      </c>
      <c r="E15" s="34">
        <v>62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1.0000000000000002</v>
      </c>
      <c r="D19" s="38">
        <f>SUM(D9:D18)</f>
        <v>8.3599999999999977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15</v>
      </c>
      <c r="B36" s="60">
        <v>143.9</v>
      </c>
      <c r="C36" s="60">
        <v>1</v>
      </c>
      <c r="D36" s="60">
        <v>50.480000000000004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9.5933333333333337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20</v>
      </c>
      <c r="B37" s="60">
        <v>208.05</v>
      </c>
      <c r="C37" s="60">
        <v>2</v>
      </c>
      <c r="D37" s="60">
        <v>55.160000000000025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22.926000000000002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26</v>
      </c>
      <c r="B38" s="60">
        <v>298.32</v>
      </c>
      <c r="C38" s="60">
        <v>3</v>
      </c>
      <c r="D38" s="60">
        <v>56.150000000000006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24.238333333333333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32</v>
      </c>
      <c r="B39" s="60">
        <v>392.16</v>
      </c>
      <c r="C39" s="60">
        <v>4</v>
      </c>
      <c r="D39" s="60">
        <v>79.57000000000005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24.998333333333338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40</v>
      </c>
      <c r="B40" s="60">
        <v>499.21</v>
      </c>
      <c r="C40" s="60">
        <v>5</v>
      </c>
      <c r="D40" s="60">
        <v>116.63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23.327500000000001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48</v>
      </c>
      <c r="B41" s="60">
        <v>538.97</v>
      </c>
      <c r="C41" s="60">
        <v>6</v>
      </c>
      <c r="D41" s="60">
        <v>106.28000000000003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19.548750000000005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56</v>
      </c>
      <c r="B42" s="60">
        <v>563.75</v>
      </c>
      <c r="C42" s="60">
        <v>7</v>
      </c>
      <c r="D42" s="60">
        <v>563.75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16.3825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22</v>
      </c>
      <c r="B62" s="60">
        <v>129.56</v>
      </c>
      <c r="C62" s="60">
        <v>1</v>
      </c>
      <c r="D62" s="60">
        <v>52.620000000000005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5.8890909090909096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27</v>
      </c>
      <c r="B63" s="60">
        <v>155.85</v>
      </c>
      <c r="C63" s="60">
        <v>2</v>
      </c>
      <c r="D63" s="60">
        <v>37.929999999999993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15.782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33</v>
      </c>
      <c r="B64" s="60">
        <v>217.65</v>
      </c>
      <c r="C64" s="60">
        <v>3</v>
      </c>
      <c r="D64" s="60">
        <v>50.460000000000008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16.621666666666666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41</v>
      </c>
      <c r="B65" s="60">
        <v>300.74</v>
      </c>
      <c r="C65" s="60">
        <v>4</v>
      </c>
      <c r="D65" s="60">
        <v>72.16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16.693750000000001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50</v>
      </c>
      <c r="B66" s="60">
        <v>370.01</v>
      </c>
      <c r="C66" s="60">
        <v>5</v>
      </c>
      <c r="D66" s="60">
        <v>70.20999999999998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15.714444444444442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60</v>
      </c>
      <c r="B67" s="60">
        <v>440.94</v>
      </c>
      <c r="C67" s="60">
        <v>6</v>
      </c>
      <c r="D67" s="60">
        <v>69.839999999999975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14.113999999999999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70</v>
      </c>
      <c r="B68" s="60">
        <v>490.07</v>
      </c>
      <c r="C68" s="60">
        <v>7</v>
      </c>
      <c r="D68" s="60">
        <v>67.88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>
        <v>80</v>
      </c>
      <c r="B69" s="50">
        <v>520.03</v>
      </c>
      <c r="C69" s="50">
        <v>8</v>
      </c>
      <c r="D69" s="50">
        <v>520.03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9.7839999999999971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Chêne chevelu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10</v>
      </c>
      <c r="B88" s="60">
        <v>14.743589743589743</v>
      </c>
      <c r="C88" s="60">
        <v>0</v>
      </c>
      <c r="D88" s="60">
        <v>0</v>
      </c>
      <c r="E88" s="51">
        <v>0</v>
      </c>
      <c r="F88" s="51">
        <v>0.5</v>
      </c>
      <c r="G88" s="51">
        <v>0</v>
      </c>
      <c r="H88" s="87">
        <v>0.5</v>
      </c>
      <c r="I88" s="53">
        <f>IFERROR(B88/A88,"")</f>
        <v>1.4743589743589742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15</v>
      </c>
      <c r="B89" s="60">
        <v>38.46153846153846</v>
      </c>
      <c r="C89" s="60">
        <v>0</v>
      </c>
      <c r="D89" s="60">
        <v>0</v>
      </c>
      <c r="E89" s="51">
        <v>0</v>
      </c>
      <c r="F89" s="51">
        <v>0.5</v>
      </c>
      <c r="G89" s="51">
        <v>0</v>
      </c>
      <c r="H89" s="87">
        <v>0.5</v>
      </c>
      <c r="I89" s="53">
        <f t="shared" ref="I89:I107" si="3">IF(A89&lt;&gt;0,(B89-(B88-D88))/(A89-A88),"")</f>
        <v>4.7435897435897427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20</v>
      </c>
      <c r="B90" s="60">
        <v>69.230769230769226</v>
      </c>
      <c r="C90" s="60">
        <v>1</v>
      </c>
      <c r="D90" s="60">
        <v>26.282051282051281</v>
      </c>
      <c r="E90" s="87">
        <v>0</v>
      </c>
      <c r="F90" s="87">
        <v>0.5</v>
      </c>
      <c r="G90" s="87">
        <v>0</v>
      </c>
      <c r="H90" s="87">
        <v>0.5</v>
      </c>
      <c r="I90" s="53">
        <f t="shared" si="3"/>
        <v>6.1538461538461533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25</v>
      </c>
      <c r="B91" s="60">
        <v>72.435897435897431</v>
      </c>
      <c r="C91" s="60">
        <v>2</v>
      </c>
      <c r="D91" s="60">
        <v>14.743589743589743</v>
      </c>
      <c r="E91" s="87">
        <v>0</v>
      </c>
      <c r="F91" s="87">
        <v>0.5</v>
      </c>
      <c r="G91" s="87">
        <v>0</v>
      </c>
      <c r="H91" s="87">
        <v>0.5</v>
      </c>
      <c r="I91" s="53">
        <f t="shared" si="3"/>
        <v>5.8974358974358978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30</v>
      </c>
      <c r="B92" s="60">
        <v>86.538461538461533</v>
      </c>
      <c r="C92" s="60">
        <v>3</v>
      </c>
      <c r="D92" s="60">
        <v>15.384615384615383</v>
      </c>
      <c r="E92" s="87">
        <v>0</v>
      </c>
      <c r="F92" s="87">
        <v>0.5</v>
      </c>
      <c r="G92" s="87">
        <v>0</v>
      </c>
      <c r="H92" s="87">
        <v>0.5</v>
      </c>
      <c r="I92" s="53">
        <f t="shared" si="3"/>
        <v>5.7692307692307692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35</v>
      </c>
      <c r="B93" s="60">
        <v>98.07692307692308</v>
      </c>
      <c r="C93" s="60">
        <v>4</v>
      </c>
      <c r="D93" s="60">
        <v>15.384615384615383</v>
      </c>
      <c r="E93" s="87">
        <v>0</v>
      </c>
      <c r="F93" s="87">
        <v>0.5</v>
      </c>
      <c r="G93" s="87">
        <v>0</v>
      </c>
      <c r="H93" s="87">
        <v>0.5</v>
      </c>
      <c r="I93" s="53">
        <f t="shared" si="3"/>
        <v>5.3846153846153868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40</v>
      </c>
      <c r="B94" s="60">
        <v>107.69230769230768</v>
      </c>
      <c r="C94" s="60">
        <v>5</v>
      </c>
      <c r="D94" s="60">
        <v>14.743589743589743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4.9999999999999973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45</v>
      </c>
      <c r="B95" s="60">
        <v>115.38461538461539</v>
      </c>
      <c r="C95" s="60">
        <v>6</v>
      </c>
      <c r="D95" s="60">
        <v>14.102564102564102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4.487179487179489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>
        <v>50</v>
      </c>
      <c r="B96" s="60">
        <v>122.43589743589743</v>
      </c>
      <c r="C96" s="60">
        <v>7</v>
      </c>
      <c r="D96" s="60">
        <v>13.461538461538462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4.2307692307692291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>
        <v>55</v>
      </c>
      <c r="B97" s="60">
        <v>128.84615384615384</v>
      </c>
      <c r="C97" s="60">
        <v>8</v>
      </c>
      <c r="D97" s="60">
        <v>12.820512820512819</v>
      </c>
      <c r="E97" s="87">
        <v>0.1</v>
      </c>
      <c r="F97" s="87">
        <v>0.5</v>
      </c>
      <c r="G97" s="87">
        <v>0</v>
      </c>
      <c r="H97" s="87">
        <v>0.4</v>
      </c>
      <c r="I97" s="53">
        <f t="shared" si="3"/>
        <v>3.9743589743589753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>
        <v>60</v>
      </c>
      <c r="B98" s="60">
        <v>132.69230769230768</v>
      </c>
      <c r="C98" s="60">
        <v>9</v>
      </c>
      <c r="D98" s="60">
        <v>11.538461538461538</v>
      </c>
      <c r="E98" s="87">
        <v>0.1</v>
      </c>
      <c r="F98" s="87">
        <v>0.5</v>
      </c>
      <c r="G98" s="87">
        <v>0</v>
      </c>
      <c r="H98" s="87">
        <v>0.4</v>
      </c>
      <c r="I98" s="53">
        <f t="shared" si="3"/>
        <v>3.3333333333333313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>
        <v>65</v>
      </c>
      <c r="B99" s="60">
        <v>137.17948717948718</v>
      </c>
      <c r="C99" s="60">
        <v>10</v>
      </c>
      <c r="D99" s="60">
        <v>10.897435897435898</v>
      </c>
      <c r="E99" s="87">
        <v>0.1</v>
      </c>
      <c r="F99" s="87">
        <v>0.5</v>
      </c>
      <c r="G99" s="87">
        <v>0</v>
      </c>
      <c r="H99" s="87">
        <v>0.4</v>
      </c>
      <c r="I99" s="53">
        <f t="shared" si="3"/>
        <v>3.2051282051282071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>
        <v>70</v>
      </c>
      <c r="B100" s="60">
        <v>141.02564102564102</v>
      </c>
      <c r="C100" s="60">
        <v>11</v>
      </c>
      <c r="D100" s="60">
        <v>10.256410256410255</v>
      </c>
      <c r="E100" s="65">
        <v>0.1</v>
      </c>
      <c r="F100" s="65">
        <v>0.5</v>
      </c>
      <c r="G100" s="65">
        <v>0</v>
      </c>
      <c r="H100" s="65">
        <v>0.4</v>
      </c>
      <c r="I100" s="53">
        <f t="shared" si="3"/>
        <v>2.9487179487179476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>
        <v>75</v>
      </c>
      <c r="B101" s="60">
        <v>142.94871794871796</v>
      </c>
      <c r="C101" s="60">
        <v>12</v>
      </c>
      <c r="D101" s="60">
        <v>8.9743589743589745</v>
      </c>
      <c r="E101" s="65">
        <v>0.1</v>
      </c>
      <c r="F101" s="65">
        <v>0.5</v>
      </c>
      <c r="G101" s="65">
        <v>0</v>
      </c>
      <c r="H101" s="65">
        <v>0.4</v>
      </c>
      <c r="I101" s="53">
        <f t="shared" si="3"/>
        <v>2.4358974358974366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>
        <v>80</v>
      </c>
      <c r="B102" s="50">
        <v>145.51282051282053</v>
      </c>
      <c r="C102" s="60">
        <v>13</v>
      </c>
      <c r="D102" s="50">
        <v>8.3333333333333339</v>
      </c>
      <c r="E102" s="54">
        <v>0.1</v>
      </c>
      <c r="F102" s="54">
        <v>0.5</v>
      </c>
      <c r="G102" s="54">
        <v>0</v>
      </c>
      <c r="H102" s="54">
        <v>0.4</v>
      </c>
      <c r="I102" s="53">
        <f t="shared" si="3"/>
        <v>2.3076923076923093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>
        <v>85</v>
      </c>
      <c r="B103" s="50">
        <v>147.43589743589743</v>
      </c>
      <c r="C103" s="60">
        <v>14</v>
      </c>
      <c r="D103" s="50">
        <v>7.6923076923076916</v>
      </c>
      <c r="E103" s="54">
        <v>0.1</v>
      </c>
      <c r="F103" s="54">
        <v>0.5</v>
      </c>
      <c r="G103" s="54">
        <v>0</v>
      </c>
      <c r="H103" s="54">
        <v>0.4</v>
      </c>
      <c r="I103" s="53">
        <f t="shared" si="3"/>
        <v>2.0512820512820498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>
        <v>90</v>
      </c>
      <c r="B104" s="50">
        <v>149.35897435897434</v>
      </c>
      <c r="C104" s="60">
        <v>15</v>
      </c>
      <c r="D104" s="50">
        <v>7.0512820512820511</v>
      </c>
      <c r="E104" s="54">
        <v>0.1</v>
      </c>
      <c r="F104" s="54">
        <v>0.5</v>
      </c>
      <c r="G104" s="54">
        <v>0</v>
      </c>
      <c r="H104" s="54">
        <v>0.4</v>
      </c>
      <c r="I104" s="53">
        <f t="shared" si="3"/>
        <v>1.9230769230769169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>
        <v>95</v>
      </c>
      <c r="B105" s="50">
        <v>151.28205128205127</v>
      </c>
      <c r="C105" s="50">
        <v>16</v>
      </c>
      <c r="D105" s="50">
        <v>7.0512820512820511</v>
      </c>
      <c r="E105" s="54">
        <v>0.1</v>
      </c>
      <c r="F105" s="54">
        <v>0.5</v>
      </c>
      <c r="G105" s="54">
        <v>0</v>
      </c>
      <c r="H105" s="54">
        <v>0.4</v>
      </c>
      <c r="I105" s="53">
        <f t="shared" si="3"/>
        <v>1.7948717948717956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>
        <v>100</v>
      </c>
      <c r="B106" s="50">
        <v>153.84615384615384</v>
      </c>
      <c r="C106" s="50">
        <v>17</v>
      </c>
      <c r="D106" s="50">
        <v>153.84615384615384</v>
      </c>
      <c r="E106" s="54">
        <v>0.2</v>
      </c>
      <c r="F106" s="54">
        <v>0.4</v>
      </c>
      <c r="G106" s="54">
        <v>0</v>
      </c>
      <c r="H106" s="54">
        <v>0.4</v>
      </c>
      <c r="I106" s="53">
        <f t="shared" si="3"/>
        <v>1.9230769230769227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34</v>
      </c>
      <c r="B114" s="60">
        <v>173.04</v>
      </c>
      <c r="C114" s="50">
        <v>1</v>
      </c>
      <c r="D114" s="60">
        <v>36.679999999999978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5.0894117647058819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42</v>
      </c>
      <c r="B115" s="60">
        <v>248.01</v>
      </c>
      <c r="C115" s="50">
        <v>2</v>
      </c>
      <c r="D115" s="60">
        <v>58.099999999999994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13.956249999999997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50</v>
      </c>
      <c r="B116" s="60">
        <v>304.72000000000003</v>
      </c>
      <c r="C116" s="50">
        <v>3</v>
      </c>
      <c r="D116" s="60">
        <v>70.730000000000018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14.351250000000004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58</v>
      </c>
      <c r="B117" s="60">
        <v>346.58</v>
      </c>
      <c r="C117" s="50">
        <v>4</v>
      </c>
      <c r="D117" s="60">
        <v>65.819999999999993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14.073749999999997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66</v>
      </c>
      <c r="B118" s="60">
        <v>388.92</v>
      </c>
      <c r="C118" s="50">
        <v>5</v>
      </c>
      <c r="D118" s="60">
        <v>76.480000000000018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13.520000000000003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74</v>
      </c>
      <c r="B119" s="60">
        <v>414.8</v>
      </c>
      <c r="C119" s="50">
        <v>6</v>
      </c>
      <c r="D119" s="60">
        <v>75.29000000000002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12.795000000000002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82</v>
      </c>
      <c r="B120" s="60">
        <v>436.17</v>
      </c>
      <c r="C120" s="60">
        <v>7</v>
      </c>
      <c r="D120" s="60">
        <v>58.140000000000043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12.082500000000003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90</v>
      </c>
      <c r="B121" s="60">
        <v>471.37</v>
      </c>
      <c r="C121" s="60">
        <v>8</v>
      </c>
      <c r="D121" s="60">
        <v>68.54000000000002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11.667500000000004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>
        <v>100</v>
      </c>
      <c r="B122" s="60">
        <v>515.66999999999996</v>
      </c>
      <c r="C122" s="60">
        <v>9</v>
      </c>
      <c r="D122" s="60">
        <v>93.039999999999964</v>
      </c>
      <c r="E122" s="87">
        <v>0.5</v>
      </c>
      <c r="F122" s="87">
        <v>0.2</v>
      </c>
      <c r="G122" s="87">
        <v>0</v>
      </c>
      <c r="H122" s="87">
        <v>0.3</v>
      </c>
      <c r="I122" s="53">
        <f t="shared" si="4"/>
        <v>11.283999999999997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>
        <v>110</v>
      </c>
      <c r="B123" s="60">
        <v>531.04</v>
      </c>
      <c r="C123" s="60">
        <v>10</v>
      </c>
      <c r="D123" s="60">
        <v>73.299999999999955</v>
      </c>
      <c r="E123" s="87">
        <v>0.5</v>
      </c>
      <c r="F123" s="87">
        <v>0.2</v>
      </c>
      <c r="G123" s="87">
        <v>0</v>
      </c>
      <c r="H123" s="87">
        <v>0.3</v>
      </c>
      <c r="I123" s="53">
        <f t="shared" si="4"/>
        <v>10.840999999999998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>
        <v>120</v>
      </c>
      <c r="B124" s="60">
        <v>565</v>
      </c>
      <c r="C124" s="60">
        <v>11</v>
      </c>
      <c r="D124" s="60">
        <v>66.050000000000011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10.725999999999999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>
        <v>130</v>
      </c>
      <c r="B125" s="60">
        <v>606.41</v>
      </c>
      <c r="C125" s="60">
        <v>12</v>
      </c>
      <c r="D125" s="60">
        <v>75.799999999999955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10.745999999999999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>
        <v>140</v>
      </c>
      <c r="B126" s="60">
        <v>639.04999999999995</v>
      </c>
      <c r="C126" s="60">
        <v>13</v>
      </c>
      <c r="D126" s="60">
        <v>74.669999999999959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10.843999999999994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>
        <v>150</v>
      </c>
      <c r="B127" s="60">
        <v>673.13</v>
      </c>
      <c r="C127" s="60">
        <v>14</v>
      </c>
      <c r="D127" s="60">
        <v>259.52</v>
      </c>
      <c r="E127" s="65">
        <v>0.45</v>
      </c>
      <c r="F127" s="65">
        <v>0.05</v>
      </c>
      <c r="G127" s="65">
        <v>0.05</v>
      </c>
      <c r="H127" s="65">
        <v>0.45</v>
      </c>
      <c r="I127" s="53">
        <f t="shared" si="4"/>
        <v>10.875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>
        <v>153</v>
      </c>
      <c r="B128" s="50">
        <v>434.97</v>
      </c>
      <c r="C128" s="50">
        <v>15</v>
      </c>
      <c r="D128" s="50">
        <v>156.29000000000002</v>
      </c>
      <c r="E128" s="54">
        <v>0.45</v>
      </c>
      <c r="F128" s="54">
        <v>0.05</v>
      </c>
      <c r="G128" s="54">
        <v>0.05</v>
      </c>
      <c r="H128" s="54">
        <v>0.45</v>
      </c>
      <c r="I128" s="53">
        <f t="shared" si="4"/>
        <v>7.1200000000000045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>
        <v>156</v>
      </c>
      <c r="B129" s="50">
        <v>290.93</v>
      </c>
      <c r="C129" s="50">
        <v>16</v>
      </c>
      <c r="D129" s="50">
        <v>96.65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4.083333333333333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>
        <v>159</v>
      </c>
      <c r="B130" s="50">
        <v>201.48</v>
      </c>
      <c r="C130" s="50">
        <v>17</v>
      </c>
      <c r="D130" s="50">
        <v>201.48</v>
      </c>
      <c r="E130" s="54">
        <v>0.45</v>
      </c>
      <c r="F130" s="54">
        <v>0.05</v>
      </c>
      <c r="G130" s="54">
        <v>0.05</v>
      </c>
      <c r="H130" s="54">
        <v>0.45</v>
      </c>
      <c r="I130" s="53">
        <f t="shared" si="4"/>
        <v>2.3999999999999964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>Chêne pubescent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>
        <v>34</v>
      </c>
      <c r="B140" s="60">
        <v>173.04</v>
      </c>
      <c r="C140" s="50">
        <v>1</v>
      </c>
      <c r="D140" s="60">
        <v>36.679999999999978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5.0894117647058819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>
        <v>42</v>
      </c>
      <c r="B141" s="60">
        <v>248.01</v>
      </c>
      <c r="C141" s="50">
        <v>2</v>
      </c>
      <c r="D141" s="60">
        <v>58.099999999999994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13.956249999999997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>
        <v>50</v>
      </c>
      <c r="B142" s="60">
        <v>304.72000000000003</v>
      </c>
      <c r="C142" s="50">
        <v>3</v>
      </c>
      <c r="D142" s="60">
        <v>70.730000000000018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14.351250000000004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>
        <v>58</v>
      </c>
      <c r="B143" s="60">
        <v>346.58</v>
      </c>
      <c r="C143" s="50">
        <v>4</v>
      </c>
      <c r="D143" s="60">
        <v>65.819999999999993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14.073749999999997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>
        <v>66</v>
      </c>
      <c r="B144" s="60">
        <v>388.92</v>
      </c>
      <c r="C144" s="50">
        <v>5</v>
      </c>
      <c r="D144" s="60">
        <v>76.480000000000018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13.520000000000003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>
        <v>74</v>
      </c>
      <c r="B145" s="60">
        <v>414.8</v>
      </c>
      <c r="C145" s="50">
        <v>6</v>
      </c>
      <c r="D145" s="60">
        <v>75.29000000000002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12.795000000000002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>
        <v>82</v>
      </c>
      <c r="B146" s="60">
        <v>436.17</v>
      </c>
      <c r="C146" s="50">
        <v>7</v>
      </c>
      <c r="D146" s="60">
        <v>58.140000000000043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12.082500000000003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>
        <v>90</v>
      </c>
      <c r="B147" s="60">
        <v>471.37</v>
      </c>
      <c r="C147" s="50">
        <v>8</v>
      </c>
      <c r="D147" s="60">
        <v>68.54000000000002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11.667500000000004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>
        <v>100</v>
      </c>
      <c r="B148" s="60">
        <v>515.66999999999996</v>
      </c>
      <c r="C148" s="50">
        <v>9</v>
      </c>
      <c r="D148" s="60">
        <v>93.039999999999964</v>
      </c>
      <c r="E148" s="51">
        <v>0.5</v>
      </c>
      <c r="F148" s="51">
        <v>0.2</v>
      </c>
      <c r="G148" s="51">
        <v>0</v>
      </c>
      <c r="H148" s="51">
        <v>0.3</v>
      </c>
      <c r="I148" s="57">
        <f t="shared" si="5"/>
        <v>11.283999999999997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>
        <v>110</v>
      </c>
      <c r="B149" s="60">
        <v>531.04</v>
      </c>
      <c r="C149" s="50">
        <v>10</v>
      </c>
      <c r="D149" s="60">
        <v>73.299999999999955</v>
      </c>
      <c r="E149" s="51">
        <v>0.5</v>
      </c>
      <c r="F149" s="51">
        <v>0.2</v>
      </c>
      <c r="G149" s="51">
        <v>0</v>
      </c>
      <c r="H149" s="51">
        <v>0.3</v>
      </c>
      <c r="I149" s="57">
        <f t="shared" si="5"/>
        <v>10.840999999999998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>
        <v>120</v>
      </c>
      <c r="B150" s="60">
        <v>565</v>
      </c>
      <c r="C150" s="50">
        <v>11</v>
      </c>
      <c r="D150" s="60">
        <v>66.050000000000011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10.725999999999999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>
        <v>130</v>
      </c>
      <c r="B151" s="60">
        <v>606.41</v>
      </c>
      <c r="C151" s="50">
        <v>12</v>
      </c>
      <c r="D151" s="60">
        <v>75.799999999999955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10.745999999999999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>
        <v>140</v>
      </c>
      <c r="B152" s="60">
        <v>639.04999999999995</v>
      </c>
      <c r="C152" s="50">
        <v>13</v>
      </c>
      <c r="D152" s="60">
        <v>74.669999999999959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10.843999999999994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>
        <v>150</v>
      </c>
      <c r="B153" s="60">
        <v>673.13</v>
      </c>
      <c r="C153" s="50">
        <v>14</v>
      </c>
      <c r="D153" s="60">
        <v>259.52</v>
      </c>
      <c r="E153" s="54">
        <v>0.45</v>
      </c>
      <c r="F153" s="54">
        <v>0.05</v>
      </c>
      <c r="G153" s="54">
        <v>0.05</v>
      </c>
      <c r="H153" s="54">
        <v>0.45</v>
      </c>
      <c r="I153" s="57">
        <f t="shared" si="5"/>
        <v>10.875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>
        <v>153</v>
      </c>
      <c r="B154" s="56">
        <v>434.97</v>
      </c>
      <c r="C154" s="50">
        <v>15</v>
      </c>
      <c r="D154" s="50">
        <v>156.29000000000002</v>
      </c>
      <c r="E154" s="54">
        <v>0.45</v>
      </c>
      <c r="F154" s="54">
        <v>0.05</v>
      </c>
      <c r="G154" s="54">
        <v>0.05</v>
      </c>
      <c r="H154" s="54">
        <v>0.45</v>
      </c>
      <c r="I154" s="57">
        <f t="shared" si="5"/>
        <v>7.1200000000000045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>
        <v>156</v>
      </c>
      <c r="B155" s="56">
        <v>290.93</v>
      </c>
      <c r="C155" s="50">
        <v>16</v>
      </c>
      <c r="D155" s="50">
        <v>96.65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4.083333333333333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>
        <v>159</v>
      </c>
      <c r="B156" s="56">
        <v>201.48</v>
      </c>
      <c r="C156" s="50">
        <v>17</v>
      </c>
      <c r="D156" s="50">
        <v>201.48</v>
      </c>
      <c r="E156" s="54">
        <v>0.45</v>
      </c>
      <c r="F156" s="54">
        <v>0.05</v>
      </c>
      <c r="G156" s="54">
        <v>0.05</v>
      </c>
      <c r="H156" s="54">
        <v>0.45</v>
      </c>
      <c r="I156" s="57">
        <f t="shared" si="5"/>
        <v>2.3999999999999964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>Cèdre de l'Atlas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>
        <v>51</v>
      </c>
      <c r="B166" s="60">
        <v>328.59</v>
      </c>
      <c r="C166" s="60">
        <v>1</v>
      </c>
      <c r="D166" s="60">
        <v>101.57999999999998</v>
      </c>
      <c r="E166" s="51">
        <v>0.25</v>
      </c>
      <c r="F166" s="51">
        <v>0.37</v>
      </c>
      <c r="G166" s="51">
        <v>0.38</v>
      </c>
      <c r="H166" s="51">
        <v>0</v>
      </c>
      <c r="I166" s="49">
        <f>IFERROR(B166/A166,"")</f>
        <v>6.4429411764705877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>
        <v>63</v>
      </c>
      <c r="B167" s="60">
        <v>375.17</v>
      </c>
      <c r="C167" s="60">
        <v>2</v>
      </c>
      <c r="D167" s="60">
        <v>115.59000000000003</v>
      </c>
      <c r="E167" s="51">
        <v>0.6</v>
      </c>
      <c r="F167" s="51">
        <v>0.2</v>
      </c>
      <c r="G167" s="51">
        <v>0.2</v>
      </c>
      <c r="H167" s="51">
        <v>0</v>
      </c>
      <c r="I167" s="49">
        <f t="shared" ref="I167:I185" si="6">IF(A167&lt;&gt;0,(B167-(B166-D166))/(A167-A166),"")</f>
        <v>12.346666666666669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>
        <v>75</v>
      </c>
      <c r="B168" s="60">
        <v>395.51</v>
      </c>
      <c r="C168" s="60">
        <v>3</v>
      </c>
      <c r="D168" s="60">
        <v>93.759999999999991</v>
      </c>
      <c r="E168" s="51">
        <v>0.6</v>
      </c>
      <c r="F168" s="51">
        <v>0.2</v>
      </c>
      <c r="G168" s="51">
        <v>0.2</v>
      </c>
      <c r="H168" s="51">
        <v>0</v>
      </c>
      <c r="I168" s="49">
        <f t="shared" si="6"/>
        <v>11.327500000000001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>
        <v>87</v>
      </c>
      <c r="B169" s="60">
        <v>426.76</v>
      </c>
      <c r="C169" s="60">
        <v>4</v>
      </c>
      <c r="D169" s="60">
        <v>92.519999999999982</v>
      </c>
      <c r="E169" s="51">
        <v>0.6</v>
      </c>
      <c r="F169" s="51">
        <v>0.2</v>
      </c>
      <c r="G169" s="51">
        <v>0.2</v>
      </c>
      <c r="H169" s="51">
        <v>0</v>
      </c>
      <c r="I169" s="49">
        <f t="shared" si="6"/>
        <v>10.417499999999999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>
        <v>99</v>
      </c>
      <c r="B170" s="60">
        <v>447.35</v>
      </c>
      <c r="C170" s="60">
        <v>5</v>
      </c>
      <c r="D170" s="60">
        <v>222.86</v>
      </c>
      <c r="E170" s="51">
        <v>0.6</v>
      </c>
      <c r="F170" s="51">
        <v>0.2</v>
      </c>
      <c r="G170" s="51">
        <v>0.2</v>
      </c>
      <c r="H170" s="51">
        <v>0</v>
      </c>
      <c r="I170" s="49">
        <f t="shared" si="6"/>
        <v>9.4258333333333351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>
        <v>109</v>
      </c>
      <c r="B171" s="60">
        <v>290.11</v>
      </c>
      <c r="C171" s="60">
        <v>6</v>
      </c>
      <c r="D171" s="60">
        <v>290.11</v>
      </c>
      <c r="E171" s="51">
        <v>0.6</v>
      </c>
      <c r="F171" s="51">
        <v>0.2</v>
      </c>
      <c r="G171" s="51">
        <v>0.2</v>
      </c>
      <c r="H171" s="51">
        <v>0</v>
      </c>
      <c r="I171" s="49">
        <f t="shared" si="6"/>
        <v>6.5620000000000003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>Pin taeda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>
        <v>24</v>
      </c>
      <c r="B192" s="60">
        <v>136.79</v>
      </c>
      <c r="C192" s="60">
        <v>1</v>
      </c>
      <c r="D192" s="60">
        <v>49.61999999999999</v>
      </c>
      <c r="E192" s="51">
        <v>0</v>
      </c>
      <c r="F192" s="51">
        <v>0.5</v>
      </c>
      <c r="G192" s="51">
        <v>0.5</v>
      </c>
      <c r="H192" s="51">
        <v>0</v>
      </c>
      <c r="I192" s="49">
        <f>IFERROR(B192/A192,"")</f>
        <v>5.699583333333333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>
        <v>30</v>
      </c>
      <c r="B193" s="60">
        <v>167.45</v>
      </c>
      <c r="C193" s="60">
        <v>2</v>
      </c>
      <c r="D193" s="60">
        <v>37.829999999999984</v>
      </c>
      <c r="E193" s="51">
        <v>0.25</v>
      </c>
      <c r="F193" s="51">
        <v>0.37</v>
      </c>
      <c r="G193" s="51">
        <v>0.38</v>
      </c>
      <c r="H193" s="51">
        <v>0</v>
      </c>
      <c r="I193" s="49">
        <f t="shared" ref="I193:I211" si="7">IF(A193&lt;&gt;0,(B193-(B192-D192))/(A193-A192),"")</f>
        <v>13.379999999999997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>
        <v>38</v>
      </c>
      <c r="B194" s="60">
        <v>236.48</v>
      </c>
      <c r="C194" s="60">
        <v>3</v>
      </c>
      <c r="D194" s="60">
        <v>54.399999999999977</v>
      </c>
      <c r="E194" s="51">
        <v>0.6</v>
      </c>
      <c r="F194" s="51">
        <v>0.2</v>
      </c>
      <c r="G194" s="51">
        <v>0.2</v>
      </c>
      <c r="H194" s="51">
        <v>0</v>
      </c>
      <c r="I194" s="49">
        <f t="shared" si="7"/>
        <v>13.357499999999998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>
        <v>46</v>
      </c>
      <c r="B195" s="60">
        <v>285.95999999999998</v>
      </c>
      <c r="C195" s="60">
        <v>4</v>
      </c>
      <c r="D195" s="60">
        <v>65.679999999999978</v>
      </c>
      <c r="E195" s="51">
        <v>0.6</v>
      </c>
      <c r="F195" s="51">
        <v>0.2</v>
      </c>
      <c r="G195" s="51">
        <v>0.2</v>
      </c>
      <c r="H195" s="51">
        <v>0</v>
      </c>
      <c r="I195" s="49">
        <f t="shared" si="7"/>
        <v>12.984999999999996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>
        <v>54</v>
      </c>
      <c r="B196" s="60">
        <v>317.11</v>
      </c>
      <c r="C196" s="60">
        <v>5</v>
      </c>
      <c r="D196" s="60">
        <v>72.400000000000006</v>
      </c>
      <c r="E196" s="51">
        <v>0.6</v>
      </c>
      <c r="F196" s="51">
        <v>0.2</v>
      </c>
      <c r="G196" s="51">
        <v>0.2</v>
      </c>
      <c r="H196" s="51">
        <v>0</v>
      </c>
      <c r="I196" s="49">
        <f t="shared" si="7"/>
        <v>12.103750000000002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>
        <v>62</v>
      </c>
      <c r="B197" s="60">
        <v>325.44</v>
      </c>
      <c r="C197" s="60">
        <v>6</v>
      </c>
      <c r="D197" s="60">
        <v>325.44</v>
      </c>
      <c r="E197" s="51">
        <v>0.6</v>
      </c>
      <c r="F197" s="51">
        <v>0.2</v>
      </c>
      <c r="G197" s="51">
        <v>0.2</v>
      </c>
      <c r="H197" s="51">
        <v>0</v>
      </c>
      <c r="I197" s="49">
        <f t="shared" si="7"/>
        <v>10.091249999999999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C23" sqref="C23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828125" style="1" customWidth="1"/>
    <col min="6" max="6" width="14.3828125" style="1" customWidth="1"/>
    <col min="7" max="7" width="73.382812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613281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1328125" style="4" bestFit="1" customWidth="1"/>
    <col min="25" max="25" width="14.53515625" style="4" bestFit="1" customWidth="1"/>
    <col min="26" max="26" width="12.4609375" style="4" bestFit="1" customWidth="1"/>
    <col min="27" max="27" width="9.613281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828125" style="4" bestFit="1" customWidth="1"/>
    <col min="45" max="45" width="11.61328125" style="4" bestFit="1" customWidth="1"/>
    <col min="46" max="46" width="8.4609375" style="4" bestFit="1" customWidth="1"/>
    <col min="47" max="47" width="9.4609375" style="4" bestFit="1" customWidth="1"/>
    <col min="48" max="48" width="9.613281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82812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828125" style="4" bestFit="1" customWidth="1"/>
    <col min="66" max="66" width="11.61328125" style="4" bestFit="1" customWidth="1"/>
    <col min="67" max="67" width="8.4609375" style="4" bestFit="1" customWidth="1"/>
    <col min="68" max="68" width="9.4609375" style="4" bestFit="1" customWidth="1"/>
    <col min="69" max="69" width="9.613281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828125" style="4" bestFit="1" customWidth="1"/>
    <col min="87" max="87" width="11.61328125" style="4" bestFit="1" customWidth="1"/>
    <col min="88" max="88" width="8.4609375" style="4" bestFit="1" customWidth="1"/>
    <col min="89" max="89" width="9.4609375" style="4" bestFit="1" customWidth="1"/>
    <col min="90" max="90" width="9.613281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828125" style="4" bestFit="1" customWidth="1"/>
    <col min="108" max="108" width="11.61328125" style="4" bestFit="1" customWidth="1"/>
    <col min="109" max="109" width="8.4609375" style="4" bestFit="1" customWidth="1"/>
    <col min="110" max="110" width="9.4609375" style="4" bestFit="1" customWidth="1"/>
    <col min="111" max="111" width="9.613281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82812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828125" style="4" bestFit="1" customWidth="1"/>
    <col min="129" max="129" width="11.61328125" style="4" bestFit="1" customWidth="1"/>
    <col min="130" max="130" width="8.4609375" style="4" bestFit="1" customWidth="1"/>
    <col min="131" max="131" width="9.4609375" style="4" bestFit="1" customWidth="1"/>
    <col min="132" max="132" width="9.613281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828125" style="4" bestFit="1" customWidth="1"/>
    <col min="150" max="150" width="11.61328125" style="4" bestFit="1" customWidth="1"/>
    <col min="151" max="151" width="8.4609375" style="4" bestFit="1" customWidth="1"/>
    <col min="152" max="152" width="9.4609375" style="4" bestFit="1" customWidth="1"/>
    <col min="153" max="153" width="9.613281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828125" style="4" bestFit="1" customWidth="1"/>
    <col min="171" max="171" width="11.61328125" style="4" bestFit="1" customWidth="1"/>
    <col min="172" max="172" width="8.07421875" style="4" bestFit="1" customWidth="1"/>
    <col min="173" max="173" width="9.4609375" style="4" bestFit="1" customWidth="1"/>
    <col min="174" max="174" width="9.613281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82812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13281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82812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828125" style="4" bestFit="1" customWidth="1"/>
    <col min="213" max="213" width="11.61328125" style="4" bestFit="1" customWidth="1"/>
    <col min="214" max="214" width="8.4609375" style="4" bestFit="1" customWidth="1"/>
    <col min="215" max="215" width="9.4609375" style="4" bestFit="1" customWidth="1"/>
    <col min="216" max="216" width="9.613281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chevelu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pubescent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Cèdre de l'Atlas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taeda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388.12151914648013</v>
      </c>
      <c r="T3" s="59">
        <f>IF('Données projet'!E9&gt;30,$R$33-$H$33,LOOKUP('Données projet'!$E$9,$A$3:$A$203,R3:R203)-LOOKUP('Données projet'!$E$9,$A$3:$A$203,$H$3:$H$203))</f>
        <v>481.43684454382793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349.71285006949597</v>
      </c>
      <c r="AO3" s="59">
        <f>IF('Données projet'!E10&gt;30,$AM$33-$H$33,LOOKUP('Données projet'!$E$10,$A$3:$A$203,AM3:AM203)-LOOKUP('Données projet'!$E$10,$A$3:$A$203,$H$3:$H$203))</f>
        <v>258.51550516456842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260.74709892624571</v>
      </c>
      <c r="BJ3" s="59">
        <f>IF('Données projet'!E11&gt;30,$BH$33-$H$33,LOOKUP('Données projet'!$E$11,$A$3:$A$203,BH3:BH203)-LOOKUP('Données projet'!$E$11,$A$3:$A$203,$H$3:$H$203))</f>
        <v>237.17381692184887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695.0879239758051</v>
      </c>
      <c r="CE3" s="59">
        <f>IF('Données projet'!E12&gt;30,$CC$33-$H$33,LOOKUP('Données projet'!$E$12,$A$3:$A$203,CC3:CC203)-LOOKUP('Données projet'!$E$12,$A$3:$A$203,$H$3:$H$203))</f>
        <v>226.22150997227476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773.15074145293738</v>
      </c>
      <c r="CZ3" s="59">
        <f>IF('Données projet'!E13&gt;30,$CX$33-$H$33,LOOKUP('Données projet'!$E$13,$A$3:$A$203,CX3:CX203)-LOOKUP('Données projet'!$E$13,$A$3:$A$203,$H$3:$H$203))</f>
        <v>248.49577986312505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293.15557501692803</v>
      </c>
      <c r="DU3" s="59">
        <f>IF('Données projet'!E14&gt;30,$DS$33-$H$33,LOOKUP('Données projet'!$E$14,$A$3:$A$203,DS3:DS203)-LOOKUP('Données projet'!$E$14,$A$3:$A$203,$H$3:$H$203))</f>
        <v>237.1930412773068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225.86663363047296</v>
      </c>
      <c r="EP3" s="59">
        <f>IF('Données projet'!E15&gt;30,$EN$33-$H$33,LOOKUP('Données projet'!$E$15,$A$3:$A$203,EN3:EN203)-LOOKUP('Données projet'!$E$15,$A$3:$A$203,$H$3:$H$203))</f>
        <v>258.08349727304397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9.5933333333333337</v>
      </c>
      <c r="N4" s="13">
        <f>IF('Données projet'!$A$36&gt;35,N3+M4-V3,IF(A4&lt;'Données projet'!$A$36,$K$205^A4,IF(A4='Données projet'!$A$36,'Données projet'!$B$36,N3+M4-V3)))</f>
        <v>1.3927421509577205</v>
      </c>
      <c r="O4" s="13">
        <f>N4*VLOOKUP('Données projet'!$B$9,Paramètres!$A$1:$I$89,3,0)*VLOOKUP('Données projet'!$B$9,Paramètres!$A$1:$I$89,5,0)</f>
        <v>0.83285980627271683</v>
      </c>
      <c r="P4" s="13">
        <f>EXP(-1.0587+0.8836*LN(O4)+0.284)</f>
        <v>0.39207522366299313</v>
      </c>
      <c r="Q4" s="20">
        <f t="shared" ref="Q4:Q34" si="2">(O4+P4)*0.475*44/12</f>
        <v>2.1334285104713615</v>
      </c>
      <c r="R4" s="59">
        <f t="shared" si="0"/>
        <v>260.02231739936019</v>
      </c>
      <c r="S4" s="59">
        <f ca="1">AVERAGE(OFFSET($R$3,0,0,'Données projet'!$E$9+1,1))-AVERAGE(OFFSET($H$3,0,0,'Données projet'!$E$9+1,1))</f>
        <v>388.12151914648013</v>
      </c>
      <c r="T4" s="59">
        <f>$T$3</f>
        <v>481.43684454382793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5.8890909090909096</v>
      </c>
      <c r="AI4" s="13">
        <f>IF('Données projet'!$A$62&gt;35,AI3+AH4-AQ3,IF(A4&lt;'Données projet'!$A$62,$AF$205^A4,IF(A4='Données projet'!$A$62,'Données projet'!$B$62,AI3+AH4-AQ3)))</f>
        <v>1.2474449991725556</v>
      </c>
      <c r="AJ4" s="13">
        <f>AI4*VLOOKUP('Données projet'!$B$10,Paramètres!$A$1:$I$89,3,0)*VLOOKUP('Données projet'!$B$10,Paramètres!$A$1:$I$89,5,0)</f>
        <v>0.74597210950518822</v>
      </c>
      <c r="AK4" s="13">
        <f>EXP(-1.0587+0.8836*LN(AJ4)+0.284)</f>
        <v>0.35570481632934337</v>
      </c>
      <c r="AL4" s="20">
        <f t="shared" ref="AL4:AL67" si="4">(AJ4+AK4)*0.475*44/12</f>
        <v>1.9187539791618089</v>
      </c>
      <c r="AM4" s="59">
        <f t="shared" ref="AM4:AM67" si="5">AL4+(AD4+AE4)*44/12</f>
        <v>259.80764286805066</v>
      </c>
      <c r="AN4" s="59">
        <f ca="1">AVERAGE(OFFSET($AM$3,0,0,'Données projet'!$E$10+1,1))-AVERAGE(OFFSET($H$3,0,0,'Données projet'!$E$10+1,1))</f>
        <v>349.71285006949597</v>
      </c>
      <c r="AO4" s="59">
        <f>$AO$3</f>
        <v>258.51550516456842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1.4743589743589742</v>
      </c>
      <c r="BD4" s="12">
        <f>IF('Données projet'!$A$88&gt;35,BD3+BC4-BL3,IF(A4&lt;'Données projet'!$A$88,$BA$205^A4,IF(A4='Données projet'!$A$88,'Données projet'!$B$88,BD3+BC4-BL3)))</f>
        <v>1.3087609363064139</v>
      </c>
      <c r="BE4" s="13">
        <f>BD4*VLOOKUP('Données projet'!$B$11,Paramètres!$A$1:$I$89,3,0)*VLOOKUP('Données projet'!$B$11,Paramètres!$A$1:$I$89,5,0)</f>
        <v>1.3679169306274639</v>
      </c>
      <c r="BF4" s="13">
        <f>EXP(-1.0587+0.8836*LN(BE4)+0.284)</f>
        <v>0.60781923235665469</v>
      </c>
      <c r="BG4" s="20">
        <f t="shared" ref="BG4:BG67" si="7">(BE4+BF4)*0.475*44/12</f>
        <v>3.4410738171973398</v>
      </c>
      <c r="BH4" s="59">
        <f t="shared" ref="BH4:BH67" si="8">BG4+(AY4+AZ4)*44/12</f>
        <v>261.32996270608618</v>
      </c>
      <c r="BI4" s="59">
        <f ca="1">AVERAGE(OFFSET($BH$3,0,0,'Données projet'!$E$11+1,1))-AVERAGE(OFFSET($H$3,0,0,'Données projet'!$E$11+1,1))</f>
        <v>260.74709892624571</v>
      </c>
      <c r="BJ4" s="59">
        <f>$BJ$3</f>
        <v>237.17381692184887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5.0894117647058819</v>
      </c>
      <c r="BY4" s="12">
        <f>IF('Données projet'!$A$114&gt;35,BY3+BX4-CG3,IF(A4&lt;'Données projet'!$A$114,$BV$205^A4,IF(A4='Données projet'!$A$114,'Données projet'!$B$114,BY3+BX4-CG3)))</f>
        <v>1.1636646418946561</v>
      </c>
      <c r="BZ4" s="13">
        <f>BY4*VLOOKUP('Données projet'!$B$12,Paramètres!$A$1:$I$89,3,0)*VLOOKUP('Données projet'!$B$12,Paramètres!$A$1:$I$89,5,0)</f>
        <v>1.0528837679862848</v>
      </c>
      <c r="CA4" s="13">
        <f>EXP(-1.0587+0.8836*LN(BZ4)+0.284)</f>
        <v>0.48231127341028485</v>
      </c>
      <c r="CB4" s="20">
        <f t="shared" ref="CB4:CB67" si="10">(BZ4+CA4)*0.475*44/12</f>
        <v>2.6737980304323585</v>
      </c>
      <c r="CC4" s="59">
        <f t="shared" ref="CC4:CC67" si="11">CB4+(BT4+BU4)*44/12</f>
        <v>260.56268691932121</v>
      </c>
      <c r="CD4" s="59">
        <f ca="1">AVERAGE(OFFSET($CC$3,0,0,'Données projet'!$E$12+1,1))-AVERAGE(OFFSET($H$3,0,0,'Données projet'!$E$12+1,1))</f>
        <v>695.0879239758051</v>
      </c>
      <c r="CE4" s="59">
        <f>$CE$3</f>
        <v>226.22150997227476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5.0894117647058819</v>
      </c>
      <c r="CT4" s="12">
        <f>IF('Données projet'!$A$140&gt;35,CT3+CS4-DB3,IF(A4&lt;'Données projet'!$A$140,$CQ$205^A4,IF(A4='Données projet'!$A$140,'Données projet'!$B$140,CT3+CS4-DB3)))</f>
        <v>1.1636646418946561</v>
      </c>
      <c r="CU4" s="17">
        <f>CT4*VLOOKUP('Données projet'!$B$13,Paramètres!$A$1:$I$89,3,0)*VLOOKUP('Données projet'!$B$13,Paramètres!$A$1:$I$89,5,0)</f>
        <v>1.1799559468811815</v>
      </c>
      <c r="CV4" s="13">
        <f>EXP(-1.0587+0.8836*LN(CU4)+0.284)</f>
        <v>0.5333995929543609</v>
      </c>
      <c r="CW4" s="20">
        <f t="shared" ref="CW4:CW67" si="13">(CU4+CV4)*0.475*44/12</f>
        <v>2.9840942318802361</v>
      </c>
      <c r="CX4" s="59">
        <f t="shared" ref="CX4:CX67" si="14">CW4+(CO4+CP4)*44/12</f>
        <v>260.87298312076911</v>
      </c>
      <c r="CY4" s="59">
        <f ca="1">AVERAGE(OFFSET($CX$3,0,0,'Données projet'!$E$13+1,1))-AVERAGE(OFFSET($H$3,0,0,'Données projet'!$E$13+1,1))</f>
        <v>773.15074145293738</v>
      </c>
      <c r="CZ4" s="59">
        <f>$CZ$3</f>
        <v>248.49577986312505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6.4429411764705877</v>
      </c>
      <c r="DO4" s="12">
        <f>IF('Données projet'!$A$166&gt;35,DO3+DN4-DW3,IF(A4&lt;'Données projet'!$A$166,$DL$205^A4,IF(A4='Données projet'!$A$166,'Données projet'!$B$166,DO3+DN4-DW3)))</f>
        <v>6.4429411764705877</v>
      </c>
      <c r="DP4" s="17">
        <f>DO4*VLOOKUP('Données projet'!$B$14,Paramètres!$A$1:$I$89,3,0)*VLOOKUP('Données projet'!$B$14,Paramètres!$A$1:$I$89,5,0)</f>
        <v>3.0152964705882348</v>
      </c>
      <c r="DQ4" s="13">
        <f>EXP(-1.0587+0.8836*LN(DP4)+0.284)</f>
        <v>1.2220474523614206</v>
      </c>
      <c r="DR4" s="20">
        <f t="shared" ref="DR4:DR67" si="16">(DP4+DQ4)*0.475*44/12</f>
        <v>7.3800406658039828</v>
      </c>
      <c r="DS4" s="59">
        <f t="shared" ref="DS4:DS67" si="17">DR4+(DJ4+DK4)*44/12</f>
        <v>265.26892955469282</v>
      </c>
      <c r="DT4" s="59">
        <f ca="1">AVERAGE(OFFSET($DS$3,0,0,'Données projet'!$E$14+1,1))-AVERAGE(OFFSET($H$3,0,0,'Données projet'!$E$14+1,1))</f>
        <v>293.15557501692803</v>
      </c>
      <c r="DU4" s="59">
        <f>$DU$3</f>
        <v>237.1930412773068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5.699583333333333</v>
      </c>
      <c r="EJ4" s="12">
        <f>IF('Données projet'!$A$192&gt;35,EJ3+EI4-ER3,IF(A4&lt;'Données projet'!$A$192,$EG$205^A4,IF(A4='Données projet'!$A$192,'Données projet'!$B$192,EJ3+EI4-ER3)))</f>
        <v>1.2274456314762281</v>
      </c>
      <c r="EK4" s="17">
        <f>EJ4*VLOOKUP('Données projet'!$B$15,Paramètres!$A$1:$I$89,3,0)*VLOOKUP('Données projet'!$B$15,Paramètres!$A$1:$I$89,5,0)</f>
        <v>0.73401248762278448</v>
      </c>
      <c r="EL4" s="13">
        <f>EXP(-1.0587+0.8836*LN(EK4)+0.284)</f>
        <v>0.35066113325482479</v>
      </c>
      <c r="EM4" s="20">
        <f t="shared" ref="EM4:EM67" si="19">(EK4+EL4)*0.475*44/12</f>
        <v>1.8891398896951692</v>
      </c>
      <c r="EN4" s="59">
        <f t="shared" ref="EN4:EN67" si="20">EM4+(EE4+EF4)*44/12</f>
        <v>259.77802877858403</v>
      </c>
      <c r="EO4" s="59">
        <f ca="1">AVERAGE(OFFSET($EN$3,0,0,'Données projet'!$E$15+1,1))-AVERAGE(OFFSET($H$3,0,0,'Données projet'!$E$15+1,1))</f>
        <v>225.86663363047296</v>
      </c>
      <c r="EP4" s="59">
        <f>$EP$3</f>
        <v>258.08349727304397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9.5933333333333337</v>
      </c>
      <c r="N5" s="13">
        <f>IF('Données projet'!$A$36&gt;35,N4+M5-V4,IF(A5&lt;'Données projet'!$A$36,$K$205^A5,IF(A5='Données projet'!$A$36,'Données projet'!$B$36,N4+M5-V4)))</f>
        <v>1.9397306990543379</v>
      </c>
      <c r="O5" s="13">
        <f>N5*VLOOKUP('Données projet'!$B$9,Paramètres!$A$1:$I$89,3,0)*VLOOKUP('Données projet'!$B$9,Paramètres!$A$1:$I$89,5,0)</f>
        <v>1.1599589580344942</v>
      </c>
      <c r="P5" s="13">
        <f t="shared" ref="P5:P68" si="33">EXP(-1.0587+0.8836*LN(O5)+0.284)</f>
        <v>0.52540423213734377</v>
      </c>
      <c r="Q5" s="20">
        <f t="shared" si="2"/>
        <v>2.9353408895492845</v>
      </c>
      <c r="R5" s="59">
        <f t="shared" si="0"/>
        <v>262.04645200066045</v>
      </c>
      <c r="S5" s="59">
        <f ca="1">AVERAGE(OFFSET($R$3,0,0,'Données projet'!$E$9+1,1))-AVERAGE(OFFSET($H$3,0,0,'Données projet'!$E$9+1,1))</f>
        <v>388.12151914648013</v>
      </c>
      <c r="T5" s="59">
        <f t="shared" ref="T5:T68" si="34">$T$3</f>
        <v>481.43684454382793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5.8890909090909096</v>
      </c>
      <c r="AI5" s="13">
        <f>IF('Données projet'!$A$62&gt;35,AI4+AH5-AQ4,IF(A5&lt;'Données projet'!$A$62,$AF$205^A5,IF(A5='Données projet'!$A$62,'Données projet'!$B$62,AI4+AH5-AQ4)))</f>
        <v>1.5561190259606172</v>
      </c>
      <c r="AJ5" s="13">
        <f>AI5*VLOOKUP('Données projet'!$B$10,Paramètres!$A$1:$I$89,3,0)*VLOOKUP('Données projet'!$B$10,Paramètres!$A$1:$I$89,5,0)</f>
        <v>0.93055917752444917</v>
      </c>
      <c r="AK5" s="13">
        <f t="shared" ref="AK5:AK68" si="35">EXP(-1.0587+0.8836*LN(AJ5)+0.284)</f>
        <v>0.43244836584356472</v>
      </c>
      <c r="AL5" s="20">
        <f t="shared" si="4"/>
        <v>2.3739048046992908</v>
      </c>
      <c r="AM5" s="59">
        <f t="shared" si="5"/>
        <v>261.48501591581044</v>
      </c>
      <c r="AN5" s="59">
        <f ca="1">AVERAGE(OFFSET($AM$3,0,0,'Données projet'!$E$10+1,1))-AVERAGE(OFFSET($H$3,0,0,'Données projet'!$E$10+1,1))</f>
        <v>349.71285006949597</v>
      </c>
      <c r="AO5" s="59">
        <f t="shared" ref="AO5:AO68" si="36">$AO$3</f>
        <v>258.51550516456842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1.4743589743589742</v>
      </c>
      <c r="BD5" s="12">
        <f>IF('Données projet'!$A$88&gt;35,BD4+BC5-BL4,IF(A5&lt;'Données projet'!$A$88,$BA$205^A5,IF(A5='Données projet'!$A$88,'Données projet'!$B$88,BD4+BC5-BL4)))</f>
        <v>1.7128551884016412</v>
      </c>
      <c r="BE5" s="13">
        <f>BD5*VLOOKUP('Données projet'!$B$11,Paramètres!$A$1:$I$89,3,0)*VLOOKUP('Données projet'!$B$11,Paramètres!$A$1:$I$89,5,0)</f>
        <v>1.7902762429173955</v>
      </c>
      <c r="BF5" s="13">
        <f t="shared" ref="BF5:BF68" si="37">EXP(-1.0587+0.8836*LN(BE5)+0.284)</f>
        <v>0.77096066361657623</v>
      </c>
      <c r="BG5" s="20">
        <f t="shared" si="7"/>
        <v>4.4608209455466667</v>
      </c>
      <c r="BH5" s="59">
        <f t="shared" si="8"/>
        <v>263.57193205665783</v>
      </c>
      <c r="BI5" s="59">
        <f ca="1">AVERAGE(OFFSET($BH$3,0,0,'Données projet'!$E$11+1,1))-AVERAGE(OFFSET($H$3,0,0,'Données projet'!$E$11+1,1))</f>
        <v>260.74709892624571</v>
      </c>
      <c r="BJ5" s="59">
        <f t="shared" ref="BJ5:BJ68" si="38">$BJ$3</f>
        <v>237.17381692184887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5.0894117647058819</v>
      </c>
      <c r="BY5" s="12">
        <f>IF('Données projet'!$A$114&gt;35,BY4+BX5-CG4,IF(A5&lt;'Données projet'!$A$114,$BV$205^A5,IF(A5='Données projet'!$A$114,'Données projet'!$B$114,BY4+BX5-CG4)))</f>
        <v>1.3541153987958183</v>
      </c>
      <c r="BZ5" s="13">
        <f>BY5*VLOOKUP('Données projet'!$B$12,Paramètres!$A$1:$I$89,3,0)*VLOOKUP('Données projet'!$B$12,Paramètres!$A$1:$I$89,5,0)</f>
        <v>1.2252036128304564</v>
      </c>
      <c r="CA5" s="13">
        <f t="shared" ref="CA5:CA68" si="39">EXP(-1.0587+0.8836*LN(BZ5)+0.284)</f>
        <v>0.55143317604780007</v>
      </c>
      <c r="CB5" s="20">
        <f t="shared" si="10"/>
        <v>3.0943090739629628</v>
      </c>
      <c r="CC5" s="59">
        <f t="shared" si="11"/>
        <v>262.2054201850741</v>
      </c>
      <c r="CD5" s="59">
        <f ca="1">AVERAGE(OFFSET($CC$3,0,0,'Données projet'!$E$12+1,1))-AVERAGE(OFFSET($H$3,0,0,'Données projet'!$E$12+1,1))</f>
        <v>695.0879239758051</v>
      </c>
      <c r="CE5" s="59">
        <f t="shared" ref="CE5:CE68" si="40">$CE$3</f>
        <v>226.22150997227476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5.0894117647058819</v>
      </c>
      <c r="CT5" s="12">
        <f>IF('Données projet'!$A$140&gt;35,CT4+CS5-DB4,IF(A5&lt;'Données projet'!$A$140,$CQ$205^A5,IF(A5='Données projet'!$A$140,'Données projet'!$B$140,CT4+CS5-DB4)))</f>
        <v>1.3541153987958183</v>
      </c>
      <c r="CU5" s="17">
        <f>CT5*VLOOKUP('Données projet'!$B$13,Paramètres!$A$1:$I$89,3,0)*VLOOKUP('Données projet'!$B$13,Paramètres!$A$1:$I$89,5,0)</f>
        <v>1.37307301437896</v>
      </c>
      <c r="CV5" s="13">
        <f t="shared" ref="CV5:CV68" si="41">EXP(-1.0587+0.8836*LN(CU5)+0.284)</f>
        <v>0.60984316117201265</v>
      </c>
      <c r="CW5" s="20">
        <f t="shared" si="13"/>
        <v>3.4535790057512776</v>
      </c>
      <c r="CX5" s="59">
        <f t="shared" si="14"/>
        <v>262.56469011686244</v>
      </c>
      <c r="CY5" s="59">
        <f ca="1">AVERAGE(OFFSET($CX$3,0,0,'Données projet'!$E$13+1,1))-AVERAGE(OFFSET($H$3,0,0,'Données projet'!$E$13+1,1))</f>
        <v>773.15074145293738</v>
      </c>
      <c r="CZ5" s="59">
        <f t="shared" ref="CZ5:CZ68" si="42">$CZ$3</f>
        <v>248.49577986312505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6.4429411764705877</v>
      </c>
      <c r="DO5" s="12">
        <f>IF('Données projet'!$A$166&gt;35,DO4+DN5-DW4,IF(A5&lt;'Données projet'!$A$166,$DL$205^A5,IF(A5='Données projet'!$A$166,'Données projet'!$B$166,DO4+DN5-DW4)))</f>
        <v>12.885882352941175</v>
      </c>
      <c r="DP5" s="17">
        <f>DO5*VLOOKUP('Données projet'!$B$14,Paramètres!$A$1:$I$89,3,0)*VLOOKUP('Données projet'!$B$14,Paramètres!$A$1:$I$89,5,0)</f>
        <v>6.0305929411764696</v>
      </c>
      <c r="DQ5" s="13">
        <f t="shared" ref="DQ5:DQ68" si="43">EXP(-1.0587+0.8836*LN(DP5)+0.284)</f>
        <v>2.2546450176634503</v>
      </c>
      <c r="DR5" s="20">
        <f t="shared" si="16"/>
        <v>14.430122778312859</v>
      </c>
      <c r="DS5" s="59">
        <f t="shared" si="17"/>
        <v>273.54123388942401</v>
      </c>
      <c r="DT5" s="59">
        <f ca="1">AVERAGE(OFFSET($DS$3,0,0,'Données projet'!$E$14+1,1))-AVERAGE(OFFSET($H$3,0,0,'Données projet'!$E$14+1,1))</f>
        <v>293.15557501692803</v>
      </c>
      <c r="DU5" s="59">
        <f t="shared" ref="DU5:DU68" si="44">$DU$3</f>
        <v>237.1930412773068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5.699583333333333</v>
      </c>
      <c r="EJ5" s="12">
        <f>IF('Données projet'!$A$192&gt;35,EJ4+EI5-ER4,IF(A5&lt;'Données projet'!$A$192,$EG$205^A5,IF(A5='Données projet'!$A$192,'Données projet'!$B$192,EJ4+EI5-ER4)))</f>
        <v>1.5066227782300763</v>
      </c>
      <c r="EK5" s="17">
        <f>EJ5*VLOOKUP('Données projet'!$B$15,Paramètres!$A$1:$I$89,3,0)*VLOOKUP('Données projet'!$B$15,Paramètres!$A$1:$I$89,5,0)</f>
        <v>0.90096042138158561</v>
      </c>
      <c r="EL5" s="13">
        <f t="shared" ref="EL5:EL68" si="45">EXP(-1.0587+0.8836*LN(EK5)+0.284)</f>
        <v>0.42027158992078323</v>
      </c>
      <c r="EM5" s="20">
        <f t="shared" si="19"/>
        <v>2.3011457530182922</v>
      </c>
      <c r="EN5" s="59">
        <f t="shared" si="20"/>
        <v>261.41225686412946</v>
      </c>
      <c r="EO5" s="59">
        <f ca="1">AVERAGE(OFFSET($EN$3,0,0,'Données projet'!$E$15+1,1))-AVERAGE(OFFSET($H$3,0,0,'Données projet'!$E$15+1,1))</f>
        <v>225.86663363047296</v>
      </c>
      <c r="EP5" s="59">
        <f t="shared" ref="EP5:EP68" si="46">$EP$3</f>
        <v>258.08349727304397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9.5933333333333337</v>
      </c>
      <c r="N6" s="13">
        <f>IF('Données projet'!$A$36&gt;35,N5+M6-V5,IF(A6&lt;'Données projet'!$A$36,$K$205^A6,IF(A6='Données projet'!$A$36,'Données projet'!$B$36,N5+M6-V5)))</f>
        <v>2.7015447060796616</v>
      </c>
      <c r="O6" s="13">
        <f>N6*VLOOKUP('Données projet'!$B$9,Paramètres!$A$1:$I$89,3,0)*VLOOKUP('Données projet'!$B$9,Paramètres!$A$1:$I$89,5,0)</f>
        <v>1.6155237342356377</v>
      </c>
      <c r="P6" s="13">
        <f t="shared" si="33"/>
        <v>0.70407307191925306</v>
      </c>
      <c r="Q6" s="20">
        <f t="shared" si="2"/>
        <v>4.039964437386435</v>
      </c>
      <c r="R6" s="59">
        <f t="shared" si="0"/>
        <v>264.37329777071977</v>
      </c>
      <c r="S6" s="59">
        <f ca="1">AVERAGE(OFFSET($R$3,0,0,'Données projet'!$E$9+1,1))-AVERAGE(OFFSET($H$3,0,0,'Données projet'!$E$9+1,1))</f>
        <v>388.12151914648013</v>
      </c>
      <c r="T6" s="59">
        <f t="shared" si="34"/>
        <v>481.43684454382793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5.8890909090909096</v>
      </c>
      <c r="AI6" s="13">
        <f>IF('Données projet'!$A$62&gt;35,AI5+AH6-AQ5,IF(A6&lt;'Données projet'!$A$62,$AF$205^A6,IF(A6='Données projet'!$A$62,'Données projet'!$B$62,AI5+AH6-AQ5)))</f>
        <v>1.9411728970518403</v>
      </c>
      <c r="AJ6" s="13">
        <f>AI6*VLOOKUP('Données projet'!$B$10,Paramètres!$A$1:$I$89,3,0)*VLOOKUP('Données projet'!$B$10,Paramètres!$A$1:$I$89,5,0)</f>
        <v>1.1608213924370006</v>
      </c>
      <c r="AK6" s="13">
        <f t="shared" si="35"/>
        <v>0.52574938695127893</v>
      </c>
      <c r="AL6" s="20">
        <f t="shared" si="4"/>
        <v>2.9374441074345867</v>
      </c>
      <c r="AM6" s="59">
        <f t="shared" si="5"/>
        <v>263.27077744076792</v>
      </c>
      <c r="AN6" s="59">
        <f ca="1">AVERAGE(OFFSET($AM$3,0,0,'Données projet'!$E$10+1,1))-AVERAGE(OFFSET($H$3,0,0,'Données projet'!$E$10+1,1))</f>
        <v>349.71285006949597</v>
      </c>
      <c r="AO6" s="59">
        <f t="shared" si="36"/>
        <v>258.51550516456842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1.4743589743589742</v>
      </c>
      <c r="BD6" s="12">
        <f>IF('Données projet'!$A$88&gt;35,BD5+BC6-BL5,IF(A6&lt;'Données projet'!$A$88,$BA$205^A6,IF(A6='Données projet'!$A$88,'Données projet'!$B$88,BD5+BC6-BL5)))</f>
        <v>2.2417179601298307</v>
      </c>
      <c r="BE6" s="13">
        <f>BD6*VLOOKUP('Données projet'!$B$11,Paramètres!$A$1:$I$89,3,0)*VLOOKUP('Données projet'!$B$11,Paramètres!$A$1:$I$89,5,0)</f>
        <v>2.3430436119276994</v>
      </c>
      <c r="BF6" s="13">
        <f t="shared" si="37"/>
        <v>0.97788999294998047</v>
      </c>
      <c r="BG6" s="20">
        <f t="shared" si="7"/>
        <v>5.7839593618286251</v>
      </c>
      <c r="BH6" s="59">
        <f t="shared" si="8"/>
        <v>266.11729269516195</v>
      </c>
      <c r="BI6" s="59">
        <f ca="1">AVERAGE(OFFSET($BH$3,0,0,'Données projet'!$E$11+1,1))-AVERAGE(OFFSET($H$3,0,0,'Données projet'!$E$11+1,1))</f>
        <v>260.74709892624571</v>
      </c>
      <c r="BJ6" s="59">
        <f t="shared" si="38"/>
        <v>237.17381692184887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5.0894117647058819</v>
      </c>
      <c r="BY6" s="12">
        <f>IF('Données projet'!$A$114&gt;35,BY5+BX6-CG5,IF(A6&lt;'Données projet'!$A$114,$BV$205^A6,IF(A6='Données projet'!$A$114,'Données projet'!$B$114,BY5+BX6-CG5)))</f>
        <v>1.5757362106237753</v>
      </c>
      <c r="BZ6" s="13">
        <f>BY6*VLOOKUP('Données projet'!$B$12,Paramètres!$A$1:$I$89,3,0)*VLOOKUP('Données projet'!$B$12,Paramètres!$A$1:$I$89,5,0)</f>
        <v>1.4257261233723919</v>
      </c>
      <c r="CA6" s="13">
        <f t="shared" si="39"/>
        <v>0.63046120712898079</v>
      </c>
      <c r="CB6" s="20">
        <f t="shared" si="10"/>
        <v>3.5811929339565567</v>
      </c>
      <c r="CC6" s="59">
        <f t="shared" si="11"/>
        <v>263.91452626728989</v>
      </c>
      <c r="CD6" s="59">
        <f ca="1">AVERAGE(OFFSET($CC$3,0,0,'Données projet'!$E$12+1,1))-AVERAGE(OFFSET($H$3,0,0,'Données projet'!$E$12+1,1))</f>
        <v>695.0879239758051</v>
      </c>
      <c r="CE6" s="59">
        <f t="shared" si="40"/>
        <v>226.22150997227476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5.0894117647058819</v>
      </c>
      <c r="CT6" s="12">
        <f>IF('Données projet'!$A$140&gt;35,CT5+CS6-DB5,IF(A6&lt;'Données projet'!$A$140,$CQ$205^A6,IF(A6='Données projet'!$A$140,'Données projet'!$B$140,CT5+CS6-DB5)))</f>
        <v>1.5757362106237753</v>
      </c>
      <c r="CU6" s="17">
        <f>CT6*VLOOKUP('Données projet'!$B$13,Paramètres!$A$1:$I$89,3,0)*VLOOKUP('Données projet'!$B$13,Paramètres!$A$1:$I$89,5,0)</f>
        <v>1.5977965175725084</v>
      </c>
      <c r="CV6" s="13">
        <f t="shared" si="41"/>
        <v>0.69724215417632485</v>
      </c>
      <c r="CW6" s="20">
        <f t="shared" si="13"/>
        <v>3.9971923532958851</v>
      </c>
      <c r="CX6" s="59">
        <f t="shared" si="14"/>
        <v>264.33052568662919</v>
      </c>
      <c r="CY6" s="59">
        <f ca="1">AVERAGE(OFFSET($CX$3,0,0,'Données projet'!$E$13+1,1))-AVERAGE(OFFSET($H$3,0,0,'Données projet'!$E$13+1,1))</f>
        <v>773.15074145293738</v>
      </c>
      <c r="CZ6" s="59">
        <f t="shared" si="42"/>
        <v>248.49577986312505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6.4429411764705877</v>
      </c>
      <c r="DO6" s="12">
        <f>IF('Données projet'!$A$166&gt;35,DO5+DN6-DW5,IF(A6&lt;'Données projet'!$A$166,$DL$205^A6,IF(A6='Données projet'!$A$166,'Données projet'!$B$166,DO5+DN6-DW5)))</f>
        <v>19.328823529411764</v>
      </c>
      <c r="DP6" s="17">
        <f>DO6*VLOOKUP('Données projet'!$B$14,Paramètres!$A$1:$I$89,3,0)*VLOOKUP('Données projet'!$B$14,Paramètres!$A$1:$I$89,5,0)</f>
        <v>9.0458894117647048</v>
      </c>
      <c r="DQ6" s="13">
        <f t="shared" si="43"/>
        <v>3.2260597792347325</v>
      </c>
      <c r="DR6" s="20">
        <f t="shared" si="16"/>
        <v>21.373644840990689</v>
      </c>
      <c r="DS6" s="59">
        <f t="shared" si="17"/>
        <v>281.70697817432398</v>
      </c>
      <c r="DT6" s="59">
        <f ca="1">AVERAGE(OFFSET($DS$3,0,0,'Données projet'!$E$14+1,1))-AVERAGE(OFFSET($H$3,0,0,'Données projet'!$E$14+1,1))</f>
        <v>293.15557501692803</v>
      </c>
      <c r="DU6" s="59">
        <f t="shared" si="44"/>
        <v>237.1930412773068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5.699583333333333</v>
      </c>
      <c r="EJ6" s="12">
        <f>IF('Données projet'!$A$192&gt;35,EJ5+EI6-ER5,IF(A6&lt;'Données projet'!$A$192,$EG$205^A6,IF(A6='Données projet'!$A$192,'Données projet'!$B$192,EJ5+EI6-ER5)))</f>
        <v>1.8492975474210851</v>
      </c>
      <c r="EK6" s="17">
        <f>EJ6*VLOOKUP('Données projet'!$B$15,Paramètres!$A$1:$I$89,3,0)*VLOOKUP('Données projet'!$B$15,Paramètres!$A$1:$I$89,5,0)</f>
        <v>1.1058799333578091</v>
      </c>
      <c r="EL6" s="13">
        <f t="shared" si="45"/>
        <v>0.50370056029616384</v>
      </c>
      <c r="EM6" s="20">
        <f t="shared" si="19"/>
        <v>2.8033526931140025</v>
      </c>
      <c r="EN6" s="59">
        <f t="shared" si="20"/>
        <v>263.13668602644731</v>
      </c>
      <c r="EO6" s="59">
        <f ca="1">AVERAGE(OFFSET($EN$3,0,0,'Données projet'!$E$15+1,1))-AVERAGE(OFFSET($H$3,0,0,'Données projet'!$E$15+1,1))</f>
        <v>225.86663363047296</v>
      </c>
      <c r="EP6" s="59">
        <f t="shared" si="46"/>
        <v>258.08349727304397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9.5933333333333337</v>
      </c>
      <c r="N7" s="13">
        <f>IF('Données projet'!$A$36&gt;35,N6+M7-V6,IF(A7&lt;'Données projet'!$A$36,$K$205^A7,IF(A7='Données projet'!$A$36,'Données projet'!$B$36,N6+M7-V6)))</f>
        <v>3.7625551848538303</v>
      </c>
      <c r="O7" s="13">
        <f>N7*VLOOKUP('Données projet'!$B$9,Paramètres!$A$1:$I$89,3,0)*VLOOKUP('Données projet'!$B$9,Paramètres!$A$1:$I$89,5,0)</f>
        <v>2.2500080005425906</v>
      </c>
      <c r="P7" s="13">
        <f t="shared" si="33"/>
        <v>0.94349999539446006</v>
      </c>
      <c r="Q7" s="20">
        <f t="shared" si="2"/>
        <v>5.56202642625703</v>
      </c>
      <c r="R7" s="59">
        <f t="shared" si="0"/>
        <v>267.11758198181258</v>
      </c>
      <c r="S7" s="59">
        <f ca="1">AVERAGE(OFFSET($R$3,0,0,'Données projet'!$E$9+1,1))-AVERAGE(OFFSET($H$3,0,0,'Données projet'!$E$9+1,1))</f>
        <v>388.12151914648013</v>
      </c>
      <c r="T7" s="59">
        <f t="shared" si="34"/>
        <v>481.43684454382793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5.8890909090909096</v>
      </c>
      <c r="AI7" s="13">
        <f>IF('Données projet'!$A$62&gt;35,AI6+AH7-AQ6,IF(A7&lt;'Données projet'!$A$62,$AF$205^A7,IF(A7='Données projet'!$A$62,'Données projet'!$B$62,AI6+AH7-AQ6)))</f>
        <v>2.4215064229566203</v>
      </c>
      <c r="AJ7" s="13">
        <f>AI7*VLOOKUP('Données projet'!$B$10,Paramètres!$A$1:$I$89,3,0)*VLOOKUP('Données projet'!$B$10,Paramètres!$A$1:$I$89,5,0)</f>
        <v>1.4480608409280591</v>
      </c>
      <c r="AK7" s="13">
        <f t="shared" si="35"/>
        <v>0.63918016510585218</v>
      </c>
      <c r="AL7" s="20">
        <f t="shared" si="4"/>
        <v>3.6352780855090621</v>
      </c>
      <c r="AM7" s="59">
        <f t="shared" si="5"/>
        <v>265.19083364106461</v>
      </c>
      <c r="AN7" s="59">
        <f ca="1">AVERAGE(OFFSET($AM$3,0,0,'Données projet'!$E$10+1,1))-AVERAGE(OFFSET($H$3,0,0,'Données projet'!$E$10+1,1))</f>
        <v>349.71285006949597</v>
      </c>
      <c r="AO7" s="59">
        <f t="shared" si="36"/>
        <v>258.51550516456842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1.4743589743589742</v>
      </c>
      <c r="BD7" s="12">
        <f>IF('Données projet'!$A$88&gt;35,BD6+BC7-BL6,IF(A7&lt;'Données projet'!$A$88,$BA$205^A7,IF(A7='Données projet'!$A$88,'Données projet'!$B$88,BD6+BC7-BL6)))</f>
        <v>2.9338728964344218</v>
      </c>
      <c r="BE7" s="13">
        <f>BD7*VLOOKUP('Données projet'!$B$11,Paramètres!$A$1:$I$89,3,0)*VLOOKUP('Données projet'!$B$11,Paramètres!$A$1:$I$89,5,0)</f>
        <v>3.0664839513532582</v>
      </c>
      <c r="BF7" s="13">
        <f t="shared" si="37"/>
        <v>1.2403600902617475</v>
      </c>
      <c r="BG7" s="20">
        <f t="shared" si="7"/>
        <v>7.5010867058128019</v>
      </c>
      <c r="BH7" s="59">
        <f t="shared" si="8"/>
        <v>269.05664226136832</v>
      </c>
      <c r="BI7" s="59">
        <f ca="1">AVERAGE(OFFSET($BH$3,0,0,'Données projet'!$E$11+1,1))-AVERAGE(OFFSET($H$3,0,0,'Données projet'!$E$11+1,1))</f>
        <v>260.74709892624571</v>
      </c>
      <c r="BJ7" s="59">
        <f t="shared" si="38"/>
        <v>237.17381692184887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5.0894117647058819</v>
      </c>
      <c r="BY7" s="12">
        <f>IF('Données projet'!$A$114&gt;35,BY6+BX7-CG6,IF(A7&lt;'Données projet'!$A$114,$BV$205^A7,IF(A7='Données projet'!$A$114,'Données projet'!$B$114,BY6+BX7-CG6)))</f>
        <v>1.833628513255958</v>
      </c>
      <c r="BZ7" s="13">
        <f>BY7*VLOOKUP('Données projet'!$B$12,Paramètres!$A$1:$I$89,3,0)*VLOOKUP('Données projet'!$B$12,Paramètres!$A$1:$I$89,5,0)</f>
        <v>1.6590670787939907</v>
      </c>
      <c r="CA7" s="13">
        <f t="shared" si="39"/>
        <v>0.72081505241185662</v>
      </c>
      <c r="CB7" s="20">
        <f t="shared" si="10"/>
        <v>4.1449613785168511</v>
      </c>
      <c r="CC7" s="59">
        <f t="shared" si="11"/>
        <v>265.70051693407237</v>
      </c>
      <c r="CD7" s="59">
        <f ca="1">AVERAGE(OFFSET($CC$3,0,0,'Données projet'!$E$12+1,1))-AVERAGE(OFFSET($H$3,0,0,'Données projet'!$E$12+1,1))</f>
        <v>695.0879239758051</v>
      </c>
      <c r="CE7" s="59">
        <f t="shared" si="40"/>
        <v>226.22150997227476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5.0894117647058819</v>
      </c>
      <c r="CT7" s="12">
        <f>IF('Données projet'!$A$140&gt;35,CT6+CS7-DB6,IF(A7&lt;'Données projet'!$A$140,$CQ$205^A7,IF(A7='Données projet'!$A$140,'Données projet'!$B$140,CT6+CS7-DB6)))</f>
        <v>1.833628513255958</v>
      </c>
      <c r="CU7" s="17">
        <f>CT7*VLOOKUP('Données projet'!$B$13,Paramètres!$A$1:$I$89,3,0)*VLOOKUP('Données projet'!$B$13,Paramètres!$A$1:$I$89,5,0)</f>
        <v>1.8592993124415416</v>
      </c>
      <c r="CV7" s="13">
        <f t="shared" si="41"/>
        <v>0.79716663646133623</v>
      </c>
      <c r="CW7" s="20">
        <f t="shared" si="13"/>
        <v>4.6266781943391786</v>
      </c>
      <c r="CX7" s="59">
        <f t="shared" si="14"/>
        <v>266.18223374989475</v>
      </c>
      <c r="CY7" s="59">
        <f ca="1">AVERAGE(OFFSET($CX$3,0,0,'Données projet'!$E$13+1,1))-AVERAGE(OFFSET($H$3,0,0,'Données projet'!$E$13+1,1))</f>
        <v>773.15074145293738</v>
      </c>
      <c r="CZ7" s="59">
        <f t="shared" si="42"/>
        <v>248.49577986312505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6.4429411764705877</v>
      </c>
      <c r="DO7" s="12">
        <f>IF('Données projet'!$A$166&gt;35,DO6+DN7-DW6,IF(A7&lt;'Données projet'!$A$166,$DL$205^A7,IF(A7='Données projet'!$A$166,'Données projet'!$B$166,DO6+DN7-DW6)))</f>
        <v>25.771764705882351</v>
      </c>
      <c r="DP7" s="17">
        <f>DO7*VLOOKUP('Données projet'!$B$14,Paramètres!$A$1:$I$89,3,0)*VLOOKUP('Données projet'!$B$14,Paramètres!$A$1:$I$89,5,0)</f>
        <v>12.061185882352939</v>
      </c>
      <c r="DQ7" s="13">
        <f t="shared" si="43"/>
        <v>4.1597600370195753</v>
      </c>
      <c r="DR7" s="20">
        <f t="shared" si="16"/>
        <v>28.251480809573795</v>
      </c>
      <c r="DS7" s="59">
        <f t="shared" si="17"/>
        <v>289.80703636512936</v>
      </c>
      <c r="DT7" s="59">
        <f ca="1">AVERAGE(OFFSET($DS$3,0,0,'Données projet'!$E$14+1,1))-AVERAGE(OFFSET($H$3,0,0,'Données projet'!$E$14+1,1))</f>
        <v>293.15557501692803</v>
      </c>
      <c r="DU7" s="59">
        <f t="shared" si="44"/>
        <v>237.1930412773068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5.699583333333333</v>
      </c>
      <c r="EJ7" s="12">
        <f>IF('Données projet'!$A$192&gt;35,EJ6+EI7-ER6,IF(A7&lt;'Données projet'!$A$192,$EG$205^A7,IF(A7='Données projet'!$A$192,'Données projet'!$B$192,EJ6+EI7-ER6)))</f>
        <v>2.2699121958817137</v>
      </c>
      <c r="EK7" s="17">
        <f>EJ7*VLOOKUP('Données projet'!$B$15,Paramètres!$A$1:$I$89,3,0)*VLOOKUP('Données projet'!$B$15,Paramètres!$A$1:$I$89,5,0)</f>
        <v>1.3574074931372648</v>
      </c>
      <c r="EL7" s="13">
        <f t="shared" si="45"/>
        <v>0.60369118571753033</v>
      </c>
      <c r="EM7" s="20">
        <f t="shared" si="19"/>
        <v>3.4155801990054346</v>
      </c>
      <c r="EN7" s="59">
        <f t="shared" si="20"/>
        <v>264.97113575456098</v>
      </c>
      <c r="EO7" s="59">
        <f ca="1">AVERAGE(OFFSET($EN$3,0,0,'Données projet'!$E$15+1,1))-AVERAGE(OFFSET($H$3,0,0,'Données projet'!$E$15+1,1))</f>
        <v>225.86663363047296</v>
      </c>
      <c r="EP7" s="59">
        <f t="shared" si="46"/>
        <v>258.08349727304397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9.5933333333333337</v>
      </c>
      <c r="N8" s="13">
        <f>IF('Données projet'!$A$36&gt;35,N7+M8-V7,IF(A8&lt;'Données projet'!$A$36,$K$205^A8,IF(A8='Données projet'!$A$36,'Données projet'!$B$36,N7+M8-V7)))</f>
        <v>5.240269201250447</v>
      </c>
      <c r="O8" s="13">
        <f>N8*VLOOKUP('Données projet'!$B$9,Paramètres!$A$1:$I$89,3,0)*VLOOKUP('Données projet'!$B$9,Paramètres!$A$1:$I$89,5,0)</f>
        <v>3.1336809823477676</v>
      </c>
      <c r="P8" s="13">
        <f t="shared" si="33"/>
        <v>1.2643463822338008</v>
      </c>
      <c r="Q8" s="20">
        <f t="shared" si="2"/>
        <v>7.6598976599795643</v>
      </c>
      <c r="R8" s="59">
        <f t="shared" si="0"/>
        <v>270.43767543775732</v>
      </c>
      <c r="S8" s="59">
        <f ca="1">AVERAGE(OFFSET($R$3,0,0,'Données projet'!$E$9+1,1))-AVERAGE(OFFSET($H$3,0,0,'Données projet'!$E$9+1,1))</f>
        <v>388.12151914648013</v>
      </c>
      <c r="T8" s="59">
        <f t="shared" si="34"/>
        <v>481.43684454382793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5.8890909090909096</v>
      </c>
      <c r="AI8" s="13">
        <f>IF('Données projet'!$A$62&gt;35,AI7+AH8-AQ7,IF(A8&lt;'Données projet'!$A$62,$AF$205^A8,IF(A8='Données projet'!$A$62,'Données projet'!$B$62,AI7+AH8-AQ7)))</f>
        <v>3.0206960777814591</v>
      </c>
      <c r="AJ8" s="13">
        <f>AI8*VLOOKUP('Données projet'!$B$10,Paramètres!$A$1:$I$89,3,0)*VLOOKUP('Données projet'!$B$10,Paramètres!$A$1:$I$89,5,0)</f>
        <v>1.8063762545133126</v>
      </c>
      <c r="AK8" s="13">
        <f t="shared" si="35"/>
        <v>0.77708370871120902</v>
      </c>
      <c r="AL8" s="20">
        <f t="shared" si="4"/>
        <v>4.4995261026160422</v>
      </c>
      <c r="AM8" s="59">
        <f t="shared" si="5"/>
        <v>267.27730388039379</v>
      </c>
      <c r="AN8" s="59">
        <f ca="1">AVERAGE(OFFSET($AM$3,0,0,'Données projet'!$E$10+1,1))-AVERAGE(OFFSET($H$3,0,0,'Données projet'!$E$10+1,1))</f>
        <v>349.71285006949597</v>
      </c>
      <c r="AO8" s="59">
        <f t="shared" si="36"/>
        <v>258.51550516456842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1.4743589743589742</v>
      </c>
      <c r="BD8" s="12">
        <f>IF('Données projet'!$A$88&gt;35,BD7+BC8-BL7,IF(A8&lt;'Données projet'!$A$88,$BA$205^A8,IF(A8='Données projet'!$A$88,'Données projet'!$B$88,BD7+BC8-BL7)))</f>
        <v>3.8397382389415244</v>
      </c>
      <c r="BE8" s="13">
        <f>BD8*VLOOKUP('Données projet'!$B$11,Paramètres!$A$1:$I$89,3,0)*VLOOKUP('Données projet'!$B$11,Paramètres!$A$1:$I$89,5,0)</f>
        <v>4.0132944073416814</v>
      </c>
      <c r="BF8" s="13">
        <f t="shared" si="37"/>
        <v>1.5732783488999504</v>
      </c>
      <c r="BG8" s="20">
        <f t="shared" si="7"/>
        <v>9.7299475504541739</v>
      </c>
      <c r="BH8" s="59">
        <f t="shared" si="8"/>
        <v>272.50772532823197</v>
      </c>
      <c r="BI8" s="59">
        <f ca="1">AVERAGE(OFFSET($BH$3,0,0,'Données projet'!$E$11+1,1))-AVERAGE(OFFSET($H$3,0,0,'Données projet'!$E$11+1,1))</f>
        <v>260.74709892624571</v>
      </c>
      <c r="BJ8" s="59">
        <f t="shared" si="38"/>
        <v>237.17381692184887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5.0894117647058819</v>
      </c>
      <c r="BY8" s="12">
        <f>IF('Données projet'!$A$114&gt;35,BY7+BX8-CG7,IF(A8&lt;'Données projet'!$A$114,$BV$205^A8,IF(A8='Données projet'!$A$114,'Données projet'!$B$114,BY7+BX8-CG7)))</f>
        <v>2.1337286672458249</v>
      </c>
      <c r="BZ8" s="13">
        <f>BY8*VLOOKUP('Données projet'!$B$12,Paramètres!$A$1:$I$89,3,0)*VLOOKUP('Données projet'!$B$12,Paramètres!$A$1:$I$89,5,0)</f>
        <v>1.9305976981240223</v>
      </c>
      <c r="CA8" s="13">
        <f t="shared" si="39"/>
        <v>0.82411785833670215</v>
      </c>
      <c r="CB8" s="20">
        <f t="shared" si="10"/>
        <v>4.7977962608357618</v>
      </c>
      <c r="CC8" s="59">
        <f t="shared" si="11"/>
        <v>267.57557403861352</v>
      </c>
      <c r="CD8" s="59">
        <f ca="1">AVERAGE(OFFSET($CC$3,0,0,'Données projet'!$E$12+1,1))-AVERAGE(OFFSET($H$3,0,0,'Données projet'!$E$12+1,1))</f>
        <v>695.0879239758051</v>
      </c>
      <c r="CE8" s="59">
        <f t="shared" si="40"/>
        <v>226.22150997227476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5.0894117647058819</v>
      </c>
      <c r="CT8" s="12">
        <f>IF('Données projet'!$A$140&gt;35,CT7+CS8-DB7,IF(A8&lt;'Données projet'!$A$140,$CQ$205^A8,IF(A8='Données projet'!$A$140,'Données projet'!$B$140,CT7+CS8-DB7)))</f>
        <v>2.1337286672458249</v>
      </c>
      <c r="CU8" s="17">
        <f>CT8*VLOOKUP('Données projet'!$B$13,Paramètres!$A$1:$I$89,3,0)*VLOOKUP('Données projet'!$B$13,Paramètres!$A$1:$I$89,5,0)</f>
        <v>2.1636008685872667</v>
      </c>
      <c r="CV8" s="13">
        <f t="shared" si="41"/>
        <v>0.91141168456429222</v>
      </c>
      <c r="CW8" s="20">
        <f t="shared" si="13"/>
        <v>5.3556468634056316</v>
      </c>
      <c r="CX8" s="59">
        <f t="shared" si="14"/>
        <v>268.13342464118341</v>
      </c>
      <c r="CY8" s="59">
        <f ca="1">AVERAGE(OFFSET($CX$3,0,0,'Données projet'!$E$13+1,1))-AVERAGE(OFFSET($H$3,0,0,'Données projet'!$E$13+1,1))</f>
        <v>773.15074145293738</v>
      </c>
      <c r="CZ8" s="59">
        <f t="shared" si="42"/>
        <v>248.49577986312505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6.4429411764705877</v>
      </c>
      <c r="DO8" s="12">
        <f>IF('Données projet'!$A$166&gt;35,DO7+DN8-DW7,IF(A8&lt;'Données projet'!$A$166,$DL$205^A8,IF(A8='Données projet'!$A$166,'Données projet'!$B$166,DO7+DN8-DW7)))</f>
        <v>32.214705882352938</v>
      </c>
      <c r="DP8" s="17">
        <f>DO8*VLOOKUP('Données projet'!$B$14,Paramètres!$A$1:$I$89,3,0)*VLOOKUP('Données projet'!$B$14,Paramètres!$A$1:$I$89,5,0)</f>
        <v>15.076482352941174</v>
      </c>
      <c r="DQ8" s="13">
        <f t="shared" si="43"/>
        <v>5.0663823938944823</v>
      </c>
      <c r="DR8" s="20">
        <f t="shared" si="16"/>
        <v>35.082156100738764</v>
      </c>
      <c r="DS8" s="59">
        <f t="shared" si="17"/>
        <v>297.85993387851653</v>
      </c>
      <c r="DT8" s="59">
        <f ca="1">AVERAGE(OFFSET($DS$3,0,0,'Données projet'!$E$14+1,1))-AVERAGE(OFFSET($H$3,0,0,'Données projet'!$E$14+1,1))</f>
        <v>293.15557501692803</v>
      </c>
      <c r="DU8" s="59">
        <f t="shared" si="44"/>
        <v>237.1930412773068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5.699583333333333</v>
      </c>
      <c r="EJ8" s="12">
        <f>IF('Données projet'!$A$192&gt;35,EJ7+EI8-ER7,IF(A8&lt;'Données projet'!$A$192,$EG$205^A8,IF(A8='Données projet'!$A$192,'Données projet'!$B$192,EJ7+EI8-ER7)))</f>
        <v>2.7861938086696214</v>
      </c>
      <c r="EK8" s="17">
        <f>EJ8*VLOOKUP('Données projet'!$B$15,Paramètres!$A$1:$I$89,3,0)*VLOOKUP('Données projet'!$B$15,Paramètres!$A$1:$I$89,5,0)</f>
        <v>1.6661438975844338</v>
      </c>
      <c r="EL8" s="13">
        <f t="shared" si="45"/>
        <v>0.72353115410225877</v>
      </c>
      <c r="EM8" s="20">
        <f t="shared" si="19"/>
        <v>4.1620173816876562</v>
      </c>
      <c r="EN8" s="59">
        <f t="shared" si="20"/>
        <v>266.9397951594654</v>
      </c>
      <c r="EO8" s="59">
        <f ca="1">AVERAGE(OFFSET($EN$3,0,0,'Données projet'!$E$15+1,1))-AVERAGE(OFFSET($H$3,0,0,'Données projet'!$E$15+1,1))</f>
        <v>225.86663363047296</v>
      </c>
      <c r="EP8" s="59">
        <f t="shared" si="46"/>
        <v>258.08349727304397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9.5933333333333337</v>
      </c>
      <c r="N9" s="13">
        <f>IF('Données projet'!$A$36&gt;35,N8+M9-V8,IF(A9&lt;'Données projet'!$A$36,$K$205^A9,IF(A9='Données projet'!$A$36,'Données projet'!$B$36,N8+M9-V8)))</f>
        <v>7.2983437989470437</v>
      </c>
      <c r="O9" s="13">
        <f>N9*VLOOKUP('Données projet'!$B$9,Paramètres!$A$1:$I$89,3,0)*VLOOKUP('Données projet'!$B$9,Paramètres!$A$1:$I$89,5,0)</f>
        <v>4.3644095917703325</v>
      </c>
      <c r="P9" s="13">
        <f t="shared" si="33"/>
        <v>1.6942997160263542</v>
      </c>
      <c r="Q9" s="20">
        <f t="shared" si="2"/>
        <v>10.55225204441256</v>
      </c>
      <c r="R9" s="59">
        <f t="shared" si="0"/>
        <v>274.55225204441257</v>
      </c>
      <c r="S9" s="59">
        <f ca="1">AVERAGE(OFFSET($R$3,0,0,'Données projet'!$E$9+1,1))-AVERAGE(OFFSET($H$3,0,0,'Données projet'!$E$9+1,1))</f>
        <v>388.12151914648013</v>
      </c>
      <c r="T9" s="59">
        <f t="shared" si="34"/>
        <v>481.43684454382793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5.8890909090909096</v>
      </c>
      <c r="AI9" s="13">
        <f>IF('Données projet'!$A$62&gt;35,AI8+AH9-AQ8,IF(A9&lt;'Données projet'!$A$62,$AF$205^A9,IF(A9='Données projet'!$A$62,'Données projet'!$B$62,AI8+AH9-AQ8)))</f>
        <v>3.7681522162486343</v>
      </c>
      <c r="AJ9" s="13">
        <f>AI9*VLOOKUP('Données projet'!$B$10,Paramètres!$A$1:$I$89,3,0)*VLOOKUP('Données projet'!$B$10,Paramètres!$A$1:$I$89,5,0)</f>
        <v>2.2533550253166834</v>
      </c>
      <c r="AK9" s="13">
        <f t="shared" si="35"/>
        <v>0.94474003310844989</v>
      </c>
      <c r="AL9" s="20">
        <f t="shared" si="4"/>
        <v>5.5700155600904404</v>
      </c>
      <c r="AM9" s="59">
        <f t="shared" si="5"/>
        <v>269.57001556009044</v>
      </c>
      <c r="AN9" s="59">
        <f ca="1">AVERAGE(OFFSET($AM$3,0,0,'Données projet'!$E$10+1,1))-AVERAGE(OFFSET($H$3,0,0,'Données projet'!$E$10+1,1))</f>
        <v>349.71285006949597</v>
      </c>
      <c r="AO9" s="59">
        <f t="shared" si="36"/>
        <v>258.51550516456842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1.4743589743589742</v>
      </c>
      <c r="BD9" s="12">
        <f>IF('Données projet'!$A$88&gt;35,BD8+BC9-BL8,IF(A9&lt;'Données projet'!$A$88,$BA$205^A9,IF(A9='Données projet'!$A$88,'Données projet'!$B$88,BD8+BC9-BL8)))</f>
        <v>5.0252994127686508</v>
      </c>
      <c r="BE9" s="13">
        <f>BD9*VLOOKUP('Données projet'!$B$11,Paramètres!$A$1:$I$89,3,0)*VLOOKUP('Données projet'!$B$11,Paramètres!$A$1:$I$89,5,0)</f>
        <v>5.252442946225794</v>
      </c>
      <c r="BF9" s="13">
        <f t="shared" si="37"/>
        <v>1.9955533740165923</v>
      </c>
      <c r="BG9" s="20">
        <f t="shared" si="7"/>
        <v>12.62359359108882</v>
      </c>
      <c r="BH9" s="59">
        <f t="shared" si="8"/>
        <v>276.62359359108882</v>
      </c>
      <c r="BI9" s="59">
        <f ca="1">AVERAGE(OFFSET($BH$3,0,0,'Données projet'!$E$11+1,1))-AVERAGE(OFFSET($H$3,0,0,'Données projet'!$E$11+1,1))</f>
        <v>260.74709892624571</v>
      </c>
      <c r="BJ9" s="59">
        <f t="shared" si="38"/>
        <v>237.17381692184887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5.0894117647058819</v>
      </c>
      <c r="BY9" s="12">
        <f>IF('Données projet'!$A$114&gt;35,BY8+BX9-CG8,IF(A9&lt;'Données projet'!$A$114,$BV$205^A9,IF(A9='Données projet'!$A$114,'Données projet'!$B$114,BY8+BX9-CG8)))</f>
        <v>2.482944605470975</v>
      </c>
      <c r="BZ9" s="13">
        <f>BY9*VLOOKUP('Données projet'!$B$12,Paramètres!$A$1:$I$89,3,0)*VLOOKUP('Données projet'!$B$12,Paramètres!$A$1:$I$89,5,0)</f>
        <v>2.246568279030138</v>
      </c>
      <c r="CA9" s="13">
        <f t="shared" si="39"/>
        <v>0.94222539076696599</v>
      </c>
      <c r="CB9" s="20">
        <f t="shared" si="10"/>
        <v>5.5538156415632898</v>
      </c>
      <c r="CC9" s="59">
        <f t="shared" si="11"/>
        <v>269.55381564156329</v>
      </c>
      <c r="CD9" s="59">
        <f ca="1">AVERAGE(OFFSET($CC$3,0,0,'Données projet'!$E$12+1,1))-AVERAGE(OFFSET($H$3,0,0,'Données projet'!$E$12+1,1))</f>
        <v>695.0879239758051</v>
      </c>
      <c r="CE9" s="59">
        <f t="shared" si="40"/>
        <v>226.22150997227476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5.0894117647058819</v>
      </c>
      <c r="CT9" s="12">
        <f>IF('Données projet'!$A$140&gt;35,CT8+CS9-DB8,IF(A9&lt;'Données projet'!$A$140,$CQ$205^A9,IF(A9='Données projet'!$A$140,'Données projet'!$B$140,CT8+CS9-DB8)))</f>
        <v>2.482944605470975</v>
      </c>
      <c r="CU9" s="17">
        <f>CT9*VLOOKUP('Données projet'!$B$13,Paramètres!$A$1:$I$89,3,0)*VLOOKUP('Données projet'!$B$13,Paramètres!$A$1:$I$89,5,0)</f>
        <v>2.5177058299475688</v>
      </c>
      <c r="CV9" s="13">
        <f t="shared" si="41"/>
        <v>1.0420296344158524</v>
      </c>
      <c r="CW9" s="20">
        <f t="shared" si="13"/>
        <v>6.1998726004329585</v>
      </c>
      <c r="CX9" s="59">
        <f t="shared" si="14"/>
        <v>270.19987260043297</v>
      </c>
      <c r="CY9" s="59">
        <f ca="1">AVERAGE(OFFSET($CX$3,0,0,'Données projet'!$E$13+1,1))-AVERAGE(OFFSET($H$3,0,0,'Données projet'!$E$13+1,1))</f>
        <v>773.15074145293738</v>
      </c>
      <c r="CZ9" s="59">
        <f t="shared" si="42"/>
        <v>248.49577986312505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6.4429411764705877</v>
      </c>
      <c r="DO9" s="12">
        <f>IF('Données projet'!$A$166&gt;35,DO8+DN9-DW8,IF(A9&lt;'Données projet'!$A$166,$DL$205^A9,IF(A9='Données projet'!$A$166,'Données projet'!$B$166,DO8+DN9-DW8)))</f>
        <v>38.657647058823528</v>
      </c>
      <c r="DP9" s="17">
        <f>DO9*VLOOKUP('Données projet'!$B$14,Paramètres!$A$1:$I$89,3,0)*VLOOKUP('Données projet'!$B$14,Paramètres!$A$1:$I$89,5,0)</f>
        <v>18.09177882352941</v>
      </c>
      <c r="DQ9" s="13">
        <f t="shared" si="43"/>
        <v>5.9519944122307828</v>
      </c>
      <c r="DR9" s="20">
        <f t="shared" si="16"/>
        <v>41.876238385615665</v>
      </c>
      <c r="DS9" s="59">
        <f t="shared" si="17"/>
        <v>305.87623838561569</v>
      </c>
      <c r="DT9" s="59">
        <f ca="1">AVERAGE(OFFSET($DS$3,0,0,'Données projet'!$E$14+1,1))-AVERAGE(OFFSET($H$3,0,0,'Données projet'!$E$14+1,1))</f>
        <v>293.15557501692803</v>
      </c>
      <c r="DU9" s="59">
        <f t="shared" si="44"/>
        <v>237.1930412773068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5.699583333333333</v>
      </c>
      <c r="EJ9" s="12">
        <f>IF('Données projet'!$A$192&gt;35,EJ8+EI9-ER8,IF(A9&lt;'Données projet'!$A$192,$EG$205^A9,IF(A9='Données projet'!$A$192,'Données projet'!$B$192,EJ8+EI9-ER8)))</f>
        <v>3.4199014188976404</v>
      </c>
      <c r="EK9" s="17">
        <f>EJ9*VLOOKUP('Données projet'!$B$15,Paramètres!$A$1:$I$89,3,0)*VLOOKUP('Données projet'!$B$15,Paramètres!$A$1:$I$89,5,0)</f>
        <v>2.0451010485007894</v>
      </c>
      <c r="EL9" s="13">
        <f t="shared" si="45"/>
        <v>0.8671607990007878</v>
      </c>
      <c r="EM9" s="20">
        <f t="shared" si="19"/>
        <v>5.0721893843985804</v>
      </c>
      <c r="EN9" s="59">
        <f t="shared" si="20"/>
        <v>269.0721893843986</v>
      </c>
      <c r="EO9" s="59">
        <f ca="1">AVERAGE(OFFSET($EN$3,0,0,'Données projet'!$E$15+1,1))-AVERAGE(OFFSET($H$3,0,0,'Données projet'!$E$15+1,1))</f>
        <v>225.86663363047296</v>
      </c>
      <c r="EP9" s="59">
        <f t="shared" si="46"/>
        <v>258.08349727304397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9.5933333333333337</v>
      </c>
      <c r="N10" s="13">
        <f>IF('Données projet'!$A$36&gt;35,N9+M10-V9,IF(A10&lt;'Données projet'!$A$36,$K$205^A10,IF(A10='Données projet'!$A$36,'Données projet'!$B$36,N9+M10-V9)))</f>
        <v>10.164711040974447</v>
      </c>
      <c r="O10" s="13">
        <f>N10*VLOOKUP('Données projet'!$B$9,Paramètres!$A$1:$I$89,3,0)*VLOOKUP('Données projet'!$B$9,Paramètres!$A$1:$I$89,5,0)</f>
        <v>6.07849720250272</v>
      </c>
      <c r="P10" s="13">
        <f t="shared" si="33"/>
        <v>2.2704628795276998</v>
      </c>
      <c r="Q10" s="20">
        <f t="shared" si="2"/>
        <v>14.541105476202981</v>
      </c>
      <c r="R10" s="59">
        <f t="shared" si="0"/>
        <v>279.7633276984252</v>
      </c>
      <c r="S10" s="59">
        <f ca="1">AVERAGE(OFFSET($R$3,0,0,'Données projet'!$E$9+1,1))-AVERAGE(OFFSET($H$3,0,0,'Données projet'!$E$9+1,1))</f>
        <v>388.12151914648013</v>
      </c>
      <c r="T10" s="59">
        <f t="shared" si="34"/>
        <v>481.43684454382793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5.8890909090909096</v>
      </c>
      <c r="AI10" s="13">
        <f>IF('Données projet'!$A$62&gt;35,AI9+AH10-AQ9,IF(A10&lt;'Données projet'!$A$62,$AF$205^A10,IF(A10='Données projet'!$A$62,'Données projet'!$B$62,AI9+AH10-AQ9)))</f>
        <v>4.7005626382803412</v>
      </c>
      <c r="AJ10" s="13">
        <f>AI10*VLOOKUP('Données projet'!$B$10,Paramètres!$A$1:$I$89,3,0)*VLOOKUP('Données projet'!$B$10,Paramètres!$A$1:$I$89,5,0)</f>
        <v>2.8109364576916445</v>
      </c>
      <c r="AK10" s="13">
        <f t="shared" si="35"/>
        <v>1.1485683204426194</v>
      </c>
      <c r="AL10" s="20">
        <f t="shared" si="4"/>
        <v>6.8961374885838422</v>
      </c>
      <c r="AM10" s="59">
        <f t="shared" si="5"/>
        <v>272.11835971080609</v>
      </c>
      <c r="AN10" s="59">
        <f ca="1">AVERAGE(OFFSET($AM$3,0,0,'Données projet'!$E$10+1,1))-AVERAGE(OFFSET($H$3,0,0,'Données projet'!$E$10+1,1))</f>
        <v>349.71285006949597</v>
      </c>
      <c r="AO10" s="59">
        <f t="shared" si="36"/>
        <v>258.51550516456842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1.4743589743589742</v>
      </c>
      <c r="BD10" s="12">
        <f>IF('Données projet'!$A$88&gt;35,BD9+BC10-BL9,IF(A10&lt;'Données projet'!$A$88,$BA$205^A10,IF(A10='Données projet'!$A$88,'Données projet'!$B$88,BD9+BC10-BL9)))</f>
        <v>6.5769155646751702</v>
      </c>
      <c r="BE10" s="13">
        <f>BD10*VLOOKUP('Données projet'!$B$11,Paramètres!$A$1:$I$89,3,0)*VLOOKUP('Données projet'!$B$11,Paramètres!$A$1:$I$89,5,0)</f>
        <v>6.8741921481984889</v>
      </c>
      <c r="BF10" s="13">
        <f t="shared" si="37"/>
        <v>2.531168925914105</v>
      </c>
      <c r="BG10" s="20">
        <f t="shared" si="7"/>
        <v>16.381003870746099</v>
      </c>
      <c r="BH10" s="59">
        <f t="shared" si="8"/>
        <v>281.60322609296833</v>
      </c>
      <c r="BI10" s="59">
        <f ca="1">AVERAGE(OFFSET($BH$3,0,0,'Données projet'!$E$11+1,1))-AVERAGE(OFFSET($H$3,0,0,'Données projet'!$E$11+1,1))</f>
        <v>260.74709892624571</v>
      </c>
      <c r="BJ10" s="59">
        <f t="shared" si="38"/>
        <v>237.17381692184887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5.0894117647058819</v>
      </c>
      <c r="BY10" s="12">
        <f>IF('Données projet'!$A$114&gt;35,BY9+BX10-CG9,IF(A10&lt;'Données projet'!$A$114,$BV$205^A10,IF(A10='Données projet'!$A$114,'Données projet'!$B$114,BY9+BX10-CG9)))</f>
        <v>2.8893148451696504</v>
      </c>
      <c r="BZ10" s="13">
        <f>BY10*VLOOKUP('Données projet'!$B$12,Paramètres!$A$1:$I$89,3,0)*VLOOKUP('Données projet'!$B$12,Paramètres!$A$1:$I$89,5,0)</f>
        <v>2.6142520719094997</v>
      </c>
      <c r="CA10" s="13">
        <f t="shared" si="39"/>
        <v>1.0772593725826609</v>
      </c>
      <c r="CB10" s="20">
        <f t="shared" si="10"/>
        <v>6.4293824324905131</v>
      </c>
      <c r="CC10" s="59">
        <f t="shared" si="11"/>
        <v>271.65160465471274</v>
      </c>
      <c r="CD10" s="59">
        <f ca="1">AVERAGE(OFFSET($CC$3,0,0,'Données projet'!$E$12+1,1))-AVERAGE(OFFSET($H$3,0,0,'Données projet'!$E$12+1,1))</f>
        <v>695.0879239758051</v>
      </c>
      <c r="CE10" s="59">
        <f t="shared" si="40"/>
        <v>226.22150997227476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5.0894117647058819</v>
      </c>
      <c r="CT10" s="12">
        <f>IF('Données projet'!$A$140&gt;35,CT9+CS10-DB9,IF(A10&lt;'Données projet'!$A$140,$CQ$205^A10,IF(A10='Données projet'!$A$140,'Données projet'!$B$140,CT9+CS10-DB9)))</f>
        <v>2.8893148451696504</v>
      </c>
      <c r="CU10" s="17">
        <f>CT10*VLOOKUP('Données projet'!$B$13,Paramètres!$A$1:$I$89,3,0)*VLOOKUP('Données projet'!$B$13,Paramètres!$A$1:$I$89,5,0)</f>
        <v>2.9297652530020257</v>
      </c>
      <c r="CV10" s="13">
        <f t="shared" si="41"/>
        <v>1.1913669501833555</v>
      </c>
      <c r="CW10" s="20">
        <f t="shared" si="13"/>
        <v>7.1776385872145383</v>
      </c>
      <c r="CX10" s="59">
        <f t="shared" si="14"/>
        <v>272.39986080943675</v>
      </c>
      <c r="CY10" s="59">
        <f ca="1">AVERAGE(OFFSET($CX$3,0,0,'Données projet'!$E$13+1,1))-AVERAGE(OFFSET($H$3,0,0,'Données projet'!$E$13+1,1))</f>
        <v>773.15074145293738</v>
      </c>
      <c r="CZ10" s="59">
        <f t="shared" si="42"/>
        <v>248.49577986312505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6.4429411764705877</v>
      </c>
      <c r="DO10" s="12">
        <f>IF('Données projet'!$A$166&gt;35,DO9+DN10-DW9,IF(A10&lt;'Données projet'!$A$166,$DL$205^A10,IF(A10='Données projet'!$A$166,'Données projet'!$B$166,DO9+DN10-DW9)))</f>
        <v>45.100588235294119</v>
      </c>
      <c r="DP10" s="17">
        <f>DO10*VLOOKUP('Données projet'!$B$14,Paramètres!$A$1:$I$89,3,0)*VLOOKUP('Données projet'!$B$14,Paramètres!$A$1:$I$89,5,0)</f>
        <v>21.107075294117646</v>
      </c>
      <c r="DQ10" s="13">
        <f t="shared" si="43"/>
        <v>6.8205076148835628</v>
      </c>
      <c r="DR10" s="20">
        <f t="shared" si="16"/>
        <v>48.640540233177099</v>
      </c>
      <c r="DS10" s="59">
        <f t="shared" si="17"/>
        <v>313.86276245539932</v>
      </c>
      <c r="DT10" s="59">
        <f ca="1">AVERAGE(OFFSET($DS$3,0,0,'Données projet'!$E$14+1,1))-AVERAGE(OFFSET($H$3,0,0,'Données projet'!$E$14+1,1))</f>
        <v>293.15557501692803</v>
      </c>
      <c r="DU10" s="59">
        <f t="shared" si="44"/>
        <v>237.1930412773068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5.699583333333333</v>
      </c>
      <c r="EJ10" s="12">
        <f>IF('Données projet'!$A$192&gt;35,EJ9+EI10-ER9,IF(A10&lt;'Données projet'!$A$192,$EG$205^A10,IF(A10='Données projet'!$A$192,'Données projet'!$B$192,EJ9+EI10-ER9)))</f>
        <v>4.1977430567052627</v>
      </c>
      <c r="EK10" s="17">
        <f>EJ10*VLOOKUP('Données projet'!$B$15,Paramètres!$A$1:$I$89,3,0)*VLOOKUP('Données projet'!$B$15,Paramètres!$A$1:$I$89,5,0)</f>
        <v>2.5102503479097473</v>
      </c>
      <c r="EL10" s="13">
        <f t="shared" si="45"/>
        <v>1.0393026576121789</v>
      </c>
      <c r="EM10" s="20">
        <f t="shared" si="19"/>
        <v>6.1821381512840219</v>
      </c>
      <c r="EN10" s="59">
        <f t="shared" si="20"/>
        <v>271.40436037350628</v>
      </c>
      <c r="EO10" s="59">
        <f ca="1">AVERAGE(OFFSET($EN$3,0,0,'Données projet'!$E$15+1,1))-AVERAGE(OFFSET($H$3,0,0,'Données projet'!$E$15+1,1))</f>
        <v>225.86663363047296</v>
      </c>
      <c r="EP10" s="59">
        <f t="shared" si="46"/>
        <v>258.08349727304397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9.5933333333333337</v>
      </c>
      <c r="N11" s="13">
        <f>IF('Données projet'!$A$36&gt;35,N10+M11-V10,IF(A11&lt;'Données projet'!$A$36,$K$205^A11,IF(A11='Données projet'!$A$36,'Données projet'!$B$36,N10+M11-V10)))</f>
        <v>14.156821519070441</v>
      </c>
      <c r="O11" s="13">
        <f>N11*VLOOKUP('Données projet'!$B$9,Paramètres!$A$1:$I$89,3,0)*VLOOKUP('Données projet'!$B$9,Paramètres!$A$1:$I$89,5,0)</f>
        <v>8.4657792684041251</v>
      </c>
      <c r="P11" s="13">
        <f t="shared" si="33"/>
        <v>3.0425559530891335</v>
      </c>
      <c r="Q11" s="20">
        <f t="shared" si="2"/>
        <v>20.043683844100759</v>
      </c>
      <c r="R11" s="59">
        <f t="shared" si="0"/>
        <v>286.48812828854523</v>
      </c>
      <c r="S11" s="59">
        <f ca="1">AVERAGE(OFFSET($R$3,0,0,'Données projet'!$E$9+1,1))-AVERAGE(OFFSET($H$3,0,0,'Données projet'!$E$9+1,1))</f>
        <v>388.12151914648013</v>
      </c>
      <c r="T11" s="59">
        <f t="shared" si="34"/>
        <v>481.43684454382793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5.8890909090909096</v>
      </c>
      <c r="AI11" s="13">
        <f>IF('Données projet'!$A$62&gt;35,AI10+AH11-AQ10,IF(A11&lt;'Données projet'!$A$62,$AF$205^A11,IF(A11='Données projet'!$A$62,'Données projet'!$B$62,AI10+AH11-AQ10)))</f>
        <v>5.8636933564201668</v>
      </c>
      <c r="AJ11" s="13">
        <f>AI11*VLOOKUP('Données projet'!$B$10,Paramètres!$A$1:$I$89,3,0)*VLOOKUP('Données projet'!$B$10,Paramètres!$A$1:$I$89,5,0)</f>
        <v>3.5064886271392601</v>
      </c>
      <c r="AK11" s="13">
        <f t="shared" si="35"/>
        <v>1.3963726956545126</v>
      </c>
      <c r="AL11" s="20">
        <f t="shared" si="4"/>
        <v>8.5391501371991527</v>
      </c>
      <c r="AM11" s="59">
        <f t="shared" si="5"/>
        <v>274.98359458164362</v>
      </c>
      <c r="AN11" s="59">
        <f ca="1">AVERAGE(OFFSET($AM$3,0,0,'Données projet'!$E$10+1,1))-AVERAGE(OFFSET($H$3,0,0,'Données projet'!$E$10+1,1))</f>
        <v>349.71285006949597</v>
      </c>
      <c r="AO11" s="59">
        <f t="shared" si="36"/>
        <v>258.51550516456842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1.4743589743589742</v>
      </c>
      <c r="BD11" s="12">
        <f>IF('Données projet'!$A$88&gt;35,BD10+BC11-BL10,IF(A11&lt;'Données projet'!$A$88,$BA$205^A11,IF(A11='Données projet'!$A$88,'Données projet'!$B$88,BD10+BC11-BL10)))</f>
        <v>8.6076101724325031</v>
      </c>
      <c r="BE11" s="13">
        <f>BD11*VLOOKUP('Données projet'!$B$11,Paramètres!$A$1:$I$89,3,0)*VLOOKUP('Données projet'!$B$11,Paramètres!$A$1:$I$89,5,0)</f>
        <v>8.9966741522264542</v>
      </c>
      <c r="BF11" s="13">
        <f t="shared" si="37"/>
        <v>3.2105461146437353</v>
      </c>
      <c r="BG11" s="20">
        <f t="shared" si="7"/>
        <v>21.260908631465579</v>
      </c>
      <c r="BH11" s="59">
        <f t="shared" si="8"/>
        <v>287.70535307591001</v>
      </c>
      <c r="BI11" s="59">
        <f ca="1">AVERAGE(OFFSET($BH$3,0,0,'Données projet'!$E$11+1,1))-AVERAGE(OFFSET($H$3,0,0,'Données projet'!$E$11+1,1))</f>
        <v>260.74709892624571</v>
      </c>
      <c r="BJ11" s="59">
        <f t="shared" si="38"/>
        <v>237.17381692184887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5.0894117647058819</v>
      </c>
      <c r="BY11" s="12">
        <f>IF('Données projet'!$A$114&gt;35,BY10+BX11-CG10,IF(A11&lt;'Données projet'!$A$114,$BV$205^A11,IF(A11='Données projet'!$A$114,'Données projet'!$B$114,BY10+BX11-CG10)))</f>
        <v>3.3621935246252548</v>
      </c>
      <c r="BZ11" s="13">
        <f>BY11*VLOOKUP('Données projet'!$B$12,Paramètres!$A$1:$I$89,3,0)*VLOOKUP('Données projet'!$B$12,Paramètres!$A$1:$I$89,5,0)</f>
        <v>3.0421127010809306</v>
      </c>
      <c r="CA11" s="13">
        <f t="shared" si="39"/>
        <v>1.2316455990137962</v>
      </c>
      <c r="CB11" s="20">
        <f t="shared" si="10"/>
        <v>7.4434623726649827</v>
      </c>
      <c r="CC11" s="59">
        <f t="shared" si="11"/>
        <v>273.88790681710947</v>
      </c>
      <c r="CD11" s="59">
        <f ca="1">AVERAGE(OFFSET($CC$3,0,0,'Données projet'!$E$12+1,1))-AVERAGE(OFFSET($H$3,0,0,'Données projet'!$E$12+1,1))</f>
        <v>695.0879239758051</v>
      </c>
      <c r="CE11" s="59">
        <f t="shared" si="40"/>
        <v>226.22150997227476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5.0894117647058819</v>
      </c>
      <c r="CT11" s="12">
        <f>IF('Données projet'!$A$140&gt;35,CT10+CS11-DB10,IF(A11&lt;'Données projet'!$A$140,$CQ$205^A11,IF(A11='Données projet'!$A$140,'Données projet'!$B$140,CT10+CS11-DB10)))</f>
        <v>3.3621935246252548</v>
      </c>
      <c r="CU11" s="17">
        <f>CT11*VLOOKUP('Données projet'!$B$13,Paramètres!$A$1:$I$89,3,0)*VLOOKUP('Données projet'!$B$13,Paramètres!$A$1:$I$89,5,0)</f>
        <v>3.409264233970009</v>
      </c>
      <c r="CV11" s="13">
        <f t="shared" si="41"/>
        <v>1.3621063769312671</v>
      </c>
      <c r="CW11" s="20">
        <f t="shared" si="13"/>
        <v>8.3101371473197236</v>
      </c>
      <c r="CX11" s="59">
        <f t="shared" si="14"/>
        <v>274.75458159176418</v>
      </c>
      <c r="CY11" s="59">
        <f ca="1">AVERAGE(OFFSET($CX$3,0,0,'Données projet'!$E$13+1,1))-AVERAGE(OFFSET($H$3,0,0,'Données projet'!$E$13+1,1))</f>
        <v>773.15074145293738</v>
      </c>
      <c r="CZ11" s="59">
        <f t="shared" si="42"/>
        <v>248.49577986312505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6.4429411764705877</v>
      </c>
      <c r="DO11" s="12">
        <f>IF('Données projet'!$A$166&gt;35,DO10+DN11-DW10,IF(A11&lt;'Données projet'!$A$166,$DL$205^A11,IF(A11='Données projet'!$A$166,'Données projet'!$B$166,DO10+DN11-DW10)))</f>
        <v>51.543529411764709</v>
      </c>
      <c r="DP11" s="17">
        <f>DO11*VLOOKUP('Données projet'!$B$14,Paramètres!$A$1:$I$89,3,0)*VLOOKUP('Données projet'!$B$14,Paramètres!$A$1:$I$89,5,0)</f>
        <v>24.122371764705882</v>
      </c>
      <c r="DQ11" s="13">
        <f t="shared" si="43"/>
        <v>7.6746465319482056</v>
      </c>
      <c r="DR11" s="20">
        <f t="shared" si="16"/>
        <v>55.379806866672531</v>
      </c>
      <c r="DS11" s="59">
        <f t="shared" si="17"/>
        <v>321.824251311117</v>
      </c>
      <c r="DT11" s="59">
        <f ca="1">AVERAGE(OFFSET($DS$3,0,0,'Données projet'!$E$14+1,1))-AVERAGE(OFFSET($H$3,0,0,'Données projet'!$E$14+1,1))</f>
        <v>293.15557501692803</v>
      </c>
      <c r="DU11" s="59">
        <f t="shared" si="44"/>
        <v>237.1930412773068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5.699583333333333</v>
      </c>
      <c r="EJ11" s="12">
        <f>IF('Données projet'!$A$192&gt;35,EJ10+EI11-ER10,IF(A11&lt;'Données projet'!$A$192,$EG$205^A11,IF(A11='Données projet'!$A$192,'Données projet'!$B$192,EJ10+EI11-ER10)))</f>
        <v>5.152501377012543</v>
      </c>
      <c r="EK11" s="17">
        <f>EJ11*VLOOKUP('Données projet'!$B$15,Paramètres!$A$1:$I$89,3,0)*VLOOKUP('Données projet'!$B$15,Paramètres!$A$1:$I$89,5,0)</f>
        <v>3.0811958234535011</v>
      </c>
      <c r="EL11" s="13">
        <f t="shared" si="45"/>
        <v>1.245616747625554</v>
      </c>
      <c r="EM11" s="20">
        <f t="shared" si="19"/>
        <v>7.5358652279626872</v>
      </c>
      <c r="EN11" s="59">
        <f t="shared" si="20"/>
        <v>273.98030967240715</v>
      </c>
      <c r="EO11" s="59">
        <f ca="1">AVERAGE(OFFSET($EN$3,0,0,'Données projet'!$E$15+1,1))-AVERAGE(OFFSET($H$3,0,0,'Données projet'!$E$15+1,1))</f>
        <v>225.86663363047296</v>
      </c>
      <c r="EP11" s="59">
        <f t="shared" si="46"/>
        <v>258.08349727304397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9.5933333333333337</v>
      </c>
      <c r="N12" s="13">
        <f>IF('Données projet'!$A$36&gt;35,N11+M12-V11,IF(A12&lt;'Données projet'!$A$36,$K$205^A12,IF(A12='Données projet'!$A$36,'Données projet'!$B$36,N11+M12-V11)))</f>
        <v>19.716802053194709</v>
      </c>
      <c r="O12" s="13">
        <f>N12*VLOOKUP('Données projet'!$B$9,Paramètres!$A$1:$I$89,3,0)*VLOOKUP('Données projet'!$B$9,Paramètres!$A$1:$I$89,5,0)</f>
        <v>11.790647627810438</v>
      </c>
      <c r="P12" s="13">
        <f t="shared" si="33"/>
        <v>4.0772068159087427</v>
      </c>
      <c r="Q12" s="20">
        <f t="shared" si="2"/>
        <v>27.636513156144243</v>
      </c>
      <c r="R12" s="59">
        <f t="shared" si="0"/>
        <v>295.30317982281093</v>
      </c>
      <c r="S12" s="59">
        <f ca="1">AVERAGE(OFFSET($R$3,0,0,'Données projet'!$E$9+1,1))-AVERAGE(OFFSET($H$3,0,0,'Données projet'!$E$9+1,1))</f>
        <v>388.12151914648013</v>
      </c>
      <c r="T12" s="59">
        <f t="shared" si="34"/>
        <v>481.43684454382793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5.8890909090909096</v>
      </c>
      <c r="AI12" s="13">
        <f>IF('Données projet'!$A$62&gt;35,AI11+AH12-AQ11,IF(A12&lt;'Données projet'!$A$62,$AF$205^A12,IF(A12='Données projet'!$A$62,'Données projet'!$B$62,AI11+AH12-AQ11)))</f>
        <v>7.3146349541476745</v>
      </c>
      <c r="AJ12" s="13">
        <f>AI12*VLOOKUP('Données projet'!$B$10,Paramètres!$A$1:$I$89,3,0)*VLOOKUP('Données projet'!$B$10,Paramètres!$A$1:$I$89,5,0)</f>
        <v>4.3741517025803098</v>
      </c>
      <c r="AK12" s="13">
        <f t="shared" si="35"/>
        <v>1.6976410288053578</v>
      </c>
      <c r="AL12" s="20">
        <f t="shared" si="4"/>
        <v>10.575039007163371</v>
      </c>
      <c r="AM12" s="59">
        <f t="shared" si="5"/>
        <v>278.24170567383004</v>
      </c>
      <c r="AN12" s="59">
        <f ca="1">AVERAGE(OFFSET($AM$3,0,0,'Données projet'!$E$10+1,1))-AVERAGE(OFFSET($H$3,0,0,'Données projet'!$E$10+1,1))</f>
        <v>349.71285006949597</v>
      </c>
      <c r="AO12" s="59">
        <f t="shared" si="36"/>
        <v>258.51550516456842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1.4743589743589742</v>
      </c>
      <c r="BD12" s="12">
        <f>IF('Données projet'!$A$88&gt;35,BD11+BC12-BL11,IF(A12&lt;'Données projet'!$A$88,$BA$205^A12,IF(A12='Données projet'!$A$88,'Données projet'!$B$88,BD11+BC12-BL11)))</f>
        <v>11.265303948633376</v>
      </c>
      <c r="BE12" s="13">
        <f>BD12*VLOOKUP('Données projet'!$B$11,Paramètres!$A$1:$I$89,3,0)*VLOOKUP('Données projet'!$B$11,Paramètres!$A$1:$I$89,5,0)</f>
        <v>11.774495687111605</v>
      </c>
      <c r="BF12" s="13">
        <f t="shared" si="37"/>
        <v>4.0722712137956174</v>
      </c>
      <c r="BG12" s="20">
        <f t="shared" si="7"/>
        <v>27.599785685746742</v>
      </c>
      <c r="BH12" s="59">
        <f t="shared" si="8"/>
        <v>295.26645235241341</v>
      </c>
      <c r="BI12" s="59">
        <f ca="1">AVERAGE(OFFSET($BH$3,0,0,'Données projet'!$E$11+1,1))-AVERAGE(OFFSET($H$3,0,0,'Données projet'!$E$11+1,1))</f>
        <v>260.74709892624571</v>
      </c>
      <c r="BJ12" s="59">
        <f t="shared" si="38"/>
        <v>237.17381692184887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5.0894117647058819</v>
      </c>
      <c r="BY12" s="12">
        <f>IF('Données projet'!$A$114&gt;35,BY11+BX12-CG11,IF(A12&lt;'Données projet'!$A$114,$BV$205^A12,IF(A12='Données projet'!$A$114,'Données projet'!$B$114,BY11+BX12-CG11)))</f>
        <v>3.9124657238135789</v>
      </c>
      <c r="BZ12" s="13">
        <f>BY12*VLOOKUP('Données projet'!$B$12,Paramètres!$A$1:$I$89,3,0)*VLOOKUP('Données projet'!$B$12,Paramètres!$A$1:$I$89,5,0)</f>
        <v>3.5399989869065265</v>
      </c>
      <c r="CA12" s="13">
        <f t="shared" si="39"/>
        <v>1.4081575154303458</v>
      </c>
      <c r="CB12" s="20">
        <f t="shared" si="10"/>
        <v>8.6180392415700524</v>
      </c>
      <c r="CC12" s="59">
        <f t="shared" si="11"/>
        <v>276.28470590823673</v>
      </c>
      <c r="CD12" s="59">
        <f ca="1">AVERAGE(OFFSET($CC$3,0,0,'Données projet'!$E$12+1,1))-AVERAGE(OFFSET($H$3,0,0,'Données projet'!$E$12+1,1))</f>
        <v>695.0879239758051</v>
      </c>
      <c r="CE12" s="59">
        <f t="shared" si="40"/>
        <v>226.22150997227476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5.0894117647058819</v>
      </c>
      <c r="CT12" s="12">
        <f>IF('Données projet'!$A$140&gt;35,CT11+CS12-DB11,IF(A12&lt;'Données projet'!$A$140,$CQ$205^A12,IF(A12='Données projet'!$A$140,'Données projet'!$B$140,CT11+CS12-DB11)))</f>
        <v>3.9124657238135789</v>
      </c>
      <c r="CU12" s="17">
        <f>CT12*VLOOKUP('Données projet'!$B$13,Paramètres!$A$1:$I$89,3,0)*VLOOKUP('Données projet'!$B$13,Paramètres!$A$1:$I$89,5,0)</f>
        <v>3.9672402439469696</v>
      </c>
      <c r="CV12" s="13">
        <f t="shared" si="41"/>
        <v>1.5573151343431855</v>
      </c>
      <c r="CW12" s="20">
        <f t="shared" si="13"/>
        <v>9.6219339505220205</v>
      </c>
      <c r="CX12" s="59">
        <f t="shared" si="14"/>
        <v>277.28860061718871</v>
      </c>
      <c r="CY12" s="59">
        <f ca="1">AVERAGE(OFFSET($CX$3,0,0,'Données projet'!$E$13+1,1))-AVERAGE(OFFSET($H$3,0,0,'Données projet'!$E$13+1,1))</f>
        <v>773.15074145293738</v>
      </c>
      <c r="CZ12" s="59">
        <f t="shared" si="42"/>
        <v>248.49577986312505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6.4429411764705877</v>
      </c>
      <c r="DO12" s="12">
        <f>IF('Données projet'!$A$166&gt;35,DO11+DN12-DW11,IF(A12&lt;'Données projet'!$A$166,$DL$205^A12,IF(A12='Données projet'!$A$166,'Données projet'!$B$166,DO11+DN12-DW11)))</f>
        <v>57.986470588235299</v>
      </c>
      <c r="DP12" s="17">
        <f>DO12*VLOOKUP('Données projet'!$B$14,Paramètres!$A$1:$I$89,3,0)*VLOOKUP('Données projet'!$B$14,Paramètres!$A$1:$I$89,5,0)</f>
        <v>27.137668235294122</v>
      </c>
      <c r="DQ12" s="13">
        <f t="shared" si="43"/>
        <v>8.5164137277036307</v>
      </c>
      <c r="DR12" s="20">
        <f t="shared" si="16"/>
        <v>62.097526085554399</v>
      </c>
      <c r="DS12" s="59">
        <f t="shared" si="17"/>
        <v>329.76419275222111</v>
      </c>
      <c r="DT12" s="59">
        <f ca="1">AVERAGE(OFFSET($DS$3,0,0,'Données projet'!$E$14+1,1))-AVERAGE(OFFSET($H$3,0,0,'Données projet'!$E$14+1,1))</f>
        <v>293.15557501692803</v>
      </c>
      <c r="DU12" s="59">
        <f t="shared" si="44"/>
        <v>237.1930412773068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5.699583333333333</v>
      </c>
      <c r="EJ12" s="12">
        <f>IF('Données projet'!$A$192&gt;35,EJ11+EI12-ER11,IF(A12&lt;'Données projet'!$A$192,$EG$205^A12,IF(A12='Données projet'!$A$192,'Données projet'!$B$192,EJ11+EI12-ER11)))</f>
        <v>6.3244153063892954</v>
      </c>
      <c r="EK12" s="17">
        <f>EJ12*VLOOKUP('Données projet'!$B$15,Paramètres!$A$1:$I$89,3,0)*VLOOKUP('Données projet'!$B$15,Paramètres!$A$1:$I$89,5,0)</f>
        <v>3.7820003532207989</v>
      </c>
      <c r="EL12" s="13">
        <f t="shared" si="45"/>
        <v>1.4928866683839812</v>
      </c>
      <c r="EM12" s="20">
        <f t="shared" si="19"/>
        <v>9.187094895961657</v>
      </c>
      <c r="EN12" s="59">
        <f t="shared" si="20"/>
        <v>276.85376156262834</v>
      </c>
      <c r="EO12" s="59">
        <f ca="1">AVERAGE(OFFSET($EN$3,0,0,'Données projet'!$E$15+1,1))-AVERAGE(OFFSET($H$3,0,0,'Données projet'!$E$15+1,1))</f>
        <v>225.86663363047296</v>
      </c>
      <c r="EP12" s="59">
        <f t="shared" si="46"/>
        <v>258.08349727304397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9.5933333333333337</v>
      </c>
      <c r="N13" s="13">
        <f>IF('Données projet'!$A$36&gt;35,N12+M13-V12,IF(A13&lt;'Données projet'!$A$36,$K$205^A13,IF(A13='Données projet'!$A$36,'Données projet'!$B$36,N12+M13-V12)))</f>
        <v>27.460421301574002</v>
      </c>
      <c r="O13" s="13">
        <f>N13*VLOOKUP('Données projet'!$B$9,Paramètres!$A$1:$I$89,3,0)*VLOOKUP('Données projet'!$B$9,Paramètres!$A$1:$I$89,5,0)</f>
        <v>16.421331938341254</v>
      </c>
      <c r="P13" s="13">
        <f t="shared" si="33"/>
        <v>5.4637008081362</v>
      </c>
      <c r="Q13" s="20">
        <f t="shared" si="2"/>
        <v>38.116432033448227</v>
      </c>
      <c r="R13" s="59">
        <f t="shared" si="0"/>
        <v>307.00532092233709</v>
      </c>
      <c r="S13" s="59">
        <f ca="1">AVERAGE(OFFSET($R$3,0,0,'Données projet'!$E$9+1,1))-AVERAGE(OFFSET($H$3,0,0,'Données projet'!$E$9+1,1))</f>
        <v>388.12151914648013</v>
      </c>
      <c r="T13" s="59">
        <f t="shared" si="34"/>
        <v>481.43684454382793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5.8890909090909096</v>
      </c>
      <c r="AI13" s="13">
        <f>IF('Données projet'!$A$62&gt;35,AI12+AH13-AQ12,IF(A13&lt;'Données projet'!$A$62,$AF$205^A13,IF(A13='Données projet'!$A$62,'Données projet'!$B$62,AI12+AH13-AQ12)))</f>
        <v>9.1246047943242932</v>
      </c>
      <c r="AJ13" s="13">
        <f>AI13*VLOOKUP('Données projet'!$B$10,Paramètres!$A$1:$I$89,3,0)*VLOOKUP('Données projet'!$B$10,Paramètres!$A$1:$I$89,5,0)</f>
        <v>5.456513667005928</v>
      </c>
      <c r="AK13" s="13">
        <f t="shared" si="35"/>
        <v>2.0639082042007839</v>
      </c>
      <c r="AL13" s="20">
        <f t="shared" si="4"/>
        <v>13.098068092351689</v>
      </c>
      <c r="AM13" s="59">
        <f t="shared" si="5"/>
        <v>281.98695698124055</v>
      </c>
      <c r="AN13" s="59">
        <f ca="1">AVERAGE(OFFSET($AM$3,0,0,'Données projet'!$E$10+1,1))-AVERAGE(OFFSET($H$3,0,0,'Données projet'!$E$10+1,1))</f>
        <v>349.71285006949597</v>
      </c>
      <c r="AO13" s="59">
        <f t="shared" si="36"/>
        <v>258.51550516456842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14.743589743589743</v>
      </c>
      <c r="BB13" s="12">
        <f>VLOOKUP(A13,'Données projet'!$A$87:$I$107,9,0)</f>
        <v>1.4743589743589742</v>
      </c>
      <c r="BC13" s="12">
        <f t="array" ref="BC13">INDEX(BB:BB,MIN(IF(ISNUMBER(BB13:BB209),ROW(BB13:BB209),"")))</f>
        <v>1.4743589743589742</v>
      </c>
      <c r="BD13" s="12">
        <f>IF('Données projet'!$A$88&gt;35,BD12+BC13-BL12,IF(A13&lt;'Données projet'!$A$88,$BA$205^A13,IF(A13='Données projet'!$A$88,'Données projet'!$B$88,BD12+BC13-BL12)))</f>
        <v>14.743589743589743</v>
      </c>
      <c r="BE13" s="13">
        <f>BD13*VLOOKUP('Données projet'!$B$11,Paramètres!$A$1:$I$89,3,0)*VLOOKUP('Données projet'!$B$11,Paramètres!$A$1:$I$89,5,0)</f>
        <v>15.41</v>
      </c>
      <c r="BF13" s="13">
        <f t="shared" si="37"/>
        <v>5.1652872273253818</v>
      </c>
      <c r="BG13" s="20">
        <f t="shared" si="7"/>
        <v>35.835291920925037</v>
      </c>
      <c r="BH13" s="59">
        <f t="shared" si="8"/>
        <v>304.7241808098139</v>
      </c>
      <c r="BI13" s="59">
        <f ca="1">AVERAGE(OFFSET($BH$3,0,0,'Données projet'!$E$11+1,1))-AVERAGE(OFFSET($H$3,0,0,'Données projet'!$E$11+1,1))</f>
        <v>260.74709892624571</v>
      </c>
      <c r="BJ13" s="59">
        <f t="shared" si="38"/>
        <v>237.17381692184887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0.215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5.0894117647058819</v>
      </c>
      <c r="BY13" s="12">
        <f>IF('Données projet'!$A$114&gt;35,BY12+BX13-CG12,IF(A13&lt;'Données projet'!$A$114,$BV$205^A13,IF(A13='Données projet'!$A$114,'Données projet'!$B$114,BY12+BX13-CG12)))</f>
        <v>4.5527980254266449</v>
      </c>
      <c r="BZ13" s="13">
        <f>BY13*VLOOKUP('Données projet'!$B$12,Paramètres!$A$1:$I$89,3,0)*VLOOKUP('Données projet'!$B$12,Paramètres!$A$1:$I$89,5,0)</f>
        <v>4.1193716534060281</v>
      </c>
      <c r="CA13" s="13">
        <f t="shared" si="39"/>
        <v>1.6099660404346177</v>
      </c>
      <c r="CB13" s="20">
        <f t="shared" si="10"/>
        <v>9.9785964834391248</v>
      </c>
      <c r="CC13" s="59">
        <f t="shared" si="11"/>
        <v>278.86748537232796</v>
      </c>
      <c r="CD13" s="59">
        <f ca="1">AVERAGE(OFFSET($CC$3,0,0,'Données projet'!$E$12+1,1))-AVERAGE(OFFSET($H$3,0,0,'Données projet'!$E$12+1,1))</f>
        <v>695.0879239758051</v>
      </c>
      <c r="CE13" s="59">
        <f t="shared" si="40"/>
        <v>226.22150997227476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5.0894117647058819</v>
      </c>
      <c r="CT13" s="12">
        <f>IF('Données projet'!$A$140&gt;35,CT12+CS13-DB12,IF(A13&lt;'Données projet'!$A$140,$CQ$205^A13,IF(A13='Données projet'!$A$140,'Données projet'!$B$140,CT12+CS13-DB12)))</f>
        <v>4.5527980254266449</v>
      </c>
      <c r="CU13" s="17">
        <f>CT13*VLOOKUP('Données projet'!$B$13,Paramètres!$A$1:$I$89,3,0)*VLOOKUP('Données projet'!$B$13,Paramètres!$A$1:$I$89,5,0)</f>
        <v>4.616537197782618</v>
      </c>
      <c r="CV13" s="13">
        <f t="shared" si="41"/>
        <v>1.7805000172734027</v>
      </c>
      <c r="CW13" s="20">
        <f t="shared" si="13"/>
        <v>11.141506482889234</v>
      </c>
      <c r="CX13" s="59">
        <f t="shared" si="14"/>
        <v>280.03039537177807</v>
      </c>
      <c r="CY13" s="59">
        <f ca="1">AVERAGE(OFFSET($CX$3,0,0,'Données projet'!$E$13+1,1))-AVERAGE(OFFSET($H$3,0,0,'Données projet'!$E$13+1,1))</f>
        <v>773.15074145293738</v>
      </c>
      <c r="CZ13" s="59">
        <f t="shared" si="42"/>
        <v>248.49577986312505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6.4429411764705877</v>
      </c>
      <c r="DO13" s="12">
        <f>IF('Données projet'!$A$166&gt;35,DO12+DN13-DW12,IF(A13&lt;'Données projet'!$A$166,$DL$205^A13,IF(A13='Données projet'!$A$166,'Données projet'!$B$166,DO12+DN13-DW12)))</f>
        <v>64.42941176470589</v>
      </c>
      <c r="DP13" s="17">
        <f>DO13*VLOOKUP('Données projet'!$B$14,Paramètres!$A$1:$I$89,3,0)*VLOOKUP('Données projet'!$B$14,Paramètres!$A$1:$I$89,5,0)</f>
        <v>30.152964705882358</v>
      </c>
      <c r="DQ13" s="13">
        <f t="shared" si="43"/>
        <v>9.3473406453235626</v>
      </c>
      <c r="DR13" s="20">
        <f t="shared" si="16"/>
        <v>68.796365153350322</v>
      </c>
      <c r="DS13" s="59">
        <f t="shared" si="17"/>
        <v>337.68525404223919</v>
      </c>
      <c r="DT13" s="59">
        <f ca="1">AVERAGE(OFFSET($DS$3,0,0,'Données projet'!$E$14+1,1))-AVERAGE(OFFSET($H$3,0,0,'Données projet'!$E$14+1,1))</f>
        <v>293.15557501692803</v>
      </c>
      <c r="DU13" s="59">
        <f t="shared" si="44"/>
        <v>237.1930412773068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5.699583333333333</v>
      </c>
      <c r="EJ13" s="12">
        <f>IF('Données projet'!$A$192&gt;35,EJ12+EI13-ER12,IF(A13&lt;'Données projet'!$A$192,$EG$205^A13,IF(A13='Données projet'!$A$192,'Données projet'!$B$192,EJ12+EI13-ER12)))</f>
        <v>7.7628759394689313</v>
      </c>
      <c r="EK13" s="17">
        <f>EJ13*VLOOKUP('Données projet'!$B$15,Paramètres!$A$1:$I$89,3,0)*VLOOKUP('Données projet'!$B$15,Paramètres!$A$1:$I$89,5,0)</f>
        <v>4.6421998118024215</v>
      </c>
      <c r="EL13" s="13">
        <f t="shared" si="45"/>
        <v>1.7892426453699204</v>
      </c>
      <c r="EM13" s="20">
        <f t="shared" si="19"/>
        <v>11.201428946241828</v>
      </c>
      <c r="EN13" s="59">
        <f t="shared" si="20"/>
        <v>280.09031783513069</v>
      </c>
      <c r="EO13" s="59">
        <f ca="1">AVERAGE(OFFSET($EN$3,0,0,'Données projet'!$E$15+1,1))-AVERAGE(OFFSET($H$3,0,0,'Données projet'!$E$15+1,1))</f>
        <v>225.86663363047296</v>
      </c>
      <c r="EP13" s="59">
        <f t="shared" si="46"/>
        <v>258.08349727304397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9.5933333333333337</v>
      </c>
      <c r="N14" s="13">
        <f>IF('Données projet'!$A$36&gt;35,N13+M14-V13,IF(A14&lt;'Données projet'!$A$36,$K$205^A14,IF(A14='Données projet'!$A$36,'Données projet'!$B$36,N13+M14-V13)))</f>
        <v>38.24528622975938</v>
      </c>
      <c r="O14" s="13">
        <f>N14*VLOOKUP('Données projet'!$B$9,Paramètres!$A$1:$I$89,3,0)*VLOOKUP('Données projet'!$B$9,Paramètres!$A$1:$I$89,5,0)</f>
        <v>22.87068116539611</v>
      </c>
      <c r="P14" s="13">
        <f t="shared" si="33"/>
        <v>7.3216856217225361</v>
      </c>
      <c r="Q14" s="20">
        <f t="shared" si="2"/>
        <v>52.585038820898312</v>
      </c>
      <c r="R14" s="59">
        <f t="shared" si="0"/>
        <v>322.69614993200946</v>
      </c>
      <c r="S14" s="59">
        <f ca="1">AVERAGE(OFFSET($R$3,0,0,'Données projet'!$E$9+1,1))-AVERAGE(OFFSET($H$3,0,0,'Données projet'!$E$9+1,1))</f>
        <v>388.12151914648013</v>
      </c>
      <c r="T14" s="59">
        <f t="shared" si="34"/>
        <v>481.43684454382793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5.8890909090909096</v>
      </c>
      <c r="AI14" s="13">
        <f>IF('Données projet'!$A$62&gt;35,AI13+AH14-AQ13,IF(A14&lt;'Données projet'!$A$62,$AF$205^A14,IF(A14='Données projet'!$A$62,'Données projet'!$B$62,AI13+AH14-AQ13)))</f>
        <v>11.382442620105763</v>
      </c>
      <c r="AJ14" s="13">
        <f>AI14*VLOOKUP('Données projet'!$B$10,Paramètres!$A$1:$I$89,3,0)*VLOOKUP('Données projet'!$B$10,Paramètres!$A$1:$I$89,5,0)</f>
        <v>6.8067006868232474</v>
      </c>
      <c r="AK14" s="13">
        <f t="shared" si="35"/>
        <v>2.5091977650686839</v>
      </c>
      <c r="AL14" s="20">
        <f t="shared" si="4"/>
        <v>16.225189803711778</v>
      </c>
      <c r="AM14" s="59">
        <f t="shared" si="5"/>
        <v>286.33630091482291</v>
      </c>
      <c r="AN14" s="59">
        <f ca="1">AVERAGE(OFFSET($AM$3,0,0,'Données projet'!$E$10+1,1))-AVERAGE(OFFSET($H$3,0,0,'Données projet'!$E$10+1,1))</f>
        <v>349.71285006949597</v>
      </c>
      <c r="AO14" s="59">
        <f t="shared" si="36"/>
        <v>258.51550516456842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4.7435897435897427</v>
      </c>
      <c r="BD14" s="12">
        <f>IF('Données projet'!$A$88&gt;35,BD13+BC14-BL13,IF(A14&lt;'Données projet'!$A$88,$BA$205^A14,IF(A14='Données projet'!$A$88,'Données projet'!$B$88,BD13+BC14-BL13)))</f>
        <v>19.487179487179485</v>
      </c>
      <c r="BE14" s="13">
        <f>BD14*VLOOKUP('Données projet'!$B$11,Paramètres!$A$1:$I$89,3,0)*VLOOKUP('Données projet'!$B$11,Paramètres!$A$1:$I$89,5,0)</f>
        <v>20.368000000000002</v>
      </c>
      <c r="BF14" s="13">
        <f t="shared" si="37"/>
        <v>6.609047283991738</v>
      </c>
      <c r="BG14" s="20">
        <f t="shared" si="7"/>
        <v>46.985024019618947</v>
      </c>
      <c r="BH14" s="59">
        <f t="shared" si="8"/>
        <v>317.09613513073009</v>
      </c>
      <c r="BI14" s="59">
        <f ca="1">AVERAGE(OFFSET($BH$3,0,0,'Données projet'!$E$11+1,1))-AVERAGE(OFFSET($H$3,0,0,'Données projet'!$E$11+1,1))</f>
        <v>260.74709892624571</v>
      </c>
      <c r="BJ14" s="59">
        <f t="shared" si="38"/>
        <v>237.17381692184887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5.0894117647058819</v>
      </c>
      <c r="BY14" s="12">
        <f>IF('Données projet'!$A$114&gt;35,BY13+BX14-CG13,IF(A14&lt;'Données projet'!$A$114,$BV$205^A14,IF(A14='Données projet'!$A$114,'Données projet'!$B$114,BY13+BX14-CG13)))</f>
        <v>5.2979300838767944</v>
      </c>
      <c r="BZ14" s="13">
        <f>BY14*VLOOKUP('Données projet'!$B$12,Paramètres!$A$1:$I$89,3,0)*VLOOKUP('Données projet'!$B$12,Paramètres!$A$1:$I$89,5,0)</f>
        <v>4.7935671398917234</v>
      </c>
      <c r="CA14" s="13">
        <f t="shared" si="39"/>
        <v>1.8406965292945834</v>
      </c>
      <c r="CB14" s="20">
        <f t="shared" si="10"/>
        <v>11.554675890499484</v>
      </c>
      <c r="CC14" s="59">
        <f t="shared" si="11"/>
        <v>281.66578700161062</v>
      </c>
      <c r="CD14" s="59">
        <f ca="1">AVERAGE(OFFSET($CC$3,0,0,'Données projet'!$E$12+1,1))-AVERAGE(OFFSET($H$3,0,0,'Données projet'!$E$12+1,1))</f>
        <v>695.0879239758051</v>
      </c>
      <c r="CE14" s="59">
        <f t="shared" si="40"/>
        <v>226.22150997227476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5.0894117647058819</v>
      </c>
      <c r="CT14" s="12">
        <f>IF('Données projet'!$A$140&gt;35,CT13+CS14-DB13,IF(A14&lt;'Données projet'!$A$140,$CQ$205^A14,IF(A14='Données projet'!$A$140,'Données projet'!$B$140,CT13+CS14-DB13)))</f>
        <v>5.2979300838767944</v>
      </c>
      <c r="CU14" s="17">
        <f>CT14*VLOOKUP('Données projet'!$B$13,Paramètres!$A$1:$I$89,3,0)*VLOOKUP('Données projet'!$B$13,Paramètres!$A$1:$I$89,5,0)</f>
        <v>5.3721011050510699</v>
      </c>
      <c r="CV14" s="13">
        <f t="shared" si="41"/>
        <v>2.0356703929726119</v>
      </c>
      <c r="CW14" s="20">
        <f t="shared" si="13"/>
        <v>12.901868692391245</v>
      </c>
      <c r="CX14" s="59">
        <f t="shared" si="14"/>
        <v>283.01297980350239</v>
      </c>
      <c r="CY14" s="59">
        <f ca="1">AVERAGE(OFFSET($CX$3,0,0,'Données projet'!$E$13+1,1))-AVERAGE(OFFSET($H$3,0,0,'Données projet'!$E$13+1,1))</f>
        <v>773.15074145293738</v>
      </c>
      <c r="CZ14" s="59">
        <f t="shared" si="42"/>
        <v>248.49577986312505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6.4429411764705877</v>
      </c>
      <c r="DO14" s="12">
        <f>IF('Données projet'!$A$166&gt;35,DO13+DN14-DW13,IF(A14&lt;'Données projet'!$A$166,$DL$205^A14,IF(A14='Données projet'!$A$166,'Données projet'!$B$166,DO13+DN14-DW13)))</f>
        <v>70.872352941176473</v>
      </c>
      <c r="DP14" s="17">
        <f>DO14*VLOOKUP('Données projet'!$B$14,Paramètres!$A$1:$I$89,3,0)*VLOOKUP('Données projet'!$B$14,Paramètres!$A$1:$I$89,5,0)</f>
        <v>33.168261176470587</v>
      </c>
      <c r="DQ14" s="13">
        <f t="shared" si="43"/>
        <v>10.168634715242291</v>
      </c>
      <c r="DR14" s="20">
        <f t="shared" si="16"/>
        <v>75.47842701139993</v>
      </c>
      <c r="DS14" s="59">
        <f t="shared" si="17"/>
        <v>345.58953812251104</v>
      </c>
      <c r="DT14" s="59">
        <f ca="1">AVERAGE(OFFSET($DS$3,0,0,'Données projet'!$E$14+1,1))-AVERAGE(OFFSET($H$3,0,0,'Données projet'!$E$14+1,1))</f>
        <v>293.15557501692803</v>
      </c>
      <c r="DU14" s="59">
        <f t="shared" si="44"/>
        <v>237.1930412773068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5.699583333333333</v>
      </c>
      <c r="EJ14" s="12">
        <f>IF('Données projet'!$A$192&gt;35,EJ13+EI14-ER13,IF(A14&lt;'Données projet'!$A$192,$EG$205^A14,IF(A14='Données projet'!$A$192,'Données projet'!$B$192,EJ13+EI14-ER13)))</f>
        <v>9.5285081595930592</v>
      </c>
      <c r="EK14" s="17">
        <f>EJ14*VLOOKUP('Données projet'!$B$15,Paramètres!$A$1:$I$89,3,0)*VLOOKUP('Données projet'!$B$15,Paramètres!$A$1:$I$89,5,0)</f>
        <v>5.6980478794366496</v>
      </c>
      <c r="EL14" s="13">
        <f t="shared" si="45"/>
        <v>2.1444288517063308</v>
      </c>
      <c r="EM14" s="20">
        <f t="shared" si="19"/>
        <v>13.658980306740689</v>
      </c>
      <c r="EN14" s="59">
        <f t="shared" si="20"/>
        <v>283.77009141785186</v>
      </c>
      <c r="EO14" s="59">
        <f ca="1">AVERAGE(OFFSET($EN$3,0,0,'Données projet'!$E$15+1,1))-AVERAGE(OFFSET($H$3,0,0,'Données projet'!$E$15+1,1))</f>
        <v>225.86663363047296</v>
      </c>
      <c r="EP14" s="59">
        <f t="shared" si="46"/>
        <v>258.08349727304397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9.5933333333333337</v>
      </c>
      <c r="N15" s="13">
        <f>IF('Données projet'!$A$36&gt;35,N14+M15-V14,IF(A15&lt;'Données projet'!$A$36,$K$205^A15,IF(A15='Données projet'!$A$36,'Données projet'!$B$36,N14+M15-V14)))</f>
        <v>53.265822207628766</v>
      </c>
      <c r="O15" s="13">
        <f>N15*VLOOKUP('Données projet'!$B$9,Paramètres!$A$1:$I$89,3,0)*VLOOKUP('Données projet'!$B$9,Paramètres!$A$1:$I$89,5,0)</f>
        <v>31.852961680162004</v>
      </c>
      <c r="P15" s="13">
        <f t="shared" si="33"/>
        <v>9.811496314642671</v>
      </c>
      <c r="Q15" s="20">
        <f t="shared" si="2"/>
        <v>72.565597674284803</v>
      </c>
      <c r="R15" s="59">
        <f t="shared" si="0"/>
        <v>343.8989310076181</v>
      </c>
      <c r="S15" s="59">
        <f ca="1">AVERAGE(OFFSET($R$3,0,0,'Données projet'!$E$9+1,1))-AVERAGE(OFFSET($H$3,0,0,'Données projet'!$E$9+1,1))</f>
        <v>388.12151914648013</v>
      </c>
      <c r="T15" s="59">
        <f t="shared" si="34"/>
        <v>481.43684454382793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5.8890909090909096</v>
      </c>
      <c r="AI15" s="13">
        <f>IF('Données projet'!$A$62&gt;35,AI14+AH15-AQ14,IF(A15&lt;'Données projet'!$A$62,$AF$205^A15,IF(A15='Données projet'!$A$62,'Données projet'!$B$62,AI14+AH15-AQ14)))</f>
        <v>14.198971124819497</v>
      </c>
      <c r="AJ15" s="13">
        <f>AI15*VLOOKUP('Données projet'!$B$10,Paramètres!$A$1:$I$89,3,0)*VLOOKUP('Données projet'!$B$10,Paramètres!$A$1:$I$89,5,0)</f>
        <v>8.49098473264206</v>
      </c>
      <c r="AK15" s="13">
        <f t="shared" si="35"/>
        <v>3.0505588433685857</v>
      </c>
      <c r="AL15" s="20">
        <f t="shared" si="4"/>
        <v>20.10152172821854</v>
      </c>
      <c r="AM15" s="59">
        <f t="shared" si="5"/>
        <v>291.43485506155184</v>
      </c>
      <c r="AN15" s="59">
        <f ca="1">AVERAGE(OFFSET($AM$3,0,0,'Données projet'!$E$10+1,1))-AVERAGE(OFFSET($H$3,0,0,'Données projet'!$E$10+1,1))</f>
        <v>349.71285006949597</v>
      </c>
      <c r="AO15" s="59">
        <f t="shared" si="36"/>
        <v>258.51550516456842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4.7435897435897427</v>
      </c>
      <c r="BD15" s="12">
        <f>IF('Données projet'!$A$88&gt;35,BD14+BC15-BL14,IF(A15&lt;'Données projet'!$A$88,$BA$205^A15,IF(A15='Données projet'!$A$88,'Données projet'!$B$88,BD14+BC15-BL14)))</f>
        <v>24.230769230769226</v>
      </c>
      <c r="BE15" s="13">
        <f>BD15*VLOOKUP('Données projet'!$B$11,Paramètres!$A$1:$I$89,3,0)*VLOOKUP('Données projet'!$B$11,Paramètres!$A$1:$I$89,5,0)</f>
        <v>25.325999999999997</v>
      </c>
      <c r="BF15" s="13">
        <f t="shared" si="37"/>
        <v>8.0120474907190182</v>
      </c>
      <c r="BG15" s="20">
        <f t="shared" si="7"/>
        <v>58.063766046335616</v>
      </c>
      <c r="BH15" s="59">
        <f t="shared" si="8"/>
        <v>329.39709937966893</v>
      </c>
      <c r="BI15" s="59">
        <f ca="1">AVERAGE(OFFSET($BH$3,0,0,'Données projet'!$E$11+1,1))-AVERAGE(OFFSET($H$3,0,0,'Données projet'!$E$11+1,1))</f>
        <v>260.74709892624571</v>
      </c>
      <c r="BJ15" s="59">
        <f t="shared" si="38"/>
        <v>237.17381692184887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5.0894117647058819</v>
      </c>
      <c r="BY15" s="12">
        <f>IF('Données projet'!$A$114&gt;35,BY14+BX15-CG14,IF(A15&lt;'Données projet'!$A$114,$BV$205^A15,IF(A15='Données projet'!$A$114,'Données projet'!$B$114,BY14+BX15-CG14)))</f>
        <v>6.1650139138374147</v>
      </c>
      <c r="BZ15" s="13">
        <f>BY15*VLOOKUP('Données projet'!$B$12,Paramètres!$A$1:$I$89,3,0)*VLOOKUP('Données projet'!$B$12,Paramètres!$A$1:$I$89,5,0)</f>
        <v>5.5781045892400929</v>
      </c>
      <c r="CA15" s="13">
        <f t="shared" si="39"/>
        <v>2.1044939010281696</v>
      </c>
      <c r="CB15" s="20">
        <f t="shared" si="10"/>
        <v>13.38052570388389</v>
      </c>
      <c r="CC15" s="59">
        <f t="shared" si="11"/>
        <v>284.71385903721722</v>
      </c>
      <c r="CD15" s="59">
        <f ca="1">AVERAGE(OFFSET($CC$3,0,0,'Données projet'!$E$12+1,1))-AVERAGE(OFFSET($H$3,0,0,'Données projet'!$E$12+1,1))</f>
        <v>695.0879239758051</v>
      </c>
      <c r="CE15" s="59">
        <f t="shared" si="40"/>
        <v>226.22150997227476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5.0894117647058819</v>
      </c>
      <c r="CT15" s="12">
        <f>IF('Données projet'!$A$140&gt;35,CT14+CS15-DB14,IF(A15&lt;'Données projet'!$A$140,$CQ$205^A15,IF(A15='Données projet'!$A$140,'Données projet'!$B$140,CT14+CS15-DB14)))</f>
        <v>6.1650139138374147</v>
      </c>
      <c r="CU15" s="17">
        <f>CT15*VLOOKUP('Données projet'!$B$13,Paramètres!$A$1:$I$89,3,0)*VLOOKUP('Données projet'!$B$13,Paramètres!$A$1:$I$89,5,0)</f>
        <v>6.2513241086311391</v>
      </c>
      <c r="CV15" s="13">
        <f t="shared" si="41"/>
        <v>2.3274102266908026</v>
      </c>
      <c r="CW15" s="20">
        <f t="shared" si="13"/>
        <v>14.941295634019047</v>
      </c>
      <c r="CX15" s="59">
        <f t="shared" si="14"/>
        <v>286.27462896735238</v>
      </c>
      <c r="CY15" s="59">
        <f ca="1">AVERAGE(OFFSET($CX$3,0,0,'Données projet'!$E$13+1,1))-AVERAGE(OFFSET($H$3,0,0,'Données projet'!$E$13+1,1))</f>
        <v>773.15074145293738</v>
      </c>
      <c r="CZ15" s="59">
        <f t="shared" si="42"/>
        <v>248.49577986312505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6.4429411764705877</v>
      </c>
      <c r="DO15" s="12">
        <f>IF('Données projet'!$A$166&gt;35,DO14+DN15-DW14,IF(A15&lt;'Données projet'!$A$166,$DL$205^A15,IF(A15='Données projet'!$A$166,'Données projet'!$B$166,DO14+DN15-DW14)))</f>
        <v>77.315294117647056</v>
      </c>
      <c r="DP15" s="17">
        <f>DO15*VLOOKUP('Données projet'!$B$14,Paramètres!$A$1:$I$89,3,0)*VLOOKUP('Données projet'!$B$14,Paramètres!$A$1:$I$89,5,0)</f>
        <v>36.183557647058819</v>
      </c>
      <c r="DQ15" s="13">
        <f t="shared" si="43"/>
        <v>10.981271243408294</v>
      </c>
      <c r="DR15" s="20">
        <f t="shared" si="16"/>
        <v>82.145410317563559</v>
      </c>
      <c r="DS15" s="59">
        <f t="shared" si="17"/>
        <v>353.47874365089689</v>
      </c>
      <c r="DT15" s="59">
        <f ca="1">AVERAGE(OFFSET($DS$3,0,0,'Données projet'!$E$14+1,1))-AVERAGE(OFFSET($H$3,0,0,'Données projet'!$E$14+1,1))</f>
        <v>293.15557501692803</v>
      </c>
      <c r="DU15" s="59">
        <f t="shared" si="44"/>
        <v>237.1930412773068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5.699583333333333</v>
      </c>
      <c r="EJ15" s="12">
        <f>IF('Données projet'!$A$192&gt;35,EJ14+EI15-ER14,IF(A15&lt;'Données projet'!$A$192,$EG$205^A15,IF(A15='Données projet'!$A$192,'Données projet'!$B$192,EJ14+EI15-ER14)))</f>
        <v>11.695725714978094</v>
      </c>
      <c r="EK15" s="17">
        <f>EJ15*VLOOKUP('Données projet'!$B$15,Paramètres!$A$1:$I$89,3,0)*VLOOKUP('Données projet'!$B$15,Paramètres!$A$1:$I$89,5,0)</f>
        <v>6.9940439775569017</v>
      </c>
      <c r="EL15" s="13">
        <f t="shared" si="45"/>
        <v>2.5701237961941108</v>
      </c>
      <c r="EM15" s="20">
        <f t="shared" si="19"/>
        <v>16.65759220594968</v>
      </c>
      <c r="EN15" s="59">
        <f t="shared" si="20"/>
        <v>287.99092553928301</v>
      </c>
      <c r="EO15" s="59">
        <f ca="1">AVERAGE(OFFSET($EN$3,0,0,'Données projet'!$E$15+1,1))-AVERAGE(OFFSET($H$3,0,0,'Données projet'!$E$15+1,1))</f>
        <v>225.86663363047296</v>
      </c>
      <c r="EP15" s="59">
        <f t="shared" si="46"/>
        <v>258.08349727304397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9.5933333333333337</v>
      </c>
      <c r="N16" s="13">
        <f>IF('Données projet'!$A$36&gt;35,N15+M16-V15,IF(A16&lt;'Données projet'!$A$36,$K$205^A16,IF(A16='Données projet'!$A$36,'Données projet'!$B$36,N15+M16-V15)))</f>
        <v>74.185555793984392</v>
      </c>
      <c r="O16" s="13">
        <f>N16*VLOOKUP('Données projet'!$B$9,Paramètres!$A$1:$I$89,3,0)*VLOOKUP('Données projet'!$B$9,Paramètres!$A$1:$I$89,5,0)</f>
        <v>44.362962364802677</v>
      </c>
      <c r="P16" s="13">
        <f t="shared" si="33"/>
        <v>13.147991447029501</v>
      </c>
      <c r="Q16" s="20">
        <f t="shared" si="2"/>
        <v>100.16491122227438</v>
      </c>
      <c r="R16" s="59">
        <f t="shared" si="0"/>
        <v>372.72046677782993</v>
      </c>
      <c r="S16" s="59">
        <f ca="1">AVERAGE(OFFSET($R$3,0,0,'Données projet'!$E$9+1,1))-AVERAGE(OFFSET($H$3,0,0,'Données projet'!$E$9+1,1))</f>
        <v>388.12151914648013</v>
      </c>
      <c r="T16" s="59">
        <f t="shared" si="34"/>
        <v>481.43684454382793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5.8890909090909096</v>
      </c>
      <c r="AI16" s="13">
        <f>IF('Données projet'!$A$62&gt;35,AI15+AH16-AQ15,IF(A16&lt;'Données projet'!$A$62,$AF$205^A16,IF(A16='Données projet'!$A$62,'Données projet'!$B$62,AI15+AH16-AQ15)))</f>
        <v>17.712435523051596</v>
      </c>
      <c r="AJ16" s="13">
        <f>AI16*VLOOKUP('Données projet'!$B$10,Paramètres!$A$1:$I$89,3,0)*VLOOKUP('Données projet'!$B$10,Paramètres!$A$1:$I$89,5,0)</f>
        <v>10.592036442784856</v>
      </c>
      <c r="AK16" s="13">
        <f t="shared" si="35"/>
        <v>3.708718932562717</v>
      </c>
      <c r="AL16" s="20">
        <f t="shared" si="4"/>
        <v>24.907148945397026</v>
      </c>
      <c r="AM16" s="59">
        <f t="shared" si="5"/>
        <v>297.46270450095255</v>
      </c>
      <c r="AN16" s="59">
        <f ca="1">AVERAGE(OFFSET($AM$3,0,0,'Données projet'!$E$10+1,1))-AVERAGE(OFFSET($H$3,0,0,'Données projet'!$E$10+1,1))</f>
        <v>349.71285006949597</v>
      </c>
      <c r="AO16" s="59">
        <f t="shared" si="36"/>
        <v>258.51550516456842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4.7435897435897427</v>
      </c>
      <c r="BD16" s="12">
        <f>IF('Données projet'!$A$88&gt;35,BD15+BC16-BL15,IF(A16&lt;'Données projet'!$A$88,$BA$205^A16,IF(A16='Données projet'!$A$88,'Données projet'!$B$88,BD15+BC16-BL15)))</f>
        <v>28.974358974358971</v>
      </c>
      <c r="BE16" s="13">
        <f>BD16*VLOOKUP('Données projet'!$B$11,Paramètres!$A$1:$I$89,3,0)*VLOOKUP('Données projet'!$B$11,Paramètres!$A$1:$I$89,5,0)</f>
        <v>30.284000000000002</v>
      </c>
      <c r="BF16" s="13">
        <f t="shared" si="37"/>
        <v>9.3832239446418253</v>
      </c>
      <c r="BG16" s="20">
        <f t="shared" si="7"/>
        <v>69.087081703584502</v>
      </c>
      <c r="BH16" s="59">
        <f t="shared" si="8"/>
        <v>341.64263725914003</v>
      </c>
      <c r="BI16" s="59">
        <f ca="1">AVERAGE(OFFSET($BH$3,0,0,'Données projet'!$E$11+1,1))-AVERAGE(OFFSET($H$3,0,0,'Données projet'!$E$11+1,1))</f>
        <v>260.74709892624571</v>
      </c>
      <c r="BJ16" s="59">
        <f t="shared" si="38"/>
        <v>237.17381692184887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5.0894117647058819</v>
      </c>
      <c r="BY16" s="12">
        <f>IF('Données projet'!$A$114&gt;35,BY15+BX16-CG15,IF(A16&lt;'Données projet'!$A$114,$BV$205^A16,IF(A16='Données projet'!$A$114,'Données projet'!$B$114,BY15+BX16-CG15)))</f>
        <v>7.1740087083211872</v>
      </c>
      <c r="BZ16" s="13">
        <f>BY16*VLOOKUP('Données projet'!$B$12,Paramètres!$A$1:$I$89,3,0)*VLOOKUP('Données projet'!$B$12,Paramètres!$A$1:$I$89,5,0)</f>
        <v>6.4910430792890104</v>
      </c>
      <c r="CA16" s="13">
        <f t="shared" si="39"/>
        <v>2.4060970991030577</v>
      </c>
      <c r="CB16" s="20">
        <f t="shared" si="10"/>
        <v>15.495852477366185</v>
      </c>
      <c r="CC16" s="59">
        <f t="shared" si="11"/>
        <v>288.0514080329217</v>
      </c>
      <c r="CD16" s="59">
        <f ca="1">AVERAGE(OFFSET($CC$3,0,0,'Données projet'!$E$12+1,1))-AVERAGE(OFFSET($H$3,0,0,'Données projet'!$E$12+1,1))</f>
        <v>695.0879239758051</v>
      </c>
      <c r="CE16" s="59">
        <f t="shared" si="40"/>
        <v>226.22150997227476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5.0894117647058819</v>
      </c>
      <c r="CT16" s="12">
        <f>IF('Données projet'!$A$140&gt;35,CT15+CS16-DB15,IF(A16&lt;'Données projet'!$A$140,$CQ$205^A16,IF(A16='Données projet'!$A$140,'Données projet'!$B$140,CT15+CS16-DB15)))</f>
        <v>7.1740087083211872</v>
      </c>
      <c r="CU16" s="17">
        <f>CT16*VLOOKUP('Données projet'!$B$13,Paramètres!$A$1:$I$89,3,0)*VLOOKUP('Données projet'!$B$13,Paramètres!$A$1:$I$89,5,0)</f>
        <v>7.2744448302376847</v>
      </c>
      <c r="CV16" s="13">
        <f t="shared" si="41"/>
        <v>2.660960429549172</v>
      </c>
      <c r="CW16" s="20">
        <f t="shared" si="13"/>
        <v>17.304164160795441</v>
      </c>
      <c r="CX16" s="59">
        <f t="shared" si="14"/>
        <v>289.85971971635098</v>
      </c>
      <c r="CY16" s="59">
        <f ca="1">AVERAGE(OFFSET($CX$3,0,0,'Données projet'!$E$13+1,1))-AVERAGE(OFFSET($H$3,0,0,'Données projet'!$E$13+1,1))</f>
        <v>773.15074145293738</v>
      </c>
      <c r="CZ16" s="59">
        <f t="shared" si="42"/>
        <v>248.49577986312505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6.4429411764705877</v>
      </c>
      <c r="DO16" s="12">
        <f>IF('Données projet'!$A$166&gt;35,DO15+DN16-DW15,IF(A16&lt;'Données projet'!$A$166,$DL$205^A16,IF(A16='Données projet'!$A$166,'Données projet'!$B$166,DO15+DN16-DW15)))</f>
        <v>83.75823529411764</v>
      </c>
      <c r="DP16" s="17">
        <f>DO16*VLOOKUP('Données projet'!$B$14,Paramètres!$A$1:$I$89,3,0)*VLOOKUP('Données projet'!$B$14,Paramètres!$A$1:$I$89,5,0)</f>
        <v>39.198854117647059</v>
      </c>
      <c r="DQ16" s="13">
        <f t="shared" si="43"/>
        <v>11.786053715435241</v>
      </c>
      <c r="DR16" s="20">
        <f t="shared" si="16"/>
        <v>88.79871447595167</v>
      </c>
      <c r="DS16" s="59">
        <f t="shared" si="17"/>
        <v>361.35427003150721</v>
      </c>
      <c r="DT16" s="59">
        <f ca="1">AVERAGE(OFFSET($DS$3,0,0,'Données projet'!$E$14+1,1))-AVERAGE(OFFSET($H$3,0,0,'Données projet'!$E$14+1,1))</f>
        <v>293.15557501692803</v>
      </c>
      <c r="DU16" s="59">
        <f t="shared" si="44"/>
        <v>237.1930412773068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5.699583333333333</v>
      </c>
      <c r="EJ16" s="12">
        <f>IF('Données projet'!$A$192&gt;35,EJ15+EI16-ER15,IF(A16&lt;'Données projet'!$A$192,$EG$205^A16,IF(A16='Données projet'!$A$192,'Données projet'!$B$192,EJ15+EI16-ER15)))</f>
        <v>14.355867435794046</v>
      </c>
      <c r="EK16" s="17">
        <f>EJ16*VLOOKUP('Données projet'!$B$15,Paramètres!$A$1:$I$89,3,0)*VLOOKUP('Données projet'!$B$15,Paramètres!$A$1:$I$89,5,0)</f>
        <v>8.5848087266048392</v>
      </c>
      <c r="EL16" s="13">
        <f t="shared" si="45"/>
        <v>3.080324312232217</v>
      </c>
      <c r="EM16" s="20">
        <f t="shared" si="19"/>
        <v>20.316773375974538</v>
      </c>
      <c r="EN16" s="59">
        <f t="shared" si="20"/>
        <v>292.87232893153009</v>
      </c>
      <c r="EO16" s="59">
        <f ca="1">AVERAGE(OFFSET($EN$3,0,0,'Données projet'!$E$15+1,1))-AVERAGE(OFFSET($H$3,0,0,'Données projet'!$E$15+1,1))</f>
        <v>225.86663363047296</v>
      </c>
      <c r="EP16" s="59">
        <f t="shared" si="46"/>
        <v>258.08349727304397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9.5933333333333337</v>
      </c>
      <c r="N17" s="13">
        <f>IF('Données projet'!$A$36&gt;35,N16+M17-V16,IF(A17&lt;'Données projet'!$A$36,$K$205^A17,IF(A17='Données projet'!$A$36,'Données projet'!$B$36,N16+M17-V16)))</f>
        <v>103.32135054650782</v>
      </c>
      <c r="O17" s="13">
        <f>N17*VLOOKUP('Données projet'!$B$9,Paramètres!$A$1:$I$89,3,0)*VLOOKUP('Données projet'!$B$9,Paramètres!$A$1:$I$89,5,0)</f>
        <v>61.786167626811675</v>
      </c>
      <c r="P17" s="13">
        <f t="shared" si="33"/>
        <v>17.61909433051207</v>
      </c>
      <c r="Q17" s="20">
        <f t="shared" si="2"/>
        <v>138.2974979090055</v>
      </c>
      <c r="R17" s="59">
        <f t="shared" si="0"/>
        <v>412.07527568678324</v>
      </c>
      <c r="S17" s="59">
        <f ca="1">AVERAGE(OFFSET($R$3,0,0,'Données projet'!$E$9+1,1))-AVERAGE(OFFSET($H$3,0,0,'Données projet'!$E$9+1,1))</f>
        <v>388.12151914648013</v>
      </c>
      <c r="T17" s="59">
        <f t="shared" si="34"/>
        <v>481.43684454382793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5.8890909090909096</v>
      </c>
      <c r="AI17" s="13">
        <f>IF('Données projet'!$A$62&gt;35,AI16+AH17-AQ16,IF(A17&lt;'Données projet'!$A$62,$AF$205^A17,IF(A17='Données projet'!$A$62,'Données projet'!$B$62,AI16+AH17-AQ16)))</f>
        <v>22.095289116397044</v>
      </c>
      <c r="AJ17" s="13">
        <f>AI17*VLOOKUP('Données projet'!$B$10,Paramètres!$A$1:$I$89,3,0)*VLOOKUP('Données projet'!$B$10,Paramètres!$A$1:$I$89,5,0)</f>
        <v>13.212982891605433</v>
      </c>
      <c r="AK17" s="13">
        <f t="shared" si="35"/>
        <v>4.508877496544403</v>
      </c>
      <c r="AL17" s="20">
        <f t="shared" si="4"/>
        <v>30.86557350936096</v>
      </c>
      <c r="AM17" s="59">
        <f t="shared" si="5"/>
        <v>304.64335128713873</v>
      </c>
      <c r="AN17" s="59">
        <f ca="1">AVERAGE(OFFSET($AM$3,0,0,'Données projet'!$E$10+1,1))-AVERAGE(OFFSET($H$3,0,0,'Données projet'!$E$10+1,1))</f>
        <v>349.71285006949597</v>
      </c>
      <c r="AO17" s="59">
        <f t="shared" si="36"/>
        <v>258.51550516456842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4.7435897435897427</v>
      </c>
      <c r="BD17" s="12">
        <f>IF('Données projet'!$A$88&gt;35,BD16+BC17-BL16,IF(A17&lt;'Données projet'!$A$88,$BA$205^A17,IF(A17='Données projet'!$A$88,'Données projet'!$B$88,BD16+BC17-BL16)))</f>
        <v>33.717948717948715</v>
      </c>
      <c r="BE17" s="13">
        <f>BD17*VLOOKUP('Données projet'!$B$11,Paramètres!$A$1:$I$89,3,0)*VLOOKUP('Données projet'!$B$11,Paramètres!$A$1:$I$89,5,0)</f>
        <v>35.242000000000004</v>
      </c>
      <c r="BF17" s="13">
        <f t="shared" si="37"/>
        <v>10.72839522230381</v>
      </c>
      <c r="BG17" s="20">
        <f t="shared" si="7"/>
        <v>80.065105012179131</v>
      </c>
      <c r="BH17" s="59">
        <f t="shared" si="8"/>
        <v>353.84288278995689</v>
      </c>
      <c r="BI17" s="59">
        <f ca="1">AVERAGE(OFFSET($BH$3,0,0,'Données projet'!$E$11+1,1))-AVERAGE(OFFSET($H$3,0,0,'Données projet'!$E$11+1,1))</f>
        <v>260.74709892624571</v>
      </c>
      <c r="BJ17" s="59">
        <f t="shared" si="38"/>
        <v>237.17381692184887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5.0894117647058819</v>
      </c>
      <c r="BY17" s="12">
        <f>IF('Données projet'!$A$114&gt;35,BY16+BX17-CG16,IF(A17&lt;'Données projet'!$A$114,$BV$205^A17,IF(A17='Données projet'!$A$114,'Données projet'!$B$114,BY16+BX17-CG16)))</f>
        <v>8.3481402745177196</v>
      </c>
      <c r="BZ17" s="13">
        <f>BY17*VLOOKUP('Données projet'!$B$12,Paramètres!$A$1:$I$89,3,0)*VLOOKUP('Données projet'!$B$12,Paramètres!$A$1:$I$89,5,0)</f>
        <v>7.553397320383632</v>
      </c>
      <c r="CA17" s="13">
        <f t="shared" si="39"/>
        <v>2.7509242233886888</v>
      </c>
      <c r="CB17" s="20">
        <f t="shared" si="10"/>
        <v>17.946693355403458</v>
      </c>
      <c r="CC17" s="59">
        <f t="shared" si="11"/>
        <v>291.72447113318123</v>
      </c>
      <c r="CD17" s="59">
        <f ca="1">AVERAGE(OFFSET($CC$3,0,0,'Données projet'!$E$12+1,1))-AVERAGE(OFFSET($H$3,0,0,'Données projet'!$E$12+1,1))</f>
        <v>695.0879239758051</v>
      </c>
      <c r="CE17" s="59">
        <f t="shared" si="40"/>
        <v>226.22150997227476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5.0894117647058819</v>
      </c>
      <c r="CT17" s="12">
        <f>IF('Données projet'!$A$140&gt;35,CT16+CS17-DB16,IF(A17&lt;'Données projet'!$A$140,$CQ$205^A17,IF(A17='Données projet'!$A$140,'Données projet'!$B$140,CT16+CS17-DB16)))</f>
        <v>8.3481402745177196</v>
      </c>
      <c r="CU17" s="17">
        <f>CT17*VLOOKUP('Données projet'!$B$13,Paramètres!$A$1:$I$89,3,0)*VLOOKUP('Données projet'!$B$13,Paramètres!$A$1:$I$89,5,0)</f>
        <v>8.4650142383609683</v>
      </c>
      <c r="CV17" s="13">
        <f t="shared" si="41"/>
        <v>3.0423130080055243</v>
      </c>
      <c r="CW17" s="20">
        <f t="shared" si="13"/>
        <v>20.041928287421641</v>
      </c>
      <c r="CX17" s="59">
        <f t="shared" si="14"/>
        <v>293.8197060651994</v>
      </c>
      <c r="CY17" s="59">
        <f ca="1">AVERAGE(OFFSET($CX$3,0,0,'Données projet'!$E$13+1,1))-AVERAGE(OFFSET($H$3,0,0,'Données projet'!$E$13+1,1))</f>
        <v>773.15074145293738</v>
      </c>
      <c r="CZ17" s="59">
        <f t="shared" si="42"/>
        <v>248.49577986312505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6.4429411764705877</v>
      </c>
      <c r="DO17" s="12">
        <f>IF('Données projet'!$A$166&gt;35,DO16+DN17-DW16,IF(A17&lt;'Données projet'!$A$166,$DL$205^A17,IF(A17='Données projet'!$A$166,'Données projet'!$B$166,DO16+DN17-DW16)))</f>
        <v>90.201176470588223</v>
      </c>
      <c r="DP17" s="17">
        <f>DO17*VLOOKUP('Données projet'!$B$14,Paramètres!$A$1:$I$89,3,0)*VLOOKUP('Données projet'!$B$14,Paramètres!$A$1:$I$89,5,0)</f>
        <v>42.214150588235285</v>
      </c>
      <c r="DQ17" s="13">
        <f t="shared" si="43"/>
        <v>12.583654981741942</v>
      </c>
      <c r="DR17" s="20">
        <f t="shared" si="16"/>
        <v>95.439511367710338</v>
      </c>
      <c r="DS17" s="59">
        <f t="shared" si="17"/>
        <v>369.21728914548811</v>
      </c>
      <c r="DT17" s="59">
        <f ca="1">AVERAGE(OFFSET($DS$3,0,0,'Données projet'!$E$14+1,1))-AVERAGE(OFFSET($H$3,0,0,'Données projet'!$E$14+1,1))</f>
        <v>293.15557501692803</v>
      </c>
      <c r="DU17" s="59">
        <f t="shared" si="44"/>
        <v>237.1930412773068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5.699583333333333</v>
      </c>
      <c r="EJ17" s="12">
        <f>IF('Données projet'!$A$192&gt;35,EJ16+EI17-ER16,IF(A17&lt;'Données projet'!$A$192,$EG$205^A17,IF(A17='Données projet'!$A$192,'Données projet'!$B$192,EJ16+EI17-ER16)))</f>
        <v>17.621046770117243</v>
      </c>
      <c r="EK17" s="17">
        <f>EJ17*VLOOKUP('Données projet'!$B$15,Paramètres!$A$1:$I$89,3,0)*VLOOKUP('Données projet'!$B$15,Paramètres!$A$1:$I$89,5,0)</f>
        <v>10.537385968530113</v>
      </c>
      <c r="EL17" s="13">
        <f t="shared" si="45"/>
        <v>3.6918057731613891</v>
      </c>
      <c r="EM17" s="20">
        <f t="shared" si="19"/>
        <v>24.7825089501127</v>
      </c>
      <c r="EN17" s="59">
        <f t="shared" si="20"/>
        <v>298.56028672789046</v>
      </c>
      <c r="EO17" s="59">
        <f ca="1">AVERAGE(OFFSET($EN$3,0,0,'Données projet'!$E$15+1,1))-AVERAGE(OFFSET($H$3,0,0,'Données projet'!$E$15+1,1))</f>
        <v>225.86663363047296</v>
      </c>
      <c r="EP17" s="59">
        <f t="shared" si="46"/>
        <v>258.08349727304397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143.9</v>
      </c>
      <c r="L18" s="12">
        <f>VLOOKUP(A18,'Données projet'!$A$35:$I$55,9,0)</f>
        <v>9.5933333333333337</v>
      </c>
      <c r="M18" s="12">
        <f t="array" ref="M18">INDEX(L:L,MIN(IF(ISNUMBER(L18:L214),ROW(L18:L214),"")))</f>
        <v>9.5933333333333337</v>
      </c>
      <c r="N18" s="13">
        <f>IF('Données projet'!$A$36&gt;35,N17+M18-V17,IF(A18&lt;'Données projet'!$A$36,$K$205^A18,IF(A18='Données projet'!$A$36,'Données projet'!$B$36,N17+M18-V17)))</f>
        <v>143.9</v>
      </c>
      <c r="O18" s="13">
        <f>N18*VLOOKUP('Données projet'!$B$9,Paramètres!$A$1:$I$89,3,0)*VLOOKUP('Données projet'!$B$9,Paramètres!$A$1:$I$89,5,0)</f>
        <v>86.052200000000013</v>
      </c>
      <c r="P18" s="13">
        <f t="shared" si="33"/>
        <v>23.610639410449146</v>
      </c>
      <c r="Q18" s="20">
        <f t="shared" si="2"/>
        <v>190.99611197319894</v>
      </c>
      <c r="R18" s="59">
        <f t="shared" si="0"/>
        <v>465.99611197319894</v>
      </c>
      <c r="S18" s="59">
        <f ca="1">AVERAGE(OFFSET($R$3,0,0,'Données projet'!$E$9+1,1))-AVERAGE(OFFSET($H$3,0,0,'Données projet'!$E$9+1,1))</f>
        <v>388.12151914648013</v>
      </c>
      <c r="T18" s="59">
        <f t="shared" si="34"/>
        <v>481.43684454382793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50.480000000000004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0.22500000000000001</v>
      </c>
      <c r="Y18" s="16">
        <f>IF(ISNA(VLOOKUP(A18,'Données projet'!$A$35:$I$55,7,0)),0%,VLOOKUP(A18,'Données projet'!$A$35:$I$55,7,0))</f>
        <v>0.5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8.9746608694215499</v>
      </c>
      <c r="AB18" s="21">
        <f>EXP(-LN(2)/2)*AB17+(1-EXP(-LN(2)/2))/(LN(2)/2)*V18*Y18*VLOOKUP('Données projet'!$B$9,Paramètres!$A$1:$I$89,3,0)*0.475*44/12</f>
        <v>17.089370827361666</v>
      </c>
      <c r="AC18" s="22">
        <f t="shared" si="3"/>
        <v>26.064031696783218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5.8890909090909096</v>
      </c>
      <c r="AI18" s="13">
        <f>IF('Données projet'!$A$62&gt;35,AI17+AH18-AQ17,IF(A18&lt;'Données projet'!$A$62,$AF$205^A18,IF(A18='Données projet'!$A$62,'Données projet'!$B$62,AI17+AH18-AQ17)))</f>
        <v>27.562657913521289</v>
      </c>
      <c r="AJ18" s="13">
        <f>AI18*VLOOKUP('Données projet'!$B$10,Paramètres!$A$1:$I$89,3,0)*VLOOKUP('Données projet'!$B$10,Paramètres!$A$1:$I$89,5,0)</f>
        <v>16.482469432285733</v>
      </c>
      <c r="AK18" s="13">
        <f t="shared" si="35"/>
        <v>5.4816708002179473</v>
      </c>
      <c r="AL18" s="20">
        <f t="shared" si="4"/>
        <v>38.254210904943911</v>
      </c>
      <c r="AM18" s="59">
        <f t="shared" si="5"/>
        <v>313.25421090494393</v>
      </c>
      <c r="AN18" s="59">
        <f ca="1">AVERAGE(OFFSET($AM$3,0,0,'Données projet'!$E$10+1,1))-AVERAGE(OFFSET($H$3,0,0,'Données projet'!$E$10+1,1))</f>
        <v>349.71285006949597</v>
      </c>
      <c r="AO18" s="59">
        <f t="shared" si="36"/>
        <v>258.51550516456842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38.46153846153846</v>
      </c>
      <c r="BB18" s="12">
        <f>VLOOKUP(A18,'Données projet'!$A$87:$I$107,9,0)</f>
        <v>4.7435897435897427</v>
      </c>
      <c r="BC18" s="12">
        <f t="array" ref="BC18">INDEX(BB:BB,MIN(IF(ISNUMBER(BB18:BB214),ROW(BB18:BB214),"")))</f>
        <v>4.7435897435897427</v>
      </c>
      <c r="BD18" s="12">
        <f>IF('Données projet'!$A$88&gt;35,BD17+BC18-BL17,IF(A18&lt;'Données projet'!$A$88,$BA$205^A18,IF(A18='Données projet'!$A$88,'Données projet'!$B$88,BD17+BC18-BL17)))</f>
        <v>38.46153846153846</v>
      </c>
      <c r="BE18" s="13">
        <f>BD18*VLOOKUP('Données projet'!$B$11,Paramètres!$A$1:$I$89,3,0)*VLOOKUP('Données projet'!$B$11,Paramètres!$A$1:$I$89,5,0)</f>
        <v>40.200000000000003</v>
      </c>
      <c r="BF18" s="13">
        <f t="shared" si="37"/>
        <v>12.051641531440687</v>
      </c>
      <c r="BG18" s="20">
        <f t="shared" si="7"/>
        <v>91.004942333925854</v>
      </c>
      <c r="BH18" s="59">
        <f t="shared" si="8"/>
        <v>366.00494233392584</v>
      </c>
      <c r="BI18" s="59">
        <f ca="1">AVERAGE(OFFSET($BH$3,0,0,'Données projet'!$E$11+1,1))-AVERAGE(OFFSET($H$3,0,0,'Données projet'!$E$11+1,1))</f>
        <v>260.74709892624571</v>
      </c>
      <c r="BJ18" s="59">
        <f t="shared" si="38"/>
        <v>237.17381692184887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0.215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5.0894117647058819</v>
      </c>
      <c r="BY18" s="12">
        <f>IF('Données projet'!$A$114&gt;35,BY17+BX18-CG17,IF(A18&lt;'Données projet'!$A$114,$BV$205^A18,IF(A18='Données projet'!$A$114,'Données projet'!$B$114,BY17+BX18-CG17)))</f>
        <v>9.7144356630330186</v>
      </c>
      <c r="BZ18" s="13">
        <f>BY18*VLOOKUP('Données projet'!$B$12,Paramètres!$A$1:$I$89,3,0)*VLOOKUP('Données projet'!$B$12,Paramètres!$A$1:$I$89,5,0)</f>
        <v>8.7896213879122751</v>
      </c>
      <c r="CA18" s="13">
        <f t="shared" si="39"/>
        <v>3.1451698626990985</v>
      </c>
      <c r="CB18" s="20">
        <f t="shared" si="10"/>
        <v>20.786428094814809</v>
      </c>
      <c r="CC18" s="59">
        <f t="shared" si="11"/>
        <v>295.78642809481482</v>
      </c>
      <c r="CD18" s="59">
        <f ca="1">AVERAGE(OFFSET($CC$3,0,0,'Données projet'!$E$12+1,1))-AVERAGE(OFFSET($H$3,0,0,'Données projet'!$E$12+1,1))</f>
        <v>695.0879239758051</v>
      </c>
      <c r="CE18" s="59">
        <f t="shared" si="40"/>
        <v>226.22150997227476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5.0894117647058819</v>
      </c>
      <c r="CT18" s="12">
        <f>IF('Données projet'!$A$140&gt;35,CT17+CS18-DB17,IF(A18&lt;'Données projet'!$A$140,$CQ$205^A18,IF(A18='Données projet'!$A$140,'Données projet'!$B$140,CT17+CS18-DB17)))</f>
        <v>9.7144356630330186</v>
      </c>
      <c r="CU18" s="17">
        <f>CT18*VLOOKUP('Données projet'!$B$13,Paramètres!$A$1:$I$89,3,0)*VLOOKUP('Données projet'!$B$13,Paramètres!$A$1:$I$89,5,0)</f>
        <v>9.8504377623154813</v>
      </c>
      <c r="CV18" s="13">
        <f t="shared" si="41"/>
        <v>3.4783187062453758</v>
      </c>
      <c r="CW18" s="20">
        <f t="shared" si="13"/>
        <v>23.21425084941016</v>
      </c>
      <c r="CX18" s="59">
        <f t="shared" si="14"/>
        <v>298.21425084941018</v>
      </c>
      <c r="CY18" s="59">
        <f ca="1">AVERAGE(OFFSET($CX$3,0,0,'Données projet'!$E$13+1,1))-AVERAGE(OFFSET($H$3,0,0,'Données projet'!$E$13+1,1))</f>
        <v>773.15074145293738</v>
      </c>
      <c r="CZ18" s="59">
        <f t="shared" si="42"/>
        <v>248.49577986312505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6.4429411764705877</v>
      </c>
      <c r="DO18" s="12">
        <f>IF('Données projet'!$A$166&gt;35,DO17+DN18-DW17,IF(A18&lt;'Données projet'!$A$166,$DL$205^A18,IF(A18='Données projet'!$A$166,'Données projet'!$B$166,DO17+DN18-DW17)))</f>
        <v>96.644117647058806</v>
      </c>
      <c r="DP18" s="17">
        <f>DO18*VLOOKUP('Données projet'!$B$14,Paramètres!$A$1:$I$89,3,0)*VLOOKUP('Données projet'!$B$14,Paramètres!$A$1:$I$89,5,0)</f>
        <v>45.229447058823517</v>
      </c>
      <c r="DQ18" s="13">
        <f t="shared" si="43"/>
        <v>13.374646324561946</v>
      </c>
      <c r="DR18" s="20">
        <f t="shared" si="16"/>
        <v>102.06879597606302</v>
      </c>
      <c r="DS18" s="59">
        <f t="shared" si="17"/>
        <v>377.06879597606303</v>
      </c>
      <c r="DT18" s="59">
        <f ca="1">AVERAGE(OFFSET($DS$3,0,0,'Données projet'!$E$14+1,1))-AVERAGE(OFFSET($H$3,0,0,'Données projet'!$E$14+1,1))</f>
        <v>293.15557501692803</v>
      </c>
      <c r="DU18" s="59">
        <f t="shared" si="44"/>
        <v>237.1930412773068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5.699583333333333</v>
      </c>
      <c r="EJ18" s="12">
        <f>IF('Données projet'!$A$192&gt;35,EJ17+EI18-ER17,IF(A18&lt;'Données projet'!$A$192,$EG$205^A18,IF(A18='Données projet'!$A$192,'Données projet'!$B$192,EJ17+EI18-ER17)))</f>
        <v>21.628876880018709</v>
      </c>
      <c r="EK18" s="17">
        <f>EJ18*VLOOKUP('Données projet'!$B$15,Paramètres!$A$1:$I$89,3,0)*VLOOKUP('Données projet'!$B$15,Paramètres!$A$1:$I$89,5,0)</f>
        <v>12.934068374251188</v>
      </c>
      <c r="EL18" s="13">
        <f t="shared" si="45"/>
        <v>4.4246736658942654</v>
      </c>
      <c r="EM18" s="20">
        <f t="shared" si="19"/>
        <v>30.233142386586664</v>
      </c>
      <c r="EN18" s="59">
        <f t="shared" si="20"/>
        <v>305.23314238658668</v>
      </c>
      <c r="EO18" s="59">
        <f ca="1">AVERAGE(OFFSET($EN$3,0,0,'Données projet'!$E$15+1,1))-AVERAGE(OFFSET($H$3,0,0,'Données projet'!$E$15+1,1))</f>
        <v>225.86663363047296</v>
      </c>
      <c r="EP18" s="59">
        <f t="shared" si="46"/>
        <v>258.08349727304397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22.926000000000002</v>
      </c>
      <c r="N19" s="13">
        <f>IF('Données projet'!$A$36&gt;35,N18+M19-V18,IF(A19&lt;'Données projet'!$A$36,$K$205^A19,IF(A19='Données projet'!$A$36,'Données projet'!$B$36,N18+M19-V18)))</f>
        <v>116.34600000000002</v>
      </c>
      <c r="O19" s="13">
        <f>N19*VLOOKUP('Données projet'!$B$9,Paramètres!$A$1:$I$89,3,0)*VLOOKUP('Données projet'!$B$9,Paramètres!$A$1:$I$89,5,0)</f>
        <v>69.574908000000022</v>
      </c>
      <c r="P19" s="13">
        <f t="shared" si="33"/>
        <v>19.567854850728789</v>
      </c>
      <c r="Q19" s="20">
        <f t="shared" si="2"/>
        <v>155.256978631686</v>
      </c>
      <c r="R19" s="59">
        <f t="shared" si="0"/>
        <v>431.4792008539082</v>
      </c>
      <c r="S19" s="59">
        <f ca="1">AVERAGE(OFFSET($R$3,0,0,'Données projet'!$E$9+1,1))-AVERAGE(OFFSET($H$3,0,0,'Données projet'!$E$9+1,1))</f>
        <v>388.12151914648013</v>
      </c>
      <c r="T19" s="59">
        <f t="shared" si="34"/>
        <v>481.43684454382793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8.729248295990315</v>
      </c>
      <c r="AB19" s="21">
        <f>EXP(-LN(2)/2)*AB18+(1-EXP(-LN(2)/2))/(LN(2)/2)*V19*Y19*VLOOKUP('Données projet'!$B$9,Paramètres!$A$1:$I$89,3,0)*0.475*44/12</f>
        <v>12.084009998238995</v>
      </c>
      <c r="AC19" s="22">
        <f t="shared" si="3"/>
        <v>20.813258294229311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5.8890909090909096</v>
      </c>
      <c r="AI19" s="13">
        <f>IF('Données projet'!$A$62&gt;35,AI18+AH19-AQ18,IF(A19&lt;'Données projet'!$A$62,$AF$205^A19,IF(A19='Données projet'!$A$62,'Données projet'!$B$62,AI18+AH19-AQ18)))</f>
        <v>34.382899778126003</v>
      </c>
      <c r="AJ19" s="13">
        <f>AI19*VLOOKUP('Données projet'!$B$10,Paramètres!$A$1:$I$89,3,0)*VLOOKUP('Données projet'!$B$10,Paramètres!$A$1:$I$89,5,0)</f>
        <v>20.560974067319354</v>
      </c>
      <c r="AK19" s="13">
        <f t="shared" si="35"/>
        <v>6.6643449029146105</v>
      </c>
      <c r="AL19" s="20">
        <f t="shared" si="4"/>
        <v>47.417430539824153</v>
      </c>
      <c r="AM19" s="59">
        <f t="shared" si="5"/>
        <v>323.63965276204635</v>
      </c>
      <c r="AN19" s="59">
        <f ca="1">AVERAGE(OFFSET($AM$3,0,0,'Données projet'!$E$10+1,1))-AVERAGE(OFFSET($H$3,0,0,'Données projet'!$E$10+1,1))</f>
        <v>349.71285006949597</v>
      </c>
      <c r="AO19" s="59">
        <f t="shared" si="36"/>
        <v>258.51550516456842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6.1538461538461533</v>
      </c>
      <c r="BD19" s="12">
        <f>IF('Données projet'!$A$88&gt;35,BD18+BC19-BL18,IF(A19&lt;'Données projet'!$A$88,$BA$205^A19,IF(A19='Données projet'!$A$88,'Données projet'!$B$88,BD18+BC19-BL18)))</f>
        <v>44.615384615384613</v>
      </c>
      <c r="BE19" s="13">
        <f>BD19*VLOOKUP('Données projet'!$B$11,Paramètres!$A$1:$I$89,3,0)*VLOOKUP('Données projet'!$B$11,Paramètres!$A$1:$I$89,5,0)</f>
        <v>46.632000000000005</v>
      </c>
      <c r="BF19" s="13">
        <f t="shared" si="37"/>
        <v>13.740460394752377</v>
      </c>
      <c r="BG19" s="20">
        <f t="shared" si="7"/>
        <v>105.14870185419373</v>
      </c>
      <c r="BH19" s="59">
        <f t="shared" si="8"/>
        <v>381.37092407641597</v>
      </c>
      <c r="BI19" s="59">
        <f ca="1">AVERAGE(OFFSET($BH$3,0,0,'Données projet'!$E$11+1,1))-AVERAGE(OFFSET($H$3,0,0,'Données projet'!$E$11+1,1))</f>
        <v>260.74709892624571</v>
      </c>
      <c r="BJ19" s="59">
        <f t="shared" si="38"/>
        <v>237.17381692184887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5.0894117647058819</v>
      </c>
      <c r="BY19" s="12">
        <f>IF('Données projet'!$A$114&gt;35,BY18+BX19-CG18,IF(A19&lt;'Données projet'!$A$114,$BV$205^A19,IF(A19='Données projet'!$A$114,'Données projet'!$B$114,BY18+BX19-CG18)))</f>
        <v>11.304345297031993</v>
      </c>
      <c r="BZ19" s="13">
        <f>BY19*VLOOKUP('Données projet'!$B$12,Paramètres!$A$1:$I$89,3,0)*VLOOKUP('Données projet'!$B$12,Paramètres!$A$1:$I$89,5,0)</f>
        <v>10.228171624754548</v>
      </c>
      <c r="CA19" s="13">
        <f t="shared" si="39"/>
        <v>3.5959163764406497</v>
      </c>
      <c r="CB19" s="20">
        <f t="shared" si="10"/>
        <v>24.076953268748301</v>
      </c>
      <c r="CC19" s="59">
        <f t="shared" si="11"/>
        <v>300.29917549097053</v>
      </c>
      <c r="CD19" s="59">
        <f ca="1">AVERAGE(OFFSET($CC$3,0,0,'Données projet'!$E$12+1,1))-AVERAGE(OFFSET($H$3,0,0,'Données projet'!$E$12+1,1))</f>
        <v>695.0879239758051</v>
      </c>
      <c r="CE19" s="59">
        <f t="shared" si="40"/>
        <v>226.22150997227476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5.0894117647058819</v>
      </c>
      <c r="CT19" s="12">
        <f>IF('Données projet'!$A$140&gt;35,CT18+CS19-DB18,IF(A19&lt;'Données projet'!$A$140,$CQ$205^A19,IF(A19='Données projet'!$A$140,'Données projet'!$B$140,CT18+CS19-DB18)))</f>
        <v>11.304345297031993</v>
      </c>
      <c r="CU19" s="17">
        <f>CT19*VLOOKUP('Données projet'!$B$13,Paramètres!$A$1:$I$89,3,0)*VLOOKUP('Données projet'!$B$13,Paramètres!$A$1:$I$89,5,0)</f>
        <v>11.462606131190443</v>
      </c>
      <c r="CV19" s="13">
        <f t="shared" si="41"/>
        <v>3.9768100752223936</v>
      </c>
      <c r="CW19" s="20">
        <f t="shared" si="13"/>
        <v>26.890316559502356</v>
      </c>
      <c r="CX19" s="59">
        <f t="shared" si="14"/>
        <v>303.1125387817246</v>
      </c>
      <c r="CY19" s="59">
        <f ca="1">AVERAGE(OFFSET($CX$3,0,0,'Données projet'!$E$13+1,1))-AVERAGE(OFFSET($H$3,0,0,'Données projet'!$E$13+1,1))</f>
        <v>773.15074145293738</v>
      </c>
      <c r="CZ19" s="59">
        <f t="shared" si="42"/>
        <v>248.49577986312505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6.4429411764705877</v>
      </c>
      <c r="DO19" s="12">
        <f>IF('Données projet'!$A$166&gt;35,DO18+DN19-DW18,IF(A19&lt;'Données projet'!$A$166,$DL$205^A19,IF(A19='Données projet'!$A$166,'Données projet'!$B$166,DO18+DN19-DW18)))</f>
        <v>103.08705882352939</v>
      </c>
      <c r="DP19" s="17">
        <f>DO19*VLOOKUP('Données projet'!$B$14,Paramètres!$A$1:$I$89,3,0)*VLOOKUP('Données projet'!$B$14,Paramètres!$A$1:$I$89,5,0)</f>
        <v>48.244743529411757</v>
      </c>
      <c r="DQ19" s="13">
        <f t="shared" si="43"/>
        <v>14.159518545821207</v>
      </c>
      <c r="DR19" s="20">
        <f t="shared" si="16"/>
        <v>108.68742311436408</v>
      </c>
      <c r="DS19" s="59">
        <f t="shared" si="17"/>
        <v>384.90964533658632</v>
      </c>
      <c r="DT19" s="59">
        <f ca="1">AVERAGE(OFFSET($DS$3,0,0,'Données projet'!$E$14+1,1))-AVERAGE(OFFSET($H$3,0,0,'Données projet'!$E$14+1,1))</f>
        <v>293.15557501692803</v>
      </c>
      <c r="DU19" s="59">
        <f t="shared" si="44"/>
        <v>237.1930412773068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5.699583333333333</v>
      </c>
      <c r="EJ19" s="12">
        <f>IF('Données projet'!$A$192&gt;35,EJ18+EI19-ER18,IF(A19&lt;'Données projet'!$A$192,$EG$205^A19,IF(A19='Données projet'!$A$192,'Données projet'!$B$192,EJ18+EI19-ER18)))</f>
        <v>26.548270440116152</v>
      </c>
      <c r="EK19" s="17">
        <f>EJ19*VLOOKUP('Données projet'!$B$15,Paramètres!$A$1:$I$89,3,0)*VLOOKUP('Données projet'!$B$15,Paramètres!$A$1:$I$89,5,0)</f>
        <v>15.87586572318946</v>
      </c>
      <c r="EL19" s="13">
        <f t="shared" si="45"/>
        <v>5.3030246585516547</v>
      </c>
      <c r="EM19" s="20">
        <f t="shared" si="19"/>
        <v>36.886567414865773</v>
      </c>
      <c r="EN19" s="59">
        <f t="shared" si="20"/>
        <v>313.10878963708802</v>
      </c>
      <c r="EO19" s="59">
        <f ca="1">AVERAGE(OFFSET($EN$3,0,0,'Données projet'!$E$15+1,1))-AVERAGE(OFFSET($H$3,0,0,'Données projet'!$E$15+1,1))</f>
        <v>225.86663363047296</v>
      </c>
      <c r="EP19" s="59">
        <f t="shared" si="46"/>
        <v>258.08349727304397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22.926000000000002</v>
      </c>
      <c r="N20" s="13">
        <f>IF('Données projet'!$A$36&gt;35,N19+M20-V19,IF(A20&lt;'Données projet'!$A$36,$K$205^A20,IF(A20='Données projet'!$A$36,'Données projet'!$B$36,N19+M20-V19)))</f>
        <v>139.27200000000002</v>
      </c>
      <c r="O20" s="13">
        <f>N20*VLOOKUP('Données projet'!$B$9,Paramètres!$A$1:$I$89,3,0)*VLOOKUP('Données projet'!$B$9,Paramètres!$A$1:$I$89,5,0)</f>
        <v>83.284656000000012</v>
      </c>
      <c r="P20" s="13">
        <f t="shared" si="33"/>
        <v>22.938409183380077</v>
      </c>
      <c r="Q20" s="20">
        <f t="shared" si="2"/>
        <v>185.00517186105367</v>
      </c>
      <c r="R20" s="59">
        <f t="shared" si="0"/>
        <v>462.44961630549813</v>
      </c>
      <c r="S20" s="59">
        <f ca="1">AVERAGE(OFFSET($R$3,0,0,'Données projet'!$E$9+1,1))-AVERAGE(OFFSET($H$3,0,0,'Données projet'!$E$9+1,1))</f>
        <v>388.12151914648013</v>
      </c>
      <c r="T20" s="59">
        <f t="shared" si="34"/>
        <v>481.43684454382793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8.4905465422852426</v>
      </c>
      <c r="AB20" s="21">
        <f>EXP(-LN(2)/2)*AB19+(1-EXP(-LN(2)/2))/(LN(2)/2)*V20*Y20*VLOOKUP('Données projet'!$B$9,Paramètres!$A$1:$I$89,3,0)*0.475*44/12</f>
        <v>8.5446854136808348</v>
      </c>
      <c r="AC20" s="22">
        <f t="shared" si="3"/>
        <v>17.035231955966076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5.8890909090909096</v>
      </c>
      <c r="AI20" s="13">
        <f>IF('Données projet'!$A$62&gt;35,AI19+AH20-AQ19,IF(A20&lt;'Données projet'!$A$62,$AF$205^A20,IF(A20='Données projet'!$A$62,'Données projet'!$B$62,AI19+AH20-AQ19)))</f>
        <v>42.890776385274457</v>
      </c>
      <c r="AJ20" s="13">
        <f>AI20*VLOOKUP('Données projet'!$B$10,Paramètres!$A$1:$I$89,3,0)*VLOOKUP('Données projet'!$B$10,Paramètres!$A$1:$I$89,5,0)</f>
        <v>25.648684278394128</v>
      </c>
      <c r="AK20" s="13">
        <f t="shared" si="35"/>
        <v>8.1021817259143134</v>
      </c>
      <c r="AL20" s="20">
        <f t="shared" si="4"/>
        <v>58.782758290837201</v>
      </c>
      <c r="AM20" s="59">
        <f t="shared" si="5"/>
        <v>336.22720273528165</v>
      </c>
      <c r="AN20" s="59">
        <f ca="1">AVERAGE(OFFSET($AM$3,0,0,'Données projet'!$E$10+1,1))-AVERAGE(OFFSET($H$3,0,0,'Données projet'!$E$10+1,1))</f>
        <v>349.71285006949597</v>
      </c>
      <c r="AO20" s="59">
        <f t="shared" si="36"/>
        <v>258.51550516456842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6.1538461538461533</v>
      </c>
      <c r="BD20" s="12">
        <f>IF('Données projet'!$A$88&gt;35,BD19+BC20-BL19,IF(A20&lt;'Données projet'!$A$88,$BA$205^A20,IF(A20='Données projet'!$A$88,'Données projet'!$B$88,BD19+BC20-BL19)))</f>
        <v>50.769230769230766</v>
      </c>
      <c r="BE20" s="13">
        <f>BD20*VLOOKUP('Données projet'!$B$11,Paramètres!$A$1:$I$89,3,0)*VLOOKUP('Données projet'!$B$11,Paramètres!$A$1:$I$89,5,0)</f>
        <v>53.064000000000007</v>
      </c>
      <c r="BF20" s="13">
        <f t="shared" si="37"/>
        <v>15.402291234172077</v>
      </c>
      <c r="BG20" s="20">
        <f t="shared" si="7"/>
        <v>119.24545723284972</v>
      </c>
      <c r="BH20" s="59">
        <f t="shared" si="8"/>
        <v>396.68990167729419</v>
      </c>
      <c r="BI20" s="59">
        <f ca="1">AVERAGE(OFFSET($BH$3,0,0,'Données projet'!$E$11+1,1))-AVERAGE(OFFSET($H$3,0,0,'Données projet'!$E$11+1,1))</f>
        <v>260.74709892624571</v>
      </c>
      <c r="BJ20" s="59">
        <f t="shared" si="38"/>
        <v>237.17381692184887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5.0894117647058819</v>
      </c>
      <c r="BY20" s="12">
        <f>IF('Données projet'!$A$114&gt;35,BY19+BX20-CG19,IF(A20&lt;'Données projet'!$A$114,$BV$205^A20,IF(A20='Données projet'!$A$114,'Données projet'!$B$114,BY19+BX20-CG19)))</f>
        <v>13.154466921924275</v>
      </c>
      <c r="BZ20" s="13">
        <f>BY20*VLOOKUP('Données projet'!$B$12,Paramètres!$A$1:$I$89,3,0)*VLOOKUP('Données projet'!$B$12,Paramètres!$A$1:$I$89,5,0)</f>
        <v>11.902161670957083</v>
      </c>
      <c r="CA20" s="13">
        <f t="shared" si="39"/>
        <v>4.1112611244651047</v>
      </c>
      <c r="CB20" s="20">
        <f t="shared" si="10"/>
        <v>27.890044702026973</v>
      </c>
      <c r="CC20" s="59">
        <f t="shared" si="11"/>
        <v>305.33448914647141</v>
      </c>
      <c r="CD20" s="59">
        <f ca="1">AVERAGE(OFFSET($CC$3,0,0,'Données projet'!$E$12+1,1))-AVERAGE(OFFSET($H$3,0,0,'Données projet'!$E$12+1,1))</f>
        <v>695.0879239758051</v>
      </c>
      <c r="CE20" s="59">
        <f t="shared" si="40"/>
        <v>226.22150997227476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5.0894117647058819</v>
      </c>
      <c r="CT20" s="12">
        <f>IF('Données projet'!$A$140&gt;35,CT19+CS20-DB19,IF(A20&lt;'Données projet'!$A$140,$CQ$205^A20,IF(A20='Données projet'!$A$140,'Données projet'!$B$140,CT19+CS20-DB19)))</f>
        <v>13.154466921924275</v>
      </c>
      <c r="CU20" s="17">
        <f>CT20*VLOOKUP('Données projet'!$B$13,Paramètres!$A$1:$I$89,3,0)*VLOOKUP('Données projet'!$B$13,Paramètres!$A$1:$I$89,5,0)</f>
        <v>13.338629458831216</v>
      </c>
      <c r="CV20" s="13">
        <f t="shared" si="41"/>
        <v>4.5467421792011811</v>
      </c>
      <c r="CW20" s="20">
        <f t="shared" si="13"/>
        <v>31.150355602906419</v>
      </c>
      <c r="CX20" s="59">
        <f t="shared" si="14"/>
        <v>308.59480004735087</v>
      </c>
      <c r="CY20" s="59">
        <f ca="1">AVERAGE(OFFSET($CX$3,0,0,'Données projet'!$E$13+1,1))-AVERAGE(OFFSET($H$3,0,0,'Données projet'!$E$13+1,1))</f>
        <v>773.15074145293738</v>
      </c>
      <c r="CZ20" s="59">
        <f t="shared" si="42"/>
        <v>248.49577986312505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6.4429411764705877</v>
      </c>
      <c r="DO20" s="12">
        <f>IF('Données projet'!$A$166&gt;35,DO19+DN20-DW19,IF(A20&lt;'Données projet'!$A$166,$DL$205^A20,IF(A20='Données projet'!$A$166,'Données projet'!$B$166,DO19+DN20-DW19)))</f>
        <v>109.52999999999997</v>
      </c>
      <c r="DP20" s="17">
        <f>DO20*VLOOKUP('Données projet'!$B$14,Paramètres!$A$1:$I$89,3,0)*VLOOKUP('Données projet'!$B$14,Paramètres!$A$1:$I$89,5,0)</f>
        <v>51.260039999999989</v>
      </c>
      <c r="DQ20" s="13">
        <f t="shared" si="43"/>
        <v>14.938697629678151</v>
      </c>
      <c r="DR20" s="20">
        <f t="shared" si="16"/>
        <v>115.29613470502277</v>
      </c>
      <c r="DS20" s="59">
        <f t="shared" si="17"/>
        <v>392.74057914946724</v>
      </c>
      <c r="DT20" s="59">
        <f ca="1">AVERAGE(OFFSET($DS$3,0,0,'Données projet'!$E$14+1,1))-AVERAGE(OFFSET($H$3,0,0,'Données projet'!$E$14+1,1))</f>
        <v>293.15557501692803</v>
      </c>
      <c r="DU20" s="59">
        <f t="shared" si="44"/>
        <v>237.1930412773068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5.699583333333333</v>
      </c>
      <c r="EJ20" s="12">
        <f>IF('Données projet'!$A$192&gt;35,EJ19+EI20-ER19,IF(A20&lt;'Données projet'!$A$192,$EG$205^A20,IF(A20='Données projet'!$A$192,'Données projet'!$B$192,EJ19+EI20-ER19)))</f>
        <v>32.586558574970049</v>
      </c>
      <c r="EK20" s="17">
        <f>EJ20*VLOOKUP('Données projet'!$B$15,Paramètres!$A$1:$I$89,3,0)*VLOOKUP('Données projet'!$B$15,Paramètres!$A$1:$I$89,5,0)</f>
        <v>19.486762027832093</v>
      </c>
      <c r="EL20" s="13">
        <f t="shared" si="45"/>
        <v>6.3557388979833798</v>
      </c>
      <c r="EM20" s="20">
        <f t="shared" si="19"/>
        <v>45.009022445795274</v>
      </c>
      <c r="EN20" s="59">
        <f t="shared" si="20"/>
        <v>322.45346689023972</v>
      </c>
      <c r="EO20" s="59">
        <f ca="1">AVERAGE(OFFSET($EN$3,0,0,'Données projet'!$E$15+1,1))-AVERAGE(OFFSET($H$3,0,0,'Données projet'!$E$15+1,1))</f>
        <v>225.86663363047296</v>
      </c>
      <c r="EP20" s="59">
        <f t="shared" si="46"/>
        <v>258.08349727304397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22.926000000000002</v>
      </c>
      <c r="N21" s="13">
        <f>IF('Données projet'!$A$36&gt;35,N20+M21-V20,IF(A21&lt;'Données projet'!$A$36,$K$205^A21,IF(A21='Données projet'!$A$36,'Données projet'!$B$36,N20+M21-V20)))</f>
        <v>162.19800000000004</v>
      </c>
      <c r="O21" s="13">
        <f>N21*VLOOKUP('Données projet'!$B$9,Paramètres!$A$1:$I$89,3,0)*VLOOKUP('Données projet'!$B$9,Paramètres!$A$1:$I$89,5,0)</f>
        <v>96.994404000000017</v>
      </c>
      <c r="P21" s="13">
        <f t="shared" si="33"/>
        <v>26.24468896996531</v>
      </c>
      <c r="Q21" s="20">
        <f t="shared" si="2"/>
        <v>214.64142025602294</v>
      </c>
      <c r="R21" s="59">
        <f t="shared" si="0"/>
        <v>493.30808692268965</v>
      </c>
      <c r="S21" s="59">
        <f ca="1">AVERAGE(OFFSET($R$3,0,0,'Données projet'!$E$9+1,1))-AVERAGE(OFFSET($H$3,0,0,'Données projet'!$E$9+1,1))</f>
        <v>388.12151914648013</v>
      </c>
      <c r="T21" s="59">
        <f t="shared" si="34"/>
        <v>481.43684454382793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8.2583721005880157</v>
      </c>
      <c r="AB21" s="21">
        <f>EXP(-LN(2)/2)*AB20+(1-EXP(-LN(2)/2))/(LN(2)/2)*V21*Y21*VLOOKUP('Données projet'!$B$9,Paramètres!$A$1:$I$89,3,0)*0.475*44/12</f>
        <v>6.0420049991194986</v>
      </c>
      <c r="AC21" s="22">
        <f t="shared" si="3"/>
        <v>14.300377099707514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5.8890909090909096</v>
      </c>
      <c r="AI21" s="13">
        <f>IF('Données projet'!$A$62&gt;35,AI20+AH21-AQ20,IF(A21&lt;'Données projet'!$A$62,$AF$205^A21,IF(A21='Données projet'!$A$62,'Données projet'!$B$62,AI20+AH21-AQ20)))</f>
        <v>53.503884512438958</v>
      </c>
      <c r="AJ21" s="13">
        <f>AI21*VLOOKUP('Données projet'!$B$10,Paramètres!$A$1:$I$89,3,0)*VLOOKUP('Données projet'!$B$10,Paramètres!$A$1:$I$89,5,0)</f>
        <v>31.995322938438498</v>
      </c>
      <c r="AK21" s="13">
        <f t="shared" si="35"/>
        <v>9.8502327949788757</v>
      </c>
      <c r="AL21" s="20">
        <f t="shared" si="4"/>
        <v>72.881009569035243</v>
      </c>
      <c r="AM21" s="59">
        <f t="shared" si="5"/>
        <v>351.54767623570194</v>
      </c>
      <c r="AN21" s="59">
        <f ca="1">AVERAGE(OFFSET($AM$3,0,0,'Données projet'!$E$10+1,1))-AVERAGE(OFFSET($H$3,0,0,'Données projet'!$E$10+1,1))</f>
        <v>349.71285006949597</v>
      </c>
      <c r="AO21" s="59">
        <f t="shared" si="36"/>
        <v>258.51550516456842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6.1538461538461533</v>
      </c>
      <c r="BD21" s="12">
        <f>IF('Données projet'!$A$88&gt;35,BD20+BC21-BL20,IF(A21&lt;'Données projet'!$A$88,$BA$205^A21,IF(A21='Données projet'!$A$88,'Données projet'!$B$88,BD20+BC21-BL20)))</f>
        <v>56.92307692307692</v>
      </c>
      <c r="BE21" s="13">
        <f>BD21*VLOOKUP('Données projet'!$B$11,Paramètres!$A$1:$I$89,3,0)*VLOOKUP('Données projet'!$B$11,Paramètres!$A$1:$I$89,5,0)</f>
        <v>59.496000000000009</v>
      </c>
      <c r="BF21" s="13">
        <f t="shared" si="37"/>
        <v>17.040779507379909</v>
      </c>
      <c r="BG21" s="20">
        <f t="shared" si="7"/>
        <v>133.30155764202001</v>
      </c>
      <c r="BH21" s="59">
        <f t="shared" si="8"/>
        <v>411.96822430868667</v>
      </c>
      <c r="BI21" s="59">
        <f ca="1">AVERAGE(OFFSET($BH$3,0,0,'Données projet'!$E$11+1,1))-AVERAGE(OFFSET($H$3,0,0,'Données projet'!$E$11+1,1))</f>
        <v>260.74709892624571</v>
      </c>
      <c r="BJ21" s="59">
        <f t="shared" si="38"/>
        <v>237.17381692184887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5.0894117647058819</v>
      </c>
      <c r="BY21" s="12">
        <f>IF('Données projet'!$A$114&gt;35,BY20+BX21-CG20,IF(A21&lt;'Données projet'!$A$114,$BV$205^A21,IF(A21='Données projet'!$A$114,'Données projet'!$B$114,BY20+BX21-CG20)))</f>
        <v>15.307388040016111</v>
      </c>
      <c r="BZ21" s="13">
        <f>BY21*VLOOKUP('Données projet'!$B$12,Paramètres!$A$1:$I$89,3,0)*VLOOKUP('Données projet'!$B$12,Paramètres!$A$1:$I$89,5,0)</f>
        <v>13.850124698606576</v>
      </c>
      <c r="CA21" s="13">
        <f t="shared" si="39"/>
        <v>4.7004619307272835</v>
      </c>
      <c r="CB21" s="20">
        <f t="shared" si="10"/>
        <v>32.30893837942314</v>
      </c>
      <c r="CC21" s="59">
        <f t="shared" si="11"/>
        <v>310.97560504608981</v>
      </c>
      <c r="CD21" s="59">
        <f ca="1">AVERAGE(OFFSET($CC$3,0,0,'Données projet'!$E$12+1,1))-AVERAGE(OFFSET($H$3,0,0,'Données projet'!$E$12+1,1))</f>
        <v>695.0879239758051</v>
      </c>
      <c r="CE21" s="59">
        <f t="shared" si="40"/>
        <v>226.22150997227476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5.0894117647058819</v>
      </c>
      <c r="CT21" s="12">
        <f>IF('Données projet'!$A$140&gt;35,CT20+CS21-DB20,IF(A21&lt;'Données projet'!$A$140,$CQ$205^A21,IF(A21='Données projet'!$A$140,'Données projet'!$B$140,CT20+CS21-DB20)))</f>
        <v>15.307388040016111</v>
      </c>
      <c r="CU21" s="17">
        <f>CT21*VLOOKUP('Données projet'!$B$13,Paramètres!$A$1:$I$89,3,0)*VLOOKUP('Données projet'!$B$13,Paramètres!$A$1:$I$89,5,0)</f>
        <v>15.521691472576338</v>
      </c>
      <c r="CV21" s="13">
        <f t="shared" si="41"/>
        <v>5.1983534675014678</v>
      </c>
      <c r="CW21" s="20">
        <f t="shared" si="13"/>
        <v>36.087411603968839</v>
      </c>
      <c r="CX21" s="59">
        <f t="shared" si="14"/>
        <v>314.75407827063555</v>
      </c>
      <c r="CY21" s="59">
        <f ca="1">AVERAGE(OFFSET($CX$3,0,0,'Données projet'!$E$13+1,1))-AVERAGE(OFFSET($H$3,0,0,'Données projet'!$E$13+1,1))</f>
        <v>773.15074145293738</v>
      </c>
      <c r="CZ21" s="59">
        <f t="shared" si="42"/>
        <v>248.49577986312505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6.4429411764705877</v>
      </c>
      <c r="DO21" s="12">
        <f>IF('Données projet'!$A$166&gt;35,DO20+DN21-DW20,IF(A21&lt;'Données projet'!$A$166,$DL$205^A21,IF(A21='Données projet'!$A$166,'Données projet'!$B$166,DO20+DN21-DW20)))</f>
        <v>115.97294117647056</v>
      </c>
      <c r="DP21" s="17">
        <f>DO21*VLOOKUP('Données projet'!$B$14,Paramètres!$A$1:$I$89,3,0)*VLOOKUP('Données projet'!$B$14,Paramètres!$A$1:$I$89,5,0)</f>
        <v>54.275336470588222</v>
      </c>
      <c r="DQ21" s="13">
        <f t="shared" si="43"/>
        <v>15.712556613430714</v>
      </c>
      <c r="DR21" s="20">
        <f t="shared" si="16"/>
        <v>121.89558045466629</v>
      </c>
      <c r="DS21" s="59">
        <f t="shared" si="17"/>
        <v>400.56224712133297</v>
      </c>
      <c r="DT21" s="59">
        <f ca="1">AVERAGE(OFFSET($DS$3,0,0,'Données projet'!$E$14+1,1))-AVERAGE(OFFSET($H$3,0,0,'Données projet'!$E$14+1,1))</f>
        <v>293.15557501692803</v>
      </c>
      <c r="DU21" s="59">
        <f t="shared" si="44"/>
        <v>237.1930412773068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5.699583333333333</v>
      </c>
      <c r="EJ21" s="12">
        <f>IF('Données projet'!$A$192&gt;35,EJ20+EI21-ER20,IF(A21&lt;'Données projet'!$A$192,$EG$205^A21,IF(A21='Données projet'!$A$192,'Données projet'!$B$192,EJ20+EI21-ER20)))</f>
        <v>39.998228967691205</v>
      </c>
      <c r="EK21" s="17">
        <f>EJ21*VLOOKUP('Données projet'!$B$15,Paramètres!$A$1:$I$89,3,0)*VLOOKUP('Données projet'!$B$15,Paramètres!$A$1:$I$89,5,0)</f>
        <v>23.918940922679344</v>
      </c>
      <c r="EL21" s="13">
        <f t="shared" si="45"/>
        <v>7.6174295878857254</v>
      </c>
      <c r="EM21" s="20">
        <f t="shared" si="19"/>
        <v>54.925845305900829</v>
      </c>
      <c r="EN21" s="59">
        <f t="shared" si="20"/>
        <v>333.59251197256754</v>
      </c>
      <c r="EO21" s="59">
        <f ca="1">AVERAGE(OFFSET($EN$3,0,0,'Données projet'!$E$15+1,1))-AVERAGE(OFFSET($H$3,0,0,'Données projet'!$E$15+1,1))</f>
        <v>225.86663363047296</v>
      </c>
      <c r="EP21" s="59">
        <f t="shared" si="46"/>
        <v>258.08349727304397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22.926000000000002</v>
      </c>
      <c r="N22" s="13">
        <f>IF('Données projet'!$A$36&gt;35,N21+M22-V21,IF(A22&lt;'Données projet'!$A$36,$K$205^A22,IF(A22='Données projet'!$A$36,'Données projet'!$B$36,N21+M22-V21)))</f>
        <v>185.12400000000002</v>
      </c>
      <c r="O22" s="13">
        <f>N22*VLOOKUP('Données projet'!$B$9,Paramètres!$A$1:$I$89,3,0)*VLOOKUP('Données projet'!$B$9,Paramètres!$A$1:$I$89,5,0)</f>
        <v>110.70415200000002</v>
      </c>
      <c r="P22" s="13">
        <f t="shared" si="33"/>
        <v>29.496826613531113</v>
      </c>
      <c r="Q22" s="20">
        <f t="shared" si="2"/>
        <v>244.18337108523338</v>
      </c>
      <c r="R22" s="59">
        <f t="shared" si="0"/>
        <v>524.07225997412229</v>
      </c>
      <c r="S22" s="59">
        <f ca="1">AVERAGE(OFFSET($R$3,0,0,'Données projet'!$E$9+1,1))-AVERAGE(OFFSET($H$3,0,0,'Données projet'!$E$9+1,1))</f>
        <v>388.12151914648013</v>
      </c>
      <c r="T22" s="59">
        <f t="shared" si="34"/>
        <v>481.43684454382793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8.0325464812085219</v>
      </c>
      <c r="AB22" s="21">
        <f>EXP(-LN(2)/2)*AB21+(1-EXP(-LN(2)/2))/(LN(2)/2)*V22*Y22*VLOOKUP('Données projet'!$B$9,Paramètres!$A$1:$I$89,3,0)*0.475*44/12</f>
        <v>4.2723427068404183</v>
      </c>
      <c r="AC22" s="22">
        <f t="shared" si="3"/>
        <v>12.304889188048939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5.8890909090909096</v>
      </c>
      <c r="AI22" s="13">
        <f>IF('Données projet'!$A$62&gt;35,AI21+AH22-AQ21,IF(A22&lt;'Données projet'!$A$62,$AF$205^A22,IF(A22='Données projet'!$A$62,'Données projet'!$B$62,AI21+AH22-AQ21)))</f>
        <v>66.743153171347927</v>
      </c>
      <c r="AJ22" s="13">
        <f>AI22*VLOOKUP('Données projet'!$B$10,Paramètres!$A$1:$I$89,3,0)*VLOOKUP('Données projet'!$B$10,Paramètres!$A$1:$I$89,5,0)</f>
        <v>39.912405596466066</v>
      </c>
      <c r="AK22" s="13">
        <f t="shared" si="35"/>
        <v>11.975427038984135</v>
      </c>
      <c r="AL22" s="20">
        <f t="shared" si="4"/>
        <v>90.371308506742437</v>
      </c>
      <c r="AM22" s="59">
        <f t="shared" si="5"/>
        <v>370.26019739563128</v>
      </c>
      <c r="AN22" s="59">
        <f ca="1">AVERAGE(OFFSET($AM$3,0,0,'Données projet'!$E$10+1,1))-AVERAGE(OFFSET($H$3,0,0,'Données projet'!$E$10+1,1))</f>
        <v>349.71285006949597</v>
      </c>
      <c r="AO22" s="59">
        <f t="shared" si="36"/>
        <v>258.51550516456842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6.1538461538461533</v>
      </c>
      <c r="BD22" s="12">
        <f>IF('Données projet'!$A$88&gt;35,BD21+BC22-BL21,IF(A22&lt;'Données projet'!$A$88,$BA$205^A22,IF(A22='Données projet'!$A$88,'Données projet'!$B$88,BD21+BC22-BL21)))</f>
        <v>63.076923076923073</v>
      </c>
      <c r="BE22" s="13">
        <f>BD22*VLOOKUP('Données projet'!$B$11,Paramètres!$A$1:$I$89,3,0)*VLOOKUP('Données projet'!$B$11,Paramètres!$A$1:$I$89,5,0)</f>
        <v>65.928000000000011</v>
      </c>
      <c r="BF22" s="13">
        <f t="shared" si="37"/>
        <v>18.658736410003279</v>
      </c>
      <c r="BG22" s="20">
        <f t="shared" si="7"/>
        <v>147.32189924742238</v>
      </c>
      <c r="BH22" s="59">
        <f t="shared" si="8"/>
        <v>427.21078813631124</v>
      </c>
      <c r="BI22" s="59">
        <f ca="1">AVERAGE(OFFSET($BH$3,0,0,'Données projet'!$E$11+1,1))-AVERAGE(OFFSET($H$3,0,0,'Données projet'!$E$11+1,1))</f>
        <v>260.74709892624571</v>
      </c>
      <c r="BJ22" s="59">
        <f t="shared" si="38"/>
        <v>237.17381692184887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5.0894117647058819</v>
      </c>
      <c r="BY22" s="12">
        <f>IF('Données projet'!$A$114&gt;35,BY21+BX22-CG21,IF(A22&lt;'Données projet'!$A$114,$BV$205^A22,IF(A22='Données projet'!$A$114,'Données projet'!$B$114,BY21+BX22-CG21)))</f>
        <v>17.812666221927888</v>
      </c>
      <c r="BZ22" s="13">
        <f>BY22*VLOOKUP('Données projet'!$B$12,Paramètres!$A$1:$I$89,3,0)*VLOOKUP('Données projet'!$B$12,Paramètres!$A$1:$I$89,5,0)</f>
        <v>16.11690039760035</v>
      </c>
      <c r="CA22" s="13">
        <f t="shared" si="39"/>
        <v>5.374103393904722</v>
      </c>
      <c r="CB22" s="20">
        <f t="shared" si="10"/>
        <v>37.430164936871329</v>
      </c>
      <c r="CC22" s="59">
        <f t="shared" si="11"/>
        <v>317.31905382576019</v>
      </c>
      <c r="CD22" s="59">
        <f ca="1">AVERAGE(OFFSET($CC$3,0,0,'Données projet'!$E$12+1,1))-AVERAGE(OFFSET($H$3,0,0,'Données projet'!$E$12+1,1))</f>
        <v>695.0879239758051</v>
      </c>
      <c r="CE22" s="59">
        <f t="shared" si="40"/>
        <v>226.22150997227476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5.0894117647058819</v>
      </c>
      <c r="CT22" s="12">
        <f>IF('Données projet'!$A$140&gt;35,CT21+CS22-DB21,IF(A22&lt;'Données projet'!$A$140,$CQ$205^A22,IF(A22='Données projet'!$A$140,'Données projet'!$B$140,CT21+CS22-DB21)))</f>
        <v>17.812666221927888</v>
      </c>
      <c r="CU22" s="17">
        <f>CT22*VLOOKUP('Données projet'!$B$13,Paramètres!$A$1:$I$89,3,0)*VLOOKUP('Données projet'!$B$13,Paramètres!$A$1:$I$89,5,0)</f>
        <v>18.062043549034879</v>
      </c>
      <c r="CV22" s="13">
        <f t="shared" si="41"/>
        <v>5.9433497013970111</v>
      </c>
      <c r="CW22" s="20">
        <f t="shared" si="13"/>
        <v>41.809393244502211</v>
      </c>
      <c r="CX22" s="59">
        <f t="shared" si="14"/>
        <v>321.69828213339105</v>
      </c>
      <c r="CY22" s="59">
        <f ca="1">AVERAGE(OFFSET($CX$3,0,0,'Données projet'!$E$13+1,1))-AVERAGE(OFFSET($H$3,0,0,'Données projet'!$E$13+1,1))</f>
        <v>773.15074145293738</v>
      </c>
      <c r="CZ22" s="59">
        <f t="shared" si="42"/>
        <v>248.49577986312505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6.4429411764705877</v>
      </c>
      <c r="DO22" s="12">
        <f>IF('Données projet'!$A$166&gt;35,DO21+DN22-DW21,IF(A22&lt;'Données projet'!$A$166,$DL$205^A22,IF(A22='Données projet'!$A$166,'Données projet'!$B$166,DO21+DN22-DW21)))</f>
        <v>122.41588235294114</v>
      </c>
      <c r="DP22" s="17">
        <f>DO22*VLOOKUP('Données projet'!$B$14,Paramètres!$A$1:$I$89,3,0)*VLOOKUP('Données projet'!$B$14,Paramètres!$A$1:$I$89,5,0)</f>
        <v>57.290632941176455</v>
      </c>
      <c r="DQ22" s="13">
        <f t="shared" si="43"/>
        <v>16.481424744815605</v>
      </c>
      <c r="DR22" s="20">
        <f t="shared" si="16"/>
        <v>128.48633380310281</v>
      </c>
      <c r="DS22" s="59">
        <f t="shared" si="17"/>
        <v>408.37522269199167</v>
      </c>
      <c r="DT22" s="59">
        <f ca="1">AVERAGE(OFFSET($DS$3,0,0,'Données projet'!$E$14+1,1))-AVERAGE(OFFSET($H$3,0,0,'Données projet'!$E$14+1,1))</f>
        <v>293.15557501692803</v>
      </c>
      <c r="DU22" s="59">
        <f t="shared" si="44"/>
        <v>237.1930412773068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5.699583333333333</v>
      </c>
      <c r="EJ22" s="12">
        <f>IF('Données projet'!$A$192&gt;35,EJ21+EI22-ER21,IF(A22&lt;'Données projet'!$A$192,$EG$205^A22,IF(A22='Données projet'!$A$192,'Données projet'!$B$192,EJ21+EI22-ER21)))</f>
        <v>49.095651413178494</v>
      </c>
      <c r="EK22" s="17">
        <f>EJ22*VLOOKUP('Données projet'!$B$15,Paramètres!$A$1:$I$89,3,0)*VLOOKUP('Données projet'!$B$15,Paramètres!$A$1:$I$89,5,0)</f>
        <v>29.359199545080742</v>
      </c>
      <c r="EL22" s="13">
        <f t="shared" si="45"/>
        <v>9.12958106960747</v>
      </c>
      <c r="EM22" s="20">
        <f t="shared" si="19"/>
        <v>67.034626237248631</v>
      </c>
      <c r="EN22" s="59">
        <f t="shared" si="20"/>
        <v>346.92351512613749</v>
      </c>
      <c r="EO22" s="59">
        <f ca="1">AVERAGE(OFFSET($EN$3,0,0,'Données projet'!$E$15+1,1))-AVERAGE(OFFSET($H$3,0,0,'Données projet'!$E$15+1,1))</f>
        <v>225.86663363047296</v>
      </c>
      <c r="EP22" s="59">
        <f t="shared" si="46"/>
        <v>258.08349727304397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208.05</v>
      </c>
      <c r="L23" s="12">
        <f>VLOOKUP(A23,'Données projet'!$A$35:$I$55,9,0)</f>
        <v>22.926000000000002</v>
      </c>
      <c r="M23" s="12">
        <f t="array" ref="M23">INDEX(L:L,MIN(IF(ISNUMBER(L23:L219),ROW(L23:L219),"")))</f>
        <v>22.926000000000002</v>
      </c>
      <c r="N23" s="13">
        <f>IF('Données projet'!$A$36&gt;35,N22+M23-V22,IF(A23&lt;'Données projet'!$A$36,$K$205^A23,IF(A23='Données projet'!$A$36,'Données projet'!$B$36,N22+M23-V22)))</f>
        <v>208.05</v>
      </c>
      <c r="O23" s="13">
        <f>N23*VLOOKUP('Données projet'!$B$9,Paramètres!$A$1:$I$89,3,0)*VLOOKUP('Données projet'!$B$9,Paramètres!$A$1:$I$89,5,0)</f>
        <v>124.41390000000001</v>
      </c>
      <c r="P23" s="13">
        <f t="shared" si="33"/>
        <v>32.702294748208111</v>
      </c>
      <c r="Q23" s="20">
        <f t="shared" si="2"/>
        <v>273.64403918646246</v>
      </c>
      <c r="R23" s="59">
        <f t="shared" si="0"/>
        <v>554.75515029757366</v>
      </c>
      <c r="S23" s="59">
        <f ca="1">AVERAGE(OFFSET($R$3,0,0,'Données projet'!$E$9+1,1))-AVERAGE(OFFSET($H$3,0,0,'Données projet'!$E$9+1,1))</f>
        <v>388.12151914648013</v>
      </c>
      <c r="T23" s="59">
        <f t="shared" si="34"/>
        <v>481.43684454382793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55.160000000000025</v>
      </c>
      <c r="W23" s="16">
        <f>IF(ISNA(VLOOKUP(A23,'Données projet'!$A$35:$I$55,5,0)),0%,VLOOKUP(A23,'Données projet'!$A$35:$I$55,5,0)*VLOOKUP('Données projet'!$B$9,Paramètres!$A$1:$I$89,7,0))</f>
        <v>0.1125</v>
      </c>
      <c r="X23" s="16">
        <f>IF(ISNA(VLOOKUP(A23,'Données projet'!$A$35:$I$55,6,0)),0%,VLOOKUP(A23,'Données projet'!$A$35:$I$55,6,0)*VLOOKUP('Données projet'!$B$9,Paramètres!$A$1:$I$89,7,0))</f>
        <v>0.16650000000000001</v>
      </c>
      <c r="Y23" s="16">
        <f>IF(ISNA(VLOOKUP(A23,'Données projet'!$A$35:$I$55,7,0)),0%,VLOOKUP(A23,'Données projet'!$A$35:$I$55,7,0))</f>
        <v>0.38</v>
      </c>
      <c r="Z23" s="21">
        <f>EXP(-LN(2)/35)*Z22+(1-EXP(-LN(2)/35))/(LN(2)/35)*V23*W23*VLOOKUP('Données projet'!$B$9,Paramètres!$A$1:$I$89,3,0)*0.475*44/12</f>
        <v>4.9227334454815823</v>
      </c>
      <c r="AA23" s="21">
        <f>EXP(-LN(2)/25)*AA22+(1-EXP(-LN(2)/25))/(LN(2)/25)*Calculateur!V23*Calculateur!X23*VLOOKUP('Données projet'!$B$9,Paramètres!$A$1:$I$89,3,0)*0.475*44/12</f>
        <v>15.06985521219999</v>
      </c>
      <c r="AB23" s="21">
        <f>EXP(-LN(2)/2)*AB22+(1-EXP(-LN(2)/2))/(LN(2)/2)*V23*Y23*VLOOKUP('Données projet'!$B$9,Paramètres!$A$1:$I$89,3,0)*0.475*44/12</f>
        <v>17.213034355271418</v>
      </c>
      <c r="AC23" s="22">
        <f t="shared" si="3"/>
        <v>37.205623012952991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5.8890909090909096</v>
      </c>
      <c r="AI23" s="13">
        <f>IF('Données projet'!$A$62&gt;35,AI22+AH23-AQ22,IF(A23&lt;'Données projet'!$A$62,$AF$205^A23,IF(A23='Données projet'!$A$62,'Données projet'!$B$62,AI22+AH23-AQ22)))</f>
        <v>83.25841265260587</v>
      </c>
      <c r="AJ23" s="13">
        <f>AI23*VLOOKUP('Données projet'!$B$10,Paramètres!$A$1:$I$89,3,0)*VLOOKUP('Données projet'!$B$10,Paramètres!$A$1:$I$89,5,0)</f>
        <v>49.788530766258319</v>
      </c>
      <c r="AK23" s="13">
        <f t="shared" si="35"/>
        <v>14.559133347501747</v>
      </c>
      <c r="AL23" s="20">
        <f t="shared" si="4"/>
        <v>112.07218166479875</v>
      </c>
      <c r="AM23" s="59">
        <f t="shared" si="5"/>
        <v>393.18329277590988</v>
      </c>
      <c r="AN23" s="59">
        <f ca="1">AVERAGE(OFFSET($AM$3,0,0,'Données projet'!$E$10+1,1))-AVERAGE(OFFSET($H$3,0,0,'Données projet'!$E$10+1,1))</f>
        <v>349.71285006949597</v>
      </c>
      <c r="AO23" s="59">
        <f t="shared" si="36"/>
        <v>258.51550516456842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69.230769230769226</v>
      </c>
      <c r="BB23" s="12">
        <f>VLOOKUP(A23,'Données projet'!$A$87:$I$107,9,0)</f>
        <v>6.1538461538461533</v>
      </c>
      <c r="BC23" s="12">
        <f t="array" ref="BC23">INDEX(BB:BB,MIN(IF(ISNUMBER(BB23:BB219),ROW(BB23:BB219),"")))</f>
        <v>6.1538461538461533</v>
      </c>
      <c r="BD23" s="12">
        <f>IF('Données projet'!$A$88&gt;35,BD22+BC23-BL22,IF(A23&lt;'Données projet'!$A$88,$BA$205^A23,IF(A23='Données projet'!$A$88,'Données projet'!$B$88,BD22+BC23-BL22)))</f>
        <v>69.230769230769226</v>
      </c>
      <c r="BE23" s="13">
        <f>BD23*VLOOKUP('Données projet'!$B$11,Paramètres!$A$1:$I$89,3,0)*VLOOKUP('Données projet'!$B$11,Paramètres!$A$1:$I$89,5,0)</f>
        <v>72.36</v>
      </c>
      <c r="BF23" s="13">
        <f t="shared" si="37"/>
        <v>20.258392951825481</v>
      </c>
      <c r="BG23" s="20">
        <f t="shared" si="7"/>
        <v>161.31036772442937</v>
      </c>
      <c r="BH23" s="59">
        <f t="shared" si="8"/>
        <v>442.42147883554048</v>
      </c>
      <c r="BI23" s="59">
        <f ca="1">AVERAGE(OFFSET($BH$3,0,0,'Données projet'!$E$11+1,1))-AVERAGE(OFFSET($H$3,0,0,'Données projet'!$E$11+1,1))</f>
        <v>260.74709892624571</v>
      </c>
      <c r="BJ23" s="59">
        <f t="shared" si="38"/>
        <v>237.17381692184887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26.282051282051281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6.5032563186604611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6.5032563186604611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5.0894117647058819</v>
      </c>
      <c r="BY23" s="12">
        <f>IF('Données projet'!$A$114&gt;35,BY22+BX23-CG22,IF(A23&lt;'Données projet'!$A$114,$BV$205^A23,IF(A23='Données projet'!$A$114,'Données projet'!$B$114,BY22+BX23-CG22)))</f>
        <v>20.727969860328756</v>
      </c>
      <c r="BZ23" s="13">
        <f>BY23*VLOOKUP('Données projet'!$B$12,Paramètres!$A$1:$I$89,3,0)*VLOOKUP('Données projet'!$B$12,Paramètres!$A$1:$I$89,5,0)</f>
        <v>18.754667129625457</v>
      </c>
      <c r="CA23" s="13">
        <f t="shared" si="39"/>
        <v>6.1442870326384318</v>
      </c>
      <c r="CB23" s="20">
        <f t="shared" si="10"/>
        <v>43.365678499276271</v>
      </c>
      <c r="CC23" s="59">
        <f t="shared" si="11"/>
        <v>324.47678961038741</v>
      </c>
      <c r="CD23" s="59">
        <f ca="1">AVERAGE(OFFSET($CC$3,0,0,'Données projet'!$E$12+1,1))-AVERAGE(OFFSET($H$3,0,0,'Données projet'!$E$12+1,1))</f>
        <v>695.0879239758051</v>
      </c>
      <c r="CE23" s="59">
        <f t="shared" si="40"/>
        <v>226.22150997227476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5.0894117647058819</v>
      </c>
      <c r="CT23" s="12">
        <f>IF('Données projet'!$A$140&gt;35,CT22+CS23-DB22,IF(A23&lt;'Données projet'!$A$140,$CQ$205^A23,IF(A23='Données projet'!$A$140,'Données projet'!$B$140,CT22+CS23-DB22)))</f>
        <v>20.727969860328756</v>
      </c>
      <c r="CU23" s="17">
        <f>CT23*VLOOKUP('Données projet'!$B$13,Paramètres!$A$1:$I$89,3,0)*VLOOKUP('Données projet'!$B$13,Paramètres!$A$1:$I$89,5,0)</f>
        <v>21.018161438373358</v>
      </c>
      <c r="CV23" s="13">
        <f t="shared" si="41"/>
        <v>6.7951142402930431</v>
      </c>
      <c r="CW23" s="20">
        <f t="shared" si="13"/>
        <v>48.441455140343976</v>
      </c>
      <c r="CX23" s="59">
        <f t="shared" si="14"/>
        <v>329.55256625145512</v>
      </c>
      <c r="CY23" s="59">
        <f ca="1">AVERAGE(OFFSET($CX$3,0,0,'Données projet'!$E$13+1,1))-AVERAGE(OFFSET($H$3,0,0,'Données projet'!$E$13+1,1))</f>
        <v>773.15074145293738</v>
      </c>
      <c r="CZ23" s="59">
        <f t="shared" si="42"/>
        <v>248.49577986312505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6.4429411764705877</v>
      </c>
      <c r="DO23" s="12">
        <f>IF('Données projet'!$A$166&gt;35,DO22+DN23-DW22,IF(A23&lt;'Données projet'!$A$166,$DL$205^A23,IF(A23='Données projet'!$A$166,'Données projet'!$B$166,DO22+DN23-DW22)))</f>
        <v>128.85882352941172</v>
      </c>
      <c r="DP23" s="17">
        <f>DO23*VLOOKUP('Données projet'!$B$14,Paramètres!$A$1:$I$89,3,0)*VLOOKUP('Données projet'!$B$14,Paramètres!$A$1:$I$89,5,0)</f>
        <v>60.305929411764687</v>
      </c>
      <c r="DQ23" s="13">
        <f t="shared" si="43"/>
        <v>17.245594656457669</v>
      </c>
      <c r="DR23" s="20">
        <f t="shared" si="16"/>
        <v>135.06890441882061</v>
      </c>
      <c r="DS23" s="59">
        <f t="shared" si="17"/>
        <v>416.18001552993178</v>
      </c>
      <c r="DT23" s="59">
        <f ca="1">AVERAGE(OFFSET($DS$3,0,0,'Données projet'!$E$14+1,1))-AVERAGE(OFFSET($H$3,0,0,'Données projet'!$E$14+1,1))</f>
        <v>293.15557501692803</v>
      </c>
      <c r="DU23" s="59">
        <f t="shared" si="44"/>
        <v>237.1930412773068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5.699583333333333</v>
      </c>
      <c r="EJ23" s="12">
        <f>IF('Données projet'!$A$192&gt;35,EJ22+EI23-ER22,IF(A23&lt;'Données projet'!$A$192,$EG$205^A23,IF(A23='Données projet'!$A$192,'Données projet'!$B$192,EJ22+EI23-ER22)))</f>
        <v>60.262242851585647</v>
      </c>
      <c r="EK23" s="17">
        <f>EJ23*VLOOKUP('Données projet'!$B$15,Paramètres!$A$1:$I$89,3,0)*VLOOKUP('Données projet'!$B$15,Paramètres!$A$1:$I$89,5,0)</f>
        <v>36.036821225248218</v>
      </c>
      <c r="EL23" s="13">
        <f t="shared" si="45"/>
        <v>10.94191282569758</v>
      </c>
      <c r="EM23" s="20">
        <f t="shared" si="19"/>
        <v>81.821295138730591</v>
      </c>
      <c r="EN23" s="59">
        <f t="shared" si="20"/>
        <v>362.93240624984173</v>
      </c>
      <c r="EO23" s="59">
        <f ca="1">AVERAGE(OFFSET($EN$3,0,0,'Données projet'!$E$15+1,1))-AVERAGE(OFFSET($H$3,0,0,'Données projet'!$E$15+1,1))</f>
        <v>225.86663363047296</v>
      </c>
      <c r="EP23" s="59">
        <f t="shared" si="46"/>
        <v>258.08349727304397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24.238333333333333</v>
      </c>
      <c r="N24" s="13">
        <f>IF('Données projet'!$A$36&gt;35,N23+M24-V23,IF(A24&lt;'Données projet'!$A$36,$K$205^A24,IF(A24='Données projet'!$A$36,'Données projet'!$B$36,N23+M24-V23)))</f>
        <v>177.12833333333333</v>
      </c>
      <c r="O24" s="13">
        <f>N24*VLOOKUP('Données projet'!$B$9,Paramètres!$A$1:$I$89,3,0)*VLOOKUP('Données projet'!$B$9,Paramètres!$A$1:$I$89,5,0)</f>
        <v>105.92274333333334</v>
      </c>
      <c r="P24" s="13">
        <f t="shared" si="33"/>
        <v>28.368249625717503</v>
      </c>
      <c r="Q24" s="20">
        <f t="shared" si="2"/>
        <v>233.89014607034687</v>
      </c>
      <c r="R24" s="59">
        <f t="shared" si="0"/>
        <v>516.22347940368013</v>
      </c>
      <c r="S24" s="59">
        <f ca="1">AVERAGE(OFFSET($R$3,0,0,'Données projet'!$E$9+1,1))-AVERAGE(OFFSET($H$3,0,0,'Données projet'!$E$9+1,1))</f>
        <v>388.12151914648013</v>
      </c>
      <c r="T24" s="59">
        <f t="shared" si="34"/>
        <v>481.43684454382793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4.826201645186611</v>
      </c>
      <c r="AA24" s="21">
        <f>EXP(-LN(2)/25)*AA23+(1-EXP(-LN(2)/25))/(LN(2)/25)*Calculateur!V24*Calculateur!X24*VLOOKUP('Données projet'!$B$9,Paramètres!$A$1:$I$89,3,0)*0.475*44/12</f>
        <v>14.657769228933137</v>
      </c>
      <c r="AB24" s="21">
        <f>EXP(-LN(2)/2)*AB23+(1-EXP(-LN(2)/2))/(LN(2)/2)*V24*Y24*VLOOKUP('Données projet'!$B$9,Paramètres!$A$1:$I$89,3,0)*0.475*44/12</f>
        <v>12.171453317409432</v>
      </c>
      <c r="AC24" s="22">
        <f t="shared" si="3"/>
        <v>31.655424191529178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5.8890909090909096</v>
      </c>
      <c r="AI24" s="13">
        <f>IF('Données projet'!$A$62&gt;35,AI23+AH24-AQ23,IF(A24&lt;'Données projet'!$A$62,$AF$205^A24,IF(A24='Données projet'!$A$62,'Données projet'!$B$62,AI23+AH24-AQ23)))</f>
        <v>103.86029050253822</v>
      </c>
      <c r="AJ24" s="13">
        <f>AI24*VLOOKUP('Données projet'!$B$10,Paramètres!$A$1:$I$89,3,0)*VLOOKUP('Données projet'!$B$10,Paramètres!$A$1:$I$89,5,0)</f>
        <v>62.108453720517858</v>
      </c>
      <c r="AK24" s="13">
        <f t="shared" si="35"/>
        <v>17.700276001875135</v>
      </c>
      <c r="AL24" s="20">
        <f t="shared" si="4"/>
        <v>139.00020426650113</v>
      </c>
      <c r="AM24" s="59">
        <f t="shared" si="5"/>
        <v>421.33353759983447</v>
      </c>
      <c r="AN24" s="59">
        <f ca="1">AVERAGE(OFFSET($AM$3,0,0,'Données projet'!$E$10+1,1))-AVERAGE(OFFSET($H$3,0,0,'Données projet'!$E$10+1,1))</f>
        <v>349.71285006949597</v>
      </c>
      <c r="AO24" s="59">
        <f t="shared" si="36"/>
        <v>258.51550516456842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5.8974358974358978</v>
      </c>
      <c r="BD24" s="12">
        <f>IF('Données projet'!$A$88&gt;35,BD23+BC24-BL23,IF(A24&lt;'Données projet'!$A$88,$BA$205^A24,IF(A24='Données projet'!$A$88,'Données projet'!$B$88,BD23+BC24-BL23)))</f>
        <v>48.84615384615384</v>
      </c>
      <c r="BE24" s="13">
        <f>BD24*VLOOKUP('Données projet'!$B$11,Paramètres!$A$1:$I$89,3,0)*VLOOKUP('Données projet'!$B$11,Paramètres!$A$1:$I$89,5,0)</f>
        <v>51.053999999999995</v>
      </c>
      <c r="BF24" s="13">
        <f t="shared" si="37"/>
        <v>14.885628400243496</v>
      </c>
      <c r="BG24" s="20">
        <f t="shared" si="7"/>
        <v>114.84485279709075</v>
      </c>
      <c r="BH24" s="59">
        <f t="shared" si="8"/>
        <v>397.17818613042408</v>
      </c>
      <c r="BI24" s="59">
        <f ca="1">AVERAGE(OFFSET($BH$3,0,0,'Données projet'!$E$11+1,1))-AVERAGE(OFFSET($H$3,0,0,'Données projet'!$E$11+1,1))</f>
        <v>260.74709892624571</v>
      </c>
      <c r="BJ24" s="59">
        <f t="shared" si="38"/>
        <v>237.17381692184887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6.3254244326353044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6.3254244326353044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5.0894117647058819</v>
      </c>
      <c r="BY24" s="12">
        <f>IF('Données projet'!$A$114&gt;35,BY23+BX24-CG23,IF(A24&lt;'Données projet'!$A$114,$BV$205^A24,IF(A24='Données projet'!$A$114,'Données projet'!$B$114,BY23+BX24-CG23)))</f>
        <v>24.120405624722682</v>
      </c>
      <c r="BZ24" s="13">
        <f>BY24*VLOOKUP('Données projet'!$B$12,Paramètres!$A$1:$I$89,3,0)*VLOOKUP('Données projet'!$B$12,Paramètres!$A$1:$I$89,5,0)</f>
        <v>21.824143009249081</v>
      </c>
      <c r="CA24" s="13">
        <f t="shared" si="39"/>
        <v>7.0248486812269384</v>
      </c>
      <c r="CB24" s="20">
        <f t="shared" si="10"/>
        <v>50.245327194245732</v>
      </c>
      <c r="CC24" s="59">
        <f t="shared" si="11"/>
        <v>332.57866052757902</v>
      </c>
      <c r="CD24" s="59">
        <f ca="1">AVERAGE(OFFSET($CC$3,0,0,'Données projet'!$E$12+1,1))-AVERAGE(OFFSET($H$3,0,0,'Données projet'!$E$12+1,1))</f>
        <v>695.0879239758051</v>
      </c>
      <c r="CE24" s="59">
        <f t="shared" si="40"/>
        <v>226.22150997227476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5.0894117647058819</v>
      </c>
      <c r="CT24" s="12">
        <f>IF('Données projet'!$A$140&gt;35,CT23+CS24-DB23,IF(A24&lt;'Données projet'!$A$140,$CQ$205^A24,IF(A24='Données projet'!$A$140,'Données projet'!$B$140,CT23+CS24-DB23)))</f>
        <v>24.120405624722682</v>
      </c>
      <c r="CU24" s="17">
        <f>CT24*VLOOKUP('Données projet'!$B$13,Paramètres!$A$1:$I$89,3,0)*VLOOKUP('Données projet'!$B$13,Paramètres!$A$1:$I$89,5,0)</f>
        <v>24.458091303468802</v>
      </c>
      <c r="CV24" s="13">
        <f t="shared" si="41"/>
        <v>7.7689484648328841</v>
      </c>
      <c r="CW24" s="20">
        <f t="shared" si="13"/>
        <v>56.128760929792101</v>
      </c>
      <c r="CX24" s="59">
        <f t="shared" si="14"/>
        <v>338.46209426312544</v>
      </c>
      <c r="CY24" s="59">
        <f ca="1">AVERAGE(OFFSET($CX$3,0,0,'Données projet'!$E$13+1,1))-AVERAGE(OFFSET($H$3,0,0,'Données projet'!$E$13+1,1))</f>
        <v>773.15074145293738</v>
      </c>
      <c r="CZ24" s="59">
        <f t="shared" si="42"/>
        <v>248.49577986312505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6.4429411764705877</v>
      </c>
      <c r="DO24" s="12">
        <f>IF('Données projet'!$A$166&gt;35,DO23+DN24-DW23,IF(A24&lt;'Données projet'!$A$166,$DL$205^A24,IF(A24='Données projet'!$A$166,'Données projet'!$B$166,DO23+DN24-DW23)))</f>
        <v>135.30176470588231</v>
      </c>
      <c r="DP24" s="17">
        <f>DO24*VLOOKUP('Données projet'!$B$14,Paramètres!$A$1:$I$89,3,0)*VLOOKUP('Données projet'!$B$14,Paramètres!$A$1:$I$89,5,0)</f>
        <v>63.32122588235292</v>
      </c>
      <c r="DQ24" s="13">
        <f t="shared" si="43"/>
        <v>18.005328064652414</v>
      </c>
      <c r="DR24" s="20">
        <f t="shared" si="16"/>
        <v>141.64374812436762</v>
      </c>
      <c r="DS24" s="59">
        <f t="shared" si="17"/>
        <v>423.97708145770093</v>
      </c>
      <c r="DT24" s="59">
        <f ca="1">AVERAGE(OFFSET($DS$3,0,0,'Données projet'!$E$14+1,1))-AVERAGE(OFFSET($H$3,0,0,'Données projet'!$E$14+1,1))</f>
        <v>293.15557501692803</v>
      </c>
      <c r="DU24" s="59">
        <f t="shared" si="44"/>
        <v>237.1930412773068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5.699583333333333</v>
      </c>
      <c r="EJ24" s="12">
        <f>IF('Données projet'!$A$192&gt;35,EJ23+EI24-ER23,IF(A24&lt;'Données projet'!$A$192,$EG$205^A24,IF(A24='Données projet'!$A$192,'Données projet'!$B$192,EJ23+EI24-ER23)))</f>
        <v>73.968626731138343</v>
      </c>
      <c r="EK24" s="17">
        <f>EJ24*VLOOKUP('Données projet'!$B$15,Paramètres!$A$1:$I$89,3,0)*VLOOKUP('Données projet'!$B$15,Paramètres!$A$1:$I$89,5,0)</f>
        <v>44.233238785220735</v>
      </c>
      <c r="EL24" s="13">
        <f t="shared" si="45"/>
        <v>13.114014254578812</v>
      </c>
      <c r="EM24" s="20">
        <f t="shared" si="19"/>
        <v>99.879799044317551</v>
      </c>
      <c r="EN24" s="59">
        <f t="shared" si="20"/>
        <v>382.21313237765088</v>
      </c>
      <c r="EO24" s="59">
        <f ca="1">AVERAGE(OFFSET($EN$3,0,0,'Données projet'!$E$15+1,1))-AVERAGE(OFFSET($H$3,0,0,'Données projet'!$E$15+1,1))</f>
        <v>225.86663363047296</v>
      </c>
      <c r="EP24" s="59">
        <f t="shared" si="46"/>
        <v>258.08349727304397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24.238333333333333</v>
      </c>
      <c r="N25" s="13">
        <f>IF('Données projet'!$A$36&gt;35,N24+M25-V24,IF(A25&lt;'Données projet'!$A$36,$K$205^A25,IF(A25='Données projet'!$A$36,'Données projet'!$B$36,N24+M25-V24)))</f>
        <v>201.36666666666667</v>
      </c>
      <c r="O25" s="13">
        <f>N25*VLOOKUP('Données projet'!$B$9,Paramètres!$A$1:$I$89,3,0)*VLOOKUP('Données projet'!$B$9,Paramètres!$A$1:$I$89,5,0)</f>
        <v>120.41726666666668</v>
      </c>
      <c r="P25" s="13">
        <f t="shared" si="33"/>
        <v>31.772300222074016</v>
      </c>
      <c r="Q25" s="20">
        <f t="shared" si="2"/>
        <v>265.06349566455668</v>
      </c>
      <c r="R25" s="59">
        <f t="shared" si="0"/>
        <v>548.61905122011217</v>
      </c>
      <c r="S25" s="59">
        <f ca="1">AVERAGE(OFFSET($R$3,0,0,'Données projet'!$E$9+1,1))-AVERAGE(OFFSET($H$3,0,0,'Données projet'!$E$9+1,1))</f>
        <v>388.12151914648013</v>
      </c>
      <c r="T25" s="59">
        <f t="shared" si="34"/>
        <v>481.43684454382793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4.7315627746168394</v>
      </c>
      <c r="AA25" s="21">
        <f>EXP(-LN(2)/25)*AA24+(1-EXP(-LN(2)/25))/(LN(2)/25)*Calculateur!V25*Calculateur!X25*VLOOKUP('Données projet'!$B$9,Paramètres!$A$1:$I$89,3,0)*0.475*44/12</f>
        <v>14.256951758549377</v>
      </c>
      <c r="AB25" s="21">
        <f>EXP(-LN(2)/2)*AB24+(1-EXP(-LN(2)/2))/(LN(2)/2)*V25*Y25*VLOOKUP('Données projet'!$B$9,Paramètres!$A$1:$I$89,3,0)*0.475*44/12</f>
        <v>8.606517177635709</v>
      </c>
      <c r="AC25" s="22">
        <f t="shared" si="3"/>
        <v>27.595031710801926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129.56</v>
      </c>
      <c r="AG25" s="12">
        <f>VLOOKUP(A25,'Données projet'!$A$61:$I$81,9,0)</f>
        <v>5.8890909090909096</v>
      </c>
      <c r="AH25" s="12">
        <f t="array" ref="AH25">INDEX(AG:AG,MIN(IF(ISNUMBER(AG25:AG221),ROW(AG25:AG221),"")))</f>
        <v>5.8890909090909096</v>
      </c>
      <c r="AI25" s="13">
        <f>IF('Données projet'!$A$62&gt;35,AI24+AH25-AQ24,IF(A25&lt;'Données projet'!$A$62,$AF$205^A25,IF(A25='Données projet'!$A$62,'Données projet'!$B$62,AI24+AH25-AQ24)))</f>
        <v>129.56</v>
      </c>
      <c r="AJ25" s="13">
        <f>AI25*VLOOKUP('Données projet'!$B$10,Paramètres!$A$1:$I$89,3,0)*VLOOKUP('Données projet'!$B$10,Paramètres!$A$1:$I$89,5,0)</f>
        <v>77.476880000000008</v>
      </c>
      <c r="AK25" s="13">
        <f t="shared" si="35"/>
        <v>21.519122262611628</v>
      </c>
      <c r="AL25" s="20">
        <f t="shared" si="4"/>
        <v>172.4180372740486</v>
      </c>
      <c r="AM25" s="59">
        <f t="shared" si="5"/>
        <v>455.97359282960417</v>
      </c>
      <c r="AN25" s="59">
        <f ca="1">AVERAGE(OFFSET($AM$3,0,0,'Données projet'!$E$10+1,1))-AVERAGE(OFFSET($H$3,0,0,'Données projet'!$E$10+1,1))</f>
        <v>349.71285006949597</v>
      </c>
      <c r="AO25" s="59">
        <f t="shared" si="36"/>
        <v>258.51550516456842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52.620000000000005</v>
      </c>
      <c r="AR25" s="16">
        <f>IF(ISNA(VLOOKUP(A25,'Données projet'!$A$61:$I$81,5,0)),0%,VLOOKUP(A25,'Données projet'!$A$61:$I$81,5,0)*VLOOKUP('Données projet'!$B$10,Paramètres!$A$1:$I$89,7,0))</f>
        <v>0.1125</v>
      </c>
      <c r="AS25" s="16">
        <f>IF(ISNA(VLOOKUP(A25,'Données projet'!$A$61:$I$81,6,0)),0%,VLOOKUP(A25,'Données projet'!$A$61:$I$81,6,0)*VLOOKUP('Données projet'!$B$10,Paramètres!$A$1:$I$89,7,0))</f>
        <v>0.16650000000000001</v>
      </c>
      <c r="AT25" s="16">
        <f>IF(ISNA(VLOOKUP(A25,'Données projet'!$A$61:$I$81,7,0)),0%,VLOOKUP(A25,'Données projet'!$A$61:$I$81,7,0))</f>
        <v>0.38</v>
      </c>
      <c r="AU25" s="21">
        <f>EXP(-LN(2)/35)*AU24+(1-EXP(-LN(2)/35))/(LN(2)/35)*AQ25*AR25*VLOOKUP('Données projet'!$B$10,Paramètres!$A$1:$I$89,3,0)*0.475*44/12</f>
        <v>4.6960521011827554</v>
      </c>
      <c r="AV25" s="21">
        <f>EXP(-LN(2)/25)*AV24+(1-EXP(-LN(2)/25))/(LN(2)/25)*Calculateur!AQ25*Calculateur!AS25*VLOOKUP('Données projet'!$B$10,Paramètres!$A$1:$I$89,3,0)*0.475*44/12</f>
        <v>6.9227916929919147</v>
      </c>
      <c r="AW25" s="21">
        <f>EXP(-LN(2)/2)*AW24+(1-EXP(-LN(2)/2))/(LN(2)/2)*AQ25*AT25*VLOOKUP('Données projet'!$B$10,Paramètres!$A$1:$I$89,3,0)*0.475*44/12</f>
        <v>13.538519148795281</v>
      </c>
      <c r="AX25" s="21">
        <f t="shared" si="6"/>
        <v>25.15736294296995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5.8974358974358978</v>
      </c>
      <c r="BD25" s="12">
        <f>IF('Données projet'!$A$88&gt;35,BD24+BC25-BL24,IF(A25&lt;'Données projet'!$A$88,$BA$205^A25,IF(A25='Données projet'!$A$88,'Données projet'!$B$88,BD24+BC25-BL24)))</f>
        <v>54.743589743589737</v>
      </c>
      <c r="BE25" s="13">
        <f>BD25*VLOOKUP('Données projet'!$B$11,Paramètres!$A$1:$I$89,3,0)*VLOOKUP('Données projet'!$B$11,Paramètres!$A$1:$I$89,5,0)</f>
        <v>57.218000000000004</v>
      </c>
      <c r="BF25" s="13">
        <f t="shared" si="37"/>
        <v>16.462960458406368</v>
      </c>
      <c r="BG25" s="20">
        <f t="shared" si="7"/>
        <v>128.32767279839109</v>
      </c>
      <c r="BH25" s="59">
        <f t="shared" si="8"/>
        <v>411.88322835394661</v>
      </c>
      <c r="BI25" s="59">
        <f ca="1">AVERAGE(OFFSET($BH$3,0,0,'Données projet'!$E$11+1,1))-AVERAGE(OFFSET($H$3,0,0,'Données projet'!$E$11+1,1))</f>
        <v>260.74709892624571</v>
      </c>
      <c r="BJ25" s="59">
        <f t="shared" si="38"/>
        <v>237.17381692184887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6.1524553688852777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6.1524553688852777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5.0894117647058819</v>
      </c>
      <c r="BY25" s="12">
        <f>IF('Données projet'!$A$114&gt;35,BY24+BX25-CG24,IF(A25&lt;'Données projet'!$A$114,$BV$205^A25,IF(A25='Données projet'!$A$114,'Données projet'!$B$114,BY24+BX25-CG24)))</f>
        <v>28.068063173646774</v>
      </c>
      <c r="BZ25" s="13">
        <f>BY25*VLOOKUP('Données projet'!$B$12,Paramètres!$A$1:$I$89,3,0)*VLOOKUP('Données projet'!$B$12,Paramètres!$A$1:$I$89,5,0)</f>
        <v>25.395983559515599</v>
      </c>
      <c r="CA25" s="13">
        <f t="shared" si="39"/>
        <v>8.0316070411419194</v>
      </c>
      <c r="CB25" s="20">
        <f t="shared" si="10"/>
        <v>58.219720296145177</v>
      </c>
      <c r="CC25" s="59">
        <f t="shared" si="11"/>
        <v>341.77527585170071</v>
      </c>
      <c r="CD25" s="59">
        <f ca="1">AVERAGE(OFFSET($CC$3,0,0,'Données projet'!$E$12+1,1))-AVERAGE(OFFSET($H$3,0,0,'Données projet'!$E$12+1,1))</f>
        <v>695.0879239758051</v>
      </c>
      <c r="CE25" s="59">
        <f t="shared" si="40"/>
        <v>226.22150997227476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5.0894117647058819</v>
      </c>
      <c r="CT25" s="12">
        <f>IF('Données projet'!$A$140&gt;35,CT24+CS25-DB24,IF(A25&lt;'Données projet'!$A$140,$CQ$205^A25,IF(A25='Données projet'!$A$140,'Données projet'!$B$140,CT24+CS25-DB24)))</f>
        <v>28.068063173646774</v>
      </c>
      <c r="CU25" s="17">
        <f>CT25*VLOOKUP('Données projet'!$B$13,Paramètres!$A$1:$I$89,3,0)*VLOOKUP('Données projet'!$B$13,Paramètres!$A$1:$I$89,5,0)</f>
        <v>28.461016058077831</v>
      </c>
      <c r="CV25" s="13">
        <f t="shared" si="41"/>
        <v>8.8823466559741497</v>
      </c>
      <c r="CW25" s="20">
        <f t="shared" si="13"/>
        <v>65.039690060307194</v>
      </c>
      <c r="CX25" s="59">
        <f t="shared" si="14"/>
        <v>348.59524561586272</v>
      </c>
      <c r="CY25" s="59">
        <f ca="1">AVERAGE(OFFSET($CX$3,0,0,'Données projet'!$E$13+1,1))-AVERAGE(OFFSET($H$3,0,0,'Données projet'!$E$13+1,1))</f>
        <v>773.15074145293738</v>
      </c>
      <c r="CZ25" s="59">
        <f t="shared" si="42"/>
        <v>248.49577986312505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6.4429411764705877</v>
      </c>
      <c r="DO25" s="12">
        <f>IF('Données projet'!$A$166&gt;35,DO24+DN25-DW24,IF(A25&lt;'Données projet'!$A$166,$DL$205^A25,IF(A25='Données projet'!$A$166,'Données projet'!$B$166,DO24+DN25-DW24)))</f>
        <v>141.74470588235289</v>
      </c>
      <c r="DP25" s="17">
        <f>DO25*VLOOKUP('Données projet'!$B$14,Paramètres!$A$1:$I$89,3,0)*VLOOKUP('Données projet'!$B$14,Paramètres!$A$1:$I$89,5,0)</f>
        <v>66.336522352941145</v>
      </c>
      <c r="DQ25" s="13">
        <f t="shared" si="43"/>
        <v>18.760860351910516</v>
      </c>
      <c r="DR25" s="20">
        <f t="shared" si="16"/>
        <v>148.21127487761666</v>
      </c>
      <c r="DS25" s="59">
        <f t="shared" si="17"/>
        <v>431.76683043317223</v>
      </c>
      <c r="DT25" s="59">
        <f ca="1">AVERAGE(OFFSET($DS$3,0,0,'Données projet'!$E$14+1,1))-AVERAGE(OFFSET($H$3,0,0,'Données projet'!$E$14+1,1))</f>
        <v>293.15557501692803</v>
      </c>
      <c r="DU25" s="59">
        <f t="shared" si="44"/>
        <v>237.1930412773068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5.699583333333333</v>
      </c>
      <c r="EJ25" s="12">
        <f>IF('Données projet'!$A$192&gt;35,EJ24+EI25-ER24,IF(A25&lt;'Données projet'!$A$192,$EG$205^A25,IF(A25='Données projet'!$A$192,'Données projet'!$B$192,EJ24+EI25-ER24)))</f>
        <v>90.792467747431516</v>
      </c>
      <c r="EK25" s="17">
        <f>EJ25*VLOOKUP('Données projet'!$B$15,Paramètres!$A$1:$I$89,3,0)*VLOOKUP('Données projet'!$B$15,Paramètres!$A$1:$I$89,5,0)</f>
        <v>54.293895712964051</v>
      </c>
      <c r="EL25" s="13">
        <f t="shared" si="45"/>
        <v>15.717303967675525</v>
      </c>
      <c r="EM25" s="20">
        <f t="shared" si="19"/>
        <v>121.93617277711394</v>
      </c>
      <c r="EN25" s="59">
        <f t="shared" si="20"/>
        <v>405.49172833266948</v>
      </c>
      <c r="EO25" s="59">
        <f ca="1">AVERAGE(OFFSET($EN$3,0,0,'Données projet'!$E$15+1,1))-AVERAGE(OFFSET($H$3,0,0,'Données projet'!$E$15+1,1))</f>
        <v>225.86663363047296</v>
      </c>
      <c r="EP25" s="59">
        <f t="shared" si="46"/>
        <v>258.08349727304397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24.238333333333333</v>
      </c>
      <c r="N26" s="13">
        <f>IF('Données projet'!$A$36&gt;35,N25+M26-V25,IF(A26&lt;'Données projet'!$A$36,$K$205^A26,IF(A26='Données projet'!$A$36,'Données projet'!$B$36,N25+M26-V25)))</f>
        <v>225.60500000000002</v>
      </c>
      <c r="O26" s="13">
        <f>N26*VLOOKUP('Données projet'!$B$9,Paramètres!$A$1:$I$89,3,0)*VLOOKUP('Données projet'!$B$9,Paramètres!$A$1:$I$89,5,0)</f>
        <v>134.91179000000002</v>
      </c>
      <c r="P26" s="13">
        <f t="shared" si="33"/>
        <v>35.128868426839887</v>
      </c>
      <c r="Q26" s="20">
        <f t="shared" si="2"/>
        <v>296.15414676007953</v>
      </c>
      <c r="R26" s="59">
        <f t="shared" si="0"/>
        <v>580.9319245378573</v>
      </c>
      <c r="S26" s="59">
        <f ca="1">AVERAGE(OFFSET($R$3,0,0,'Données projet'!$E$9+1,1))-AVERAGE(OFFSET($H$3,0,0,'Données projet'!$E$9+1,1))</f>
        <v>388.12151914648013</v>
      </c>
      <c r="T26" s="59">
        <f t="shared" si="34"/>
        <v>481.43684454382793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4.6387797145749303</v>
      </c>
      <c r="AA26" s="21">
        <f>EXP(-LN(2)/25)*AA25+(1-EXP(-LN(2)/25))/(LN(2)/25)*Calculateur!V26*Calculateur!X26*VLOOKUP('Données projet'!$B$9,Paramètres!$A$1:$I$89,3,0)*0.475*44/12</f>
        <v>13.867094662971336</v>
      </c>
      <c r="AB26" s="21">
        <f>EXP(-LN(2)/2)*AB25+(1-EXP(-LN(2)/2))/(LN(2)/2)*V26*Y26*VLOOKUP('Données projet'!$B$9,Paramètres!$A$1:$I$89,3,0)*0.475*44/12</f>
        <v>6.0857266587047159</v>
      </c>
      <c r="AC26" s="22">
        <f t="shared" si="3"/>
        <v>24.591601036250982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15.782</v>
      </c>
      <c r="AI26" s="13">
        <f>IF('Données projet'!$A$62&gt;35,AI25+AH26-AQ25,IF(A26&lt;'Données projet'!$A$62,$AF$205^A26,IF(A26='Données projet'!$A$62,'Données projet'!$B$62,AI25+AH26-AQ25)))</f>
        <v>92.722000000000008</v>
      </c>
      <c r="AJ26" s="13">
        <f>AI26*VLOOKUP('Données projet'!$B$10,Paramètres!$A$1:$I$89,3,0)*VLOOKUP('Données projet'!$B$10,Paramètres!$A$1:$I$89,5,0)</f>
        <v>55.447756000000005</v>
      </c>
      <c r="AK26" s="13">
        <f t="shared" si="35"/>
        <v>16.012087139856263</v>
      </c>
      <c r="AL26" s="20">
        <f t="shared" si="4"/>
        <v>124.45922680191636</v>
      </c>
      <c r="AM26" s="59">
        <f t="shared" si="5"/>
        <v>409.23700457969414</v>
      </c>
      <c r="AN26" s="59">
        <f ca="1">AVERAGE(OFFSET($AM$3,0,0,'Données projet'!$E$10+1,1))-AVERAGE(OFFSET($H$3,0,0,'Données projet'!$E$10+1,1))</f>
        <v>349.71285006949597</v>
      </c>
      <c r="AO26" s="59">
        <f t="shared" si="36"/>
        <v>258.51550516456842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4.6039653837875161</v>
      </c>
      <c r="AV26" s="21">
        <f>EXP(-LN(2)/25)*AV25+(1-EXP(-LN(2)/25))/(LN(2)/25)*Calculateur!AQ26*Calculateur!AS26*VLOOKUP('Données projet'!$B$10,Paramètres!$A$1:$I$89,3,0)*0.475*44/12</f>
        <v>6.733487590093258</v>
      </c>
      <c r="AW26" s="21">
        <f>EXP(-LN(2)/2)*AW25+(1-EXP(-LN(2)/2))/(LN(2)/2)*AQ26*AT26*VLOOKUP('Données projet'!$B$10,Paramètres!$A$1:$I$89,3,0)*0.475*44/12</f>
        <v>9.5731786973370685</v>
      </c>
      <c r="AX26" s="21">
        <f t="shared" si="6"/>
        <v>20.910631671217843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5.8974358974358978</v>
      </c>
      <c r="BD26" s="12">
        <f>IF('Données projet'!$A$88&gt;35,BD25+BC26-BL25,IF(A26&lt;'Données projet'!$A$88,$BA$205^A26,IF(A26='Données projet'!$A$88,'Données projet'!$B$88,BD25+BC26-BL25)))</f>
        <v>60.641025641025635</v>
      </c>
      <c r="BE26" s="13">
        <f>BD26*VLOOKUP('Données projet'!$B$11,Paramètres!$A$1:$I$89,3,0)*VLOOKUP('Données projet'!$B$11,Paramètres!$A$1:$I$89,5,0)</f>
        <v>63.381999999999998</v>
      </c>
      <c r="BF26" s="13">
        <f t="shared" si="37"/>
        <v>18.020596756944578</v>
      </c>
      <c r="BG26" s="20">
        <f t="shared" si="7"/>
        <v>141.77618935167845</v>
      </c>
      <c r="BH26" s="59">
        <f t="shared" si="8"/>
        <v>426.55396712945623</v>
      </c>
      <c r="BI26" s="59">
        <f ca="1">AVERAGE(OFFSET($BH$3,0,0,'Données projet'!$E$11+1,1))-AVERAGE(OFFSET($H$3,0,0,'Données projet'!$E$11+1,1))</f>
        <v>260.74709892624571</v>
      </c>
      <c r="BJ26" s="59">
        <f t="shared" si="38"/>
        <v>237.17381692184887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5.9842161532795437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5.9842161532795437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5.0894117647058819</v>
      </c>
      <c r="BY26" s="12">
        <f>IF('Données projet'!$A$114&gt;35,BY25+BX26-CG25,IF(A26&lt;'Données projet'!$A$114,$BV$205^A26,IF(A26='Données projet'!$A$114,'Données projet'!$B$114,BY25+BX26-CG25)))</f>
        <v>32.66181268163826</v>
      </c>
      <c r="BZ26" s="13">
        <f>BY26*VLOOKUP('Données projet'!$B$12,Paramètres!$A$1:$I$89,3,0)*VLOOKUP('Données projet'!$B$12,Paramètres!$A$1:$I$89,5,0)</f>
        <v>29.552408114346299</v>
      </c>
      <c r="CA26" s="13">
        <f t="shared" si="39"/>
        <v>9.1826478534273477</v>
      </c>
      <c r="CB26" s="20">
        <f t="shared" si="10"/>
        <v>67.463555810539106</v>
      </c>
      <c r="CC26" s="59">
        <f t="shared" si="11"/>
        <v>352.24133358831688</v>
      </c>
      <c r="CD26" s="59">
        <f ca="1">AVERAGE(OFFSET($CC$3,0,0,'Données projet'!$E$12+1,1))-AVERAGE(OFFSET($H$3,0,0,'Données projet'!$E$12+1,1))</f>
        <v>695.0879239758051</v>
      </c>
      <c r="CE26" s="59">
        <f t="shared" si="40"/>
        <v>226.22150997227476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5.0894117647058819</v>
      </c>
      <c r="CT26" s="12">
        <f>IF('Données projet'!$A$140&gt;35,CT25+CS26-DB25,IF(A26&lt;'Données projet'!$A$140,$CQ$205^A26,IF(A26='Données projet'!$A$140,'Données projet'!$B$140,CT25+CS26-DB25)))</f>
        <v>32.66181268163826</v>
      </c>
      <c r="CU26" s="17">
        <f>CT26*VLOOKUP('Données projet'!$B$13,Paramètres!$A$1:$I$89,3,0)*VLOOKUP('Données projet'!$B$13,Paramètres!$A$1:$I$89,5,0)</f>
        <v>33.119078059181199</v>
      </c>
      <c r="CV26" s="13">
        <f t="shared" si="41"/>
        <v>10.155310268053414</v>
      </c>
      <c r="CW26" s="20">
        <f t="shared" si="13"/>
        <v>75.369559669933622</v>
      </c>
      <c r="CX26" s="59">
        <f t="shared" si="14"/>
        <v>360.14733744771138</v>
      </c>
      <c r="CY26" s="59">
        <f ca="1">AVERAGE(OFFSET($CX$3,0,0,'Données projet'!$E$13+1,1))-AVERAGE(OFFSET($H$3,0,0,'Données projet'!$E$13+1,1))</f>
        <v>773.15074145293738</v>
      </c>
      <c r="CZ26" s="59">
        <f t="shared" si="42"/>
        <v>248.49577986312505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6.4429411764705877</v>
      </c>
      <c r="DO26" s="12">
        <f>IF('Données projet'!$A$166&gt;35,DO25+DN26-DW25,IF(A26&lt;'Données projet'!$A$166,$DL$205^A26,IF(A26='Données projet'!$A$166,'Données projet'!$B$166,DO25+DN26-DW25)))</f>
        <v>148.18764705882347</v>
      </c>
      <c r="DP26" s="17">
        <f>DO26*VLOOKUP('Données projet'!$B$14,Paramètres!$A$1:$I$89,3,0)*VLOOKUP('Données projet'!$B$14,Paramètres!$A$1:$I$89,5,0)</f>
        <v>69.351818823529385</v>
      </c>
      <c r="DQ26" s="13">
        <f t="shared" si="43"/>
        <v>19.512404292760284</v>
      </c>
      <c r="DR26" s="20">
        <f t="shared" si="16"/>
        <v>154.77185526087118</v>
      </c>
      <c r="DS26" s="59">
        <f t="shared" si="17"/>
        <v>439.54963303864895</v>
      </c>
      <c r="DT26" s="59">
        <f ca="1">AVERAGE(OFFSET($DS$3,0,0,'Données projet'!$E$14+1,1))-AVERAGE(OFFSET($H$3,0,0,'Données projet'!$E$14+1,1))</f>
        <v>293.15557501692803</v>
      </c>
      <c r="DU26" s="59">
        <f t="shared" si="44"/>
        <v>237.1930412773068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5.699583333333333</v>
      </c>
      <c r="EJ26" s="12">
        <f>IF('Données projet'!$A$192&gt;35,EJ25+EI26-ER25,IF(A26&lt;'Données projet'!$A$192,$EG$205^A26,IF(A26='Données projet'!$A$192,'Données projet'!$B$192,EJ25+EI26-ER25)))</f>
        <v>111.44281790753115</v>
      </c>
      <c r="EK26" s="17">
        <f>EJ26*VLOOKUP('Données projet'!$B$15,Paramètres!$A$1:$I$89,3,0)*VLOOKUP('Données projet'!$B$15,Paramètres!$A$1:$I$89,5,0)</f>
        <v>66.642805108703627</v>
      </c>
      <c r="EL26" s="13">
        <f t="shared" si="45"/>
        <v>18.837378030609944</v>
      </c>
      <c r="EM26" s="20">
        <f t="shared" si="19"/>
        <v>148.87798563430445</v>
      </c>
      <c r="EN26" s="59">
        <f t="shared" si="20"/>
        <v>433.65576341208225</v>
      </c>
      <c r="EO26" s="59">
        <f ca="1">AVERAGE(OFFSET($EN$3,0,0,'Données projet'!$E$15+1,1))-AVERAGE(OFFSET($H$3,0,0,'Données projet'!$E$15+1,1))</f>
        <v>225.86663363047296</v>
      </c>
      <c r="EP26" s="59">
        <f t="shared" si="46"/>
        <v>258.08349727304397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24.238333333333333</v>
      </c>
      <c r="N27" s="13">
        <f>IF('Données projet'!$A$36&gt;35,N26+M27-V26,IF(A27&lt;'Données projet'!$A$36,$K$205^A27,IF(A27='Données projet'!$A$36,'Données projet'!$B$36,N26+M27-V26)))</f>
        <v>249.84333333333336</v>
      </c>
      <c r="O27" s="13">
        <f>N27*VLOOKUP('Données projet'!$B$9,Paramètres!$A$1:$I$89,3,0)*VLOOKUP('Données projet'!$B$9,Paramètres!$A$1:$I$89,5,0)</f>
        <v>149.40631333333337</v>
      </c>
      <c r="P27" s="13">
        <f t="shared" si="33"/>
        <v>38.443637071332986</v>
      </c>
      <c r="Q27" s="20">
        <f t="shared" si="2"/>
        <v>327.17199695479388</v>
      </c>
      <c r="R27" s="59">
        <f t="shared" si="0"/>
        <v>613.17199695479394</v>
      </c>
      <c r="S27" s="59">
        <f ca="1">AVERAGE(OFFSET($R$3,0,0,'Données projet'!$E$9+1,1))-AVERAGE(OFFSET($H$3,0,0,'Données projet'!$E$9+1,1))</f>
        <v>388.12151914648013</v>
      </c>
      <c r="T27" s="59">
        <f t="shared" si="34"/>
        <v>481.43684454382793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4.5478160737483639</v>
      </c>
      <c r="AA27" s="21">
        <f>EXP(-LN(2)/25)*AA26+(1-EXP(-LN(2)/25))/(LN(2)/25)*Calculateur!V27*Calculateur!X27*VLOOKUP('Données projet'!$B$9,Paramètres!$A$1:$I$89,3,0)*0.475*44/12</f>
        <v>13.48789823017357</v>
      </c>
      <c r="AB27" s="21">
        <f>EXP(-LN(2)/2)*AB26+(1-EXP(-LN(2)/2))/(LN(2)/2)*V27*Y27*VLOOKUP('Données projet'!$B$9,Paramètres!$A$1:$I$89,3,0)*0.475*44/12</f>
        <v>4.3032585888178545</v>
      </c>
      <c r="AC27" s="22">
        <f t="shared" si="3"/>
        <v>22.33897289273979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15.782</v>
      </c>
      <c r="AI27" s="13">
        <f>IF('Données projet'!$A$62&gt;35,AI26+AH27-AQ26,IF(A27&lt;'Données projet'!$A$62,$AF$205^A27,IF(A27='Données projet'!$A$62,'Données projet'!$B$62,AI26+AH27-AQ26)))</f>
        <v>108.504</v>
      </c>
      <c r="AJ27" s="13">
        <f>AI27*VLOOKUP('Données projet'!$B$10,Paramètres!$A$1:$I$89,3,0)*VLOOKUP('Données projet'!$B$10,Paramètres!$A$1:$I$89,5,0)</f>
        <v>64.88539200000001</v>
      </c>
      <c r="AK27" s="13">
        <f t="shared" si="35"/>
        <v>18.397766162676771</v>
      </c>
      <c r="AL27" s="20">
        <f t="shared" si="4"/>
        <v>145.05150046666205</v>
      </c>
      <c r="AM27" s="59">
        <f t="shared" si="5"/>
        <v>431.05150046666205</v>
      </c>
      <c r="AN27" s="59">
        <f ca="1">AVERAGE(OFFSET($AM$3,0,0,'Données projet'!$E$10+1,1))-AVERAGE(OFFSET($H$3,0,0,'Données projet'!$E$10+1,1))</f>
        <v>349.71285006949597</v>
      </c>
      <c r="AO27" s="59">
        <f t="shared" si="36"/>
        <v>258.51550516456842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4.5136844307530462</v>
      </c>
      <c r="AV27" s="21">
        <f>EXP(-LN(2)/25)*AV26+(1-EXP(-LN(2)/25))/(LN(2)/25)*Calculateur!AQ27*Calculateur!AS27*VLOOKUP('Données projet'!$B$10,Paramètres!$A$1:$I$89,3,0)*0.475*44/12</f>
        <v>6.5493600178434352</v>
      </c>
      <c r="AW27" s="21">
        <f>EXP(-LN(2)/2)*AW26+(1-EXP(-LN(2)/2))/(LN(2)/2)*AQ27*AT27*VLOOKUP('Données projet'!$B$10,Paramètres!$A$1:$I$89,3,0)*0.475*44/12</f>
        <v>6.7692595743976414</v>
      </c>
      <c r="AX27" s="21">
        <f t="shared" si="6"/>
        <v>17.832304022994123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5.8974358974358978</v>
      </c>
      <c r="BD27" s="12">
        <f>IF('Données projet'!$A$88&gt;35,BD26+BC27-BL26,IF(A27&lt;'Données projet'!$A$88,$BA$205^A27,IF(A27='Données projet'!$A$88,'Données projet'!$B$88,BD26+BC27-BL26)))</f>
        <v>66.538461538461533</v>
      </c>
      <c r="BE27" s="13">
        <f>BD27*VLOOKUP('Données projet'!$B$11,Paramètres!$A$1:$I$89,3,0)*VLOOKUP('Données projet'!$B$11,Paramètres!$A$1:$I$89,5,0)</f>
        <v>69.545999999999992</v>
      </c>
      <c r="BF27" s="13">
        <f t="shared" si="37"/>
        <v>19.560670709947196</v>
      </c>
      <c r="BG27" s="20">
        <f t="shared" si="7"/>
        <v>155.19411815315803</v>
      </c>
      <c r="BH27" s="59">
        <f t="shared" si="8"/>
        <v>441.194118153158</v>
      </c>
      <c r="BI27" s="59">
        <f ca="1">AVERAGE(OFFSET($BH$3,0,0,'Données projet'!$E$11+1,1))-AVERAGE(OFFSET($H$3,0,0,'Données projet'!$E$11+1,1))</f>
        <v>260.74709892624571</v>
      </c>
      <c r="BJ27" s="59">
        <f t="shared" si="38"/>
        <v>237.17381692184887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5.8205774478718642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5.8205774478718642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5.0894117647058819</v>
      </c>
      <c r="BY27" s="12">
        <f>IF('Données projet'!$A$114&gt;35,BY26+BX27-CG26,IF(A27&lt;'Données projet'!$A$114,$BV$205^A27,IF(A27='Données projet'!$A$114,'Données projet'!$B$114,BY26+BX27-CG26)))</f>
        <v>38.007396557808917</v>
      </c>
      <c r="BZ27" s="13">
        <f>BY27*VLOOKUP('Données projet'!$B$12,Paramètres!$A$1:$I$89,3,0)*VLOOKUP('Données projet'!$B$12,Paramètres!$A$1:$I$89,5,0)</f>
        <v>34.389092405505508</v>
      </c>
      <c r="CA27" s="13">
        <f t="shared" si="39"/>
        <v>10.498648796949267</v>
      </c>
      <c r="CB27" s="20">
        <f t="shared" si="10"/>
        <v>78.179482594275399</v>
      </c>
      <c r="CC27" s="59">
        <f t="shared" si="11"/>
        <v>364.17948259427538</v>
      </c>
      <c r="CD27" s="59">
        <f ca="1">AVERAGE(OFFSET($CC$3,0,0,'Données projet'!$E$12+1,1))-AVERAGE(OFFSET($H$3,0,0,'Données projet'!$E$12+1,1))</f>
        <v>695.0879239758051</v>
      </c>
      <c r="CE27" s="59">
        <f t="shared" si="40"/>
        <v>226.22150997227476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5.0894117647058819</v>
      </c>
      <c r="CT27" s="12">
        <f>IF('Données projet'!$A$140&gt;35,CT26+CS27-DB26,IF(A27&lt;'Données projet'!$A$140,$CQ$205^A27,IF(A27='Données projet'!$A$140,'Données projet'!$B$140,CT26+CS27-DB26)))</f>
        <v>38.007396557808917</v>
      </c>
      <c r="CU27" s="17">
        <f>CT27*VLOOKUP('Données projet'!$B$13,Paramètres!$A$1:$I$89,3,0)*VLOOKUP('Données projet'!$B$13,Paramètres!$A$1:$I$89,5,0)</f>
        <v>38.539500109618245</v>
      </c>
      <c r="CV27" s="13">
        <f t="shared" si="41"/>
        <v>11.610707241544882</v>
      </c>
      <c r="CW27" s="20">
        <f t="shared" si="13"/>
        <v>87.344944469942433</v>
      </c>
      <c r="CX27" s="59">
        <f t="shared" si="14"/>
        <v>373.34494446994245</v>
      </c>
      <c r="CY27" s="59">
        <f ca="1">AVERAGE(OFFSET($CX$3,0,0,'Données projet'!$E$13+1,1))-AVERAGE(OFFSET($H$3,0,0,'Données projet'!$E$13+1,1))</f>
        <v>773.15074145293738</v>
      </c>
      <c r="CZ27" s="59">
        <f t="shared" si="42"/>
        <v>248.49577986312505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6.4429411764705877</v>
      </c>
      <c r="DO27" s="12">
        <f>IF('Données projet'!$A$166&gt;35,DO26+DN27-DW26,IF(A27&lt;'Données projet'!$A$166,$DL$205^A27,IF(A27='Données projet'!$A$166,'Données projet'!$B$166,DO26+DN27-DW26)))</f>
        <v>154.63058823529406</v>
      </c>
      <c r="DP27" s="17">
        <f>DO27*VLOOKUP('Données projet'!$B$14,Paramètres!$A$1:$I$89,3,0)*VLOOKUP('Données projet'!$B$14,Paramètres!$A$1:$I$89,5,0)</f>
        <v>72.36711529411761</v>
      </c>
      <c r="DQ27" s="13">
        <f t="shared" si="43"/>
        <v>20.260153113300689</v>
      </c>
      <c r="DR27" s="20">
        <f t="shared" si="16"/>
        <v>161.32582580958686</v>
      </c>
      <c r="DS27" s="59">
        <f t="shared" si="17"/>
        <v>447.32582580958683</v>
      </c>
      <c r="DT27" s="59">
        <f ca="1">AVERAGE(OFFSET($DS$3,0,0,'Données projet'!$E$14+1,1))-AVERAGE(OFFSET($H$3,0,0,'Données projet'!$E$14+1,1))</f>
        <v>293.15557501692803</v>
      </c>
      <c r="DU27" s="59">
        <f t="shared" si="44"/>
        <v>237.1930412773068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136.79</v>
      </c>
      <c r="EH27" s="12">
        <f>VLOOKUP(A27,'Données projet'!$A$191:$I$211,9,0)</f>
        <v>5.699583333333333</v>
      </c>
      <c r="EI27" s="12">
        <f t="array" ref="EI27">INDEX(EH:EH,MIN(IF(ISNUMBER(EH27:EH223),ROW(EH27:EH223),"")))</f>
        <v>5.699583333333333</v>
      </c>
      <c r="EJ27" s="12">
        <f>IF('Données projet'!$A$192&gt;35,EJ26+EI27-ER26,IF(A27&lt;'Données projet'!$A$192,$EG$205^A27,IF(A27='Données projet'!$A$192,'Données projet'!$B$192,EJ26+EI27-ER26)))</f>
        <v>136.79</v>
      </c>
      <c r="EK27" s="17">
        <f>EJ27*VLOOKUP('Données projet'!$B$15,Paramètres!$A$1:$I$89,3,0)*VLOOKUP('Données projet'!$B$15,Paramètres!$A$1:$I$89,5,0)</f>
        <v>81.800420000000003</v>
      </c>
      <c r="EL27" s="13">
        <f t="shared" si="45"/>
        <v>22.576824358547178</v>
      </c>
      <c r="EM27" s="20">
        <f t="shared" si="19"/>
        <v>181.79036725780301</v>
      </c>
      <c r="EN27" s="59">
        <f t="shared" si="20"/>
        <v>467.79036725780304</v>
      </c>
      <c r="EO27" s="59">
        <f ca="1">AVERAGE(OFFSET($EN$3,0,0,'Données projet'!$E$15+1,1))-AVERAGE(OFFSET($H$3,0,0,'Données projet'!$E$15+1,1))</f>
        <v>225.86663363047296</v>
      </c>
      <c r="EP27" s="59">
        <f t="shared" si="46"/>
        <v>258.08349727304397</v>
      </c>
      <c r="EQ27" s="15">
        <f>IF(ISNA(VLOOKUP(A27,'Données projet'!$A$191:$I$211,3,0)),0,VLOOKUP(A27,'Données projet'!$A$191:$I$211,3,0))</f>
        <v>1</v>
      </c>
      <c r="ER27" s="15">
        <f>IF(ISNA(VLOOKUP(A27,'Données projet'!$A$191:$I$211,4,0)),0,VLOOKUP(A27,'Données projet'!$A$191:$I$211,4,0))</f>
        <v>49.61999999999999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0.22500000000000001</v>
      </c>
      <c r="EU27" s="16">
        <f>IF(ISNA(VLOOKUP(A27,'Données projet'!$A$191:$I$211,7,0)),0%,VLOOKUP(A27,'Données projet'!$A$191:$I$211,7,0))</f>
        <v>0.5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8.821764507541543</v>
      </c>
      <c r="EX27" s="21">
        <f>EXP(-LN(2)/2)*EX26+(1-EXP(-LN(2)/2))/(LN(2)/2)*ER27*EU27*VLOOKUP('Données projet'!$B$15,Paramètres!$A$1:$I$89,3,0)*0.475*44/12</f>
        <v>16.798228614375706</v>
      </c>
      <c r="EY27" s="22">
        <f t="shared" si="21"/>
        <v>25.619993121917247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24.238333333333333</v>
      </c>
      <c r="N28" s="13">
        <f>IF('Données projet'!$A$36&gt;35,N27+M28-V27,IF(A28&lt;'Données projet'!$A$36,$K$205^A28,IF(A28='Données projet'!$A$36,'Données projet'!$B$36,N27+M28-V27)))</f>
        <v>274.08166666666671</v>
      </c>
      <c r="O28" s="13">
        <f>N28*VLOOKUP('Données projet'!$B$9,Paramètres!$A$1:$I$89,3,0)*VLOOKUP('Données projet'!$B$9,Paramètres!$A$1:$I$89,5,0)</f>
        <v>163.90083666666669</v>
      </c>
      <c r="P28" s="13">
        <f t="shared" si="33"/>
        <v>41.721122750851265</v>
      </c>
      <c r="Q28" s="20">
        <f t="shared" si="2"/>
        <v>358.12491265217704</v>
      </c>
      <c r="R28" s="59">
        <f t="shared" si="0"/>
        <v>645.34713487439922</v>
      </c>
      <c r="S28" s="59">
        <f ca="1">AVERAGE(OFFSET($R$3,0,0,'Données projet'!$E$9+1,1))-AVERAGE(OFFSET($H$3,0,0,'Données projet'!$E$9+1,1))</f>
        <v>388.12151914648013</v>
      </c>
      <c r="T28" s="59">
        <f t="shared" si="34"/>
        <v>481.43684454382793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4.4586361744360641</v>
      </c>
      <c r="AA28" s="21">
        <f>EXP(-LN(2)/25)*AA27+(1-EXP(-LN(2)/25))/(LN(2)/25)*Calculateur!V28*Calculateur!X28*VLOOKUP('Données projet'!$B$9,Paramètres!$A$1:$I$89,3,0)*0.475*44/12</f>
        <v>13.119070943771733</v>
      </c>
      <c r="AB28" s="21">
        <f>EXP(-LN(2)/2)*AB27+(1-EXP(-LN(2)/2))/(LN(2)/2)*V28*Y28*VLOOKUP('Données projet'!$B$9,Paramètres!$A$1:$I$89,3,0)*0.475*44/12</f>
        <v>3.0428633293523579</v>
      </c>
      <c r="AC28" s="22">
        <f t="shared" si="3"/>
        <v>20.620570447560155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15.782</v>
      </c>
      <c r="AI28" s="13">
        <f>IF('Données projet'!$A$62&gt;35,AI27+AH28-AQ27,IF(A28&lt;'Données projet'!$A$62,$AF$205^A28,IF(A28='Données projet'!$A$62,'Données projet'!$B$62,AI27+AH28-AQ27)))</f>
        <v>124.286</v>
      </c>
      <c r="AJ28" s="13">
        <f>AI28*VLOOKUP('Données projet'!$B$10,Paramètres!$A$1:$I$89,3,0)*VLOOKUP('Données projet'!$B$10,Paramètres!$A$1:$I$89,5,0)</f>
        <v>74.323028000000008</v>
      </c>
      <c r="AK28" s="13">
        <f t="shared" si="35"/>
        <v>20.743244990540482</v>
      </c>
      <c r="AL28" s="20">
        <f t="shared" si="4"/>
        <v>165.57375879185801</v>
      </c>
      <c r="AM28" s="59">
        <f t="shared" si="5"/>
        <v>452.79598101408021</v>
      </c>
      <c r="AN28" s="59">
        <f ca="1">AVERAGE(OFFSET($AM$3,0,0,'Données projet'!$E$10+1,1))-AVERAGE(OFFSET($H$3,0,0,'Données projet'!$E$10+1,1))</f>
        <v>349.71285006949597</v>
      </c>
      <c r="AO28" s="59">
        <f t="shared" si="36"/>
        <v>258.51550516456842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4.4251738321416383</v>
      </c>
      <c r="AV28" s="21">
        <f>EXP(-LN(2)/25)*AV27+(1-EXP(-LN(2)/25))/(LN(2)/25)*Calculateur!AQ28*Calculateur!AS28*VLOOKUP('Données projet'!$B$10,Paramètres!$A$1:$I$89,3,0)*0.475*44/12</f>
        <v>6.370267423739632</v>
      </c>
      <c r="AW28" s="21">
        <f>EXP(-LN(2)/2)*AW27+(1-EXP(-LN(2)/2))/(LN(2)/2)*AQ28*AT28*VLOOKUP('Données projet'!$B$10,Paramètres!$A$1:$I$89,3,0)*0.475*44/12</f>
        <v>4.7865893486685351</v>
      </c>
      <c r="AX28" s="21">
        <f t="shared" si="6"/>
        <v>15.582030604549805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72.435897435897431</v>
      </c>
      <c r="BB28" s="12">
        <f>VLOOKUP(A28,'Données projet'!$A$87:$I$107,9,0)</f>
        <v>5.8974358974358978</v>
      </c>
      <c r="BC28" s="12">
        <f t="array" ref="BC28">INDEX(BB:BB,MIN(IF(ISNUMBER(BB28:BB224),ROW(BB28:BB224),"")))</f>
        <v>5.8974358974358978</v>
      </c>
      <c r="BD28" s="12">
        <f>IF('Données projet'!$A$88&gt;35,BD27+BC28-BL27,IF(A28&lt;'Données projet'!$A$88,$BA$205^A28,IF(A28='Données projet'!$A$88,'Données projet'!$B$88,BD27+BC28-BL27)))</f>
        <v>72.435897435897431</v>
      </c>
      <c r="BE28" s="13">
        <f>BD28*VLOOKUP('Données projet'!$B$11,Paramètres!$A$1:$I$89,3,0)*VLOOKUP('Données projet'!$B$11,Paramètres!$A$1:$I$89,5,0)</f>
        <v>75.710000000000008</v>
      </c>
      <c r="BF28" s="13">
        <f t="shared" si="37"/>
        <v>21.084915904131307</v>
      </c>
      <c r="BG28" s="20">
        <f t="shared" si="7"/>
        <v>168.58447853302872</v>
      </c>
      <c r="BH28" s="59">
        <f t="shared" si="8"/>
        <v>455.80670075525097</v>
      </c>
      <c r="BI28" s="59">
        <f ca="1">AVERAGE(OFFSET($BH$3,0,0,'Données projet'!$E$11+1,1))-AVERAGE(OFFSET($H$3,0,0,'Données projet'!$E$11+1,1))</f>
        <v>260.74709892624571</v>
      </c>
      <c r="BJ28" s="59">
        <f t="shared" si="38"/>
        <v>237.17381692184887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14.743589743589743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9.3095816302296903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9.3095816302296903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5.0894117647058819</v>
      </c>
      <c r="BY28" s="12">
        <f>IF('Données projet'!$A$114&gt;35,BY27+BX28-CG27,IF(A28&lt;'Données projet'!$A$114,$BV$205^A28,IF(A28='Données projet'!$A$114,'Données projet'!$B$114,BY27+BX28-CG27)))</f>
        <v>44.227863504790903</v>
      </c>
      <c r="BZ28" s="13">
        <f>BY28*VLOOKUP('Données projet'!$B$12,Paramètres!$A$1:$I$89,3,0)*VLOOKUP('Données projet'!$B$12,Paramètres!$A$1:$I$89,5,0)</f>
        <v>40.017370899134811</v>
      </c>
      <c r="CA28" s="13">
        <f t="shared" si="39"/>
        <v>12.003250949076193</v>
      </c>
      <c r="CB28" s="20">
        <f t="shared" si="10"/>
        <v>90.60258305230083</v>
      </c>
      <c r="CC28" s="59">
        <f t="shared" si="11"/>
        <v>377.82480527452304</v>
      </c>
      <c r="CD28" s="59">
        <f ca="1">AVERAGE(OFFSET($CC$3,0,0,'Données projet'!$E$12+1,1))-AVERAGE(OFFSET($H$3,0,0,'Données projet'!$E$12+1,1))</f>
        <v>695.0879239758051</v>
      </c>
      <c r="CE28" s="59">
        <f t="shared" si="40"/>
        <v>226.22150997227476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5.0894117647058819</v>
      </c>
      <c r="CT28" s="12">
        <f>IF('Données projet'!$A$140&gt;35,CT27+CS28-DB27,IF(A28&lt;'Données projet'!$A$140,$CQ$205^A28,IF(A28='Données projet'!$A$140,'Données projet'!$B$140,CT27+CS28-DB27)))</f>
        <v>44.227863504790903</v>
      </c>
      <c r="CU28" s="17">
        <f>CT28*VLOOKUP('Données projet'!$B$13,Paramètres!$A$1:$I$89,3,0)*VLOOKUP('Données projet'!$B$13,Paramètres!$A$1:$I$89,5,0)</f>
        <v>44.847053593857979</v>
      </c>
      <c r="CV28" s="13">
        <f t="shared" si="41"/>
        <v>13.274682810326699</v>
      </c>
      <c r="CW28" s="20">
        <f t="shared" si="13"/>
        <v>101.22869090395496</v>
      </c>
      <c r="CX28" s="59">
        <f t="shared" si="14"/>
        <v>388.45091312617717</v>
      </c>
      <c r="CY28" s="59">
        <f ca="1">AVERAGE(OFFSET($CX$3,0,0,'Données projet'!$E$13+1,1))-AVERAGE(OFFSET($H$3,0,0,'Données projet'!$E$13+1,1))</f>
        <v>773.15074145293738</v>
      </c>
      <c r="CZ28" s="59">
        <f t="shared" si="42"/>
        <v>248.49577986312505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6.4429411764705877</v>
      </c>
      <c r="DO28" s="12">
        <f>IF('Données projet'!$A$166&gt;35,DO27+DN28-DW27,IF(A28&lt;'Données projet'!$A$166,$DL$205^A28,IF(A28='Données projet'!$A$166,'Données projet'!$B$166,DO27+DN28-DW27)))</f>
        <v>161.07352941176464</v>
      </c>
      <c r="DP28" s="17">
        <f>DO28*VLOOKUP('Données projet'!$B$14,Paramètres!$A$1:$I$89,3,0)*VLOOKUP('Données projet'!$B$14,Paramètres!$A$1:$I$89,5,0)</f>
        <v>75.38241176470585</v>
      </c>
      <c r="DQ28" s="13">
        <f t="shared" si="43"/>
        <v>21.004283026460243</v>
      </c>
      <c r="DR28" s="20">
        <f t="shared" si="16"/>
        <v>167.87349342794758</v>
      </c>
      <c r="DS28" s="59">
        <f t="shared" si="17"/>
        <v>455.09571565016984</v>
      </c>
      <c r="DT28" s="59">
        <f ca="1">AVERAGE(OFFSET($DS$3,0,0,'Données projet'!$E$14+1,1))-AVERAGE(OFFSET($H$3,0,0,'Données projet'!$E$14+1,1))</f>
        <v>293.15557501692803</v>
      </c>
      <c r="DU28" s="59">
        <f t="shared" si="44"/>
        <v>237.1930412773068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13.379999999999997</v>
      </c>
      <c r="EJ28" s="12">
        <f>IF('Données projet'!$A$192&gt;35,EJ27+EI28-ER27,IF(A28&lt;'Données projet'!$A$192,$EG$205^A28,IF(A28='Données projet'!$A$192,'Données projet'!$B$192,EJ27+EI28-ER27)))</f>
        <v>100.55</v>
      </c>
      <c r="EK28" s="17">
        <f>EJ28*VLOOKUP('Données projet'!$B$15,Paramètres!$A$1:$I$89,3,0)*VLOOKUP('Données projet'!$B$15,Paramètres!$A$1:$I$89,5,0)</f>
        <v>60.128900000000002</v>
      </c>
      <c r="EL28" s="13">
        <f t="shared" si="45"/>
        <v>17.200854905166601</v>
      </c>
      <c r="EM28" s="20">
        <f t="shared" si="19"/>
        <v>134.6826564598318</v>
      </c>
      <c r="EN28" s="59">
        <f t="shared" si="20"/>
        <v>421.904878682054</v>
      </c>
      <c r="EO28" s="59">
        <f ca="1">AVERAGE(OFFSET($EN$3,0,0,'Données projet'!$E$15+1,1))-AVERAGE(OFFSET($H$3,0,0,'Données projet'!$E$15+1,1))</f>
        <v>225.86663363047296</v>
      </c>
      <c r="EP28" s="59">
        <f t="shared" si="46"/>
        <v>258.08349727304397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8.5805328931663869</v>
      </c>
      <c r="EX28" s="21">
        <f>EXP(-LN(2)/2)*EX27+(1-EXP(-LN(2)/2))/(LN(2)/2)*ER28*EU28*VLOOKUP('Données projet'!$B$15,Paramètres!$A$1:$I$89,3,0)*0.475*44/12</f>
        <v>11.878141365146965</v>
      </c>
      <c r="EY28" s="22">
        <f t="shared" si="21"/>
        <v>20.458674258313351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298.32</v>
      </c>
      <c r="L29" s="12">
        <f>VLOOKUP(A29,'Données projet'!$A$35:$I$55,9,0)</f>
        <v>24.238333333333333</v>
      </c>
      <c r="M29" s="12">
        <f t="array" ref="M29">INDEX(L:L,MIN(IF(ISNUMBER(L29:L225),ROW(L29:L225),"")))</f>
        <v>24.238333333333333</v>
      </c>
      <c r="N29" s="13">
        <f>IF('Données projet'!$A$36&gt;35,N28+M29-V28,IF(A29&lt;'Données projet'!$A$36,$K$205^A29,IF(A29='Données projet'!$A$36,'Données projet'!$B$36,N28+M29-V28)))</f>
        <v>298.32000000000005</v>
      </c>
      <c r="O29" s="13">
        <f>N29*VLOOKUP('Données projet'!$B$9,Paramètres!$A$1:$I$89,3,0)*VLOOKUP('Données projet'!$B$9,Paramètres!$A$1:$I$89,5,0)</f>
        <v>178.39536000000007</v>
      </c>
      <c r="P29" s="13">
        <f t="shared" si="33"/>
        <v>44.964997487846667</v>
      </c>
      <c r="Q29" s="20">
        <f t="shared" si="2"/>
        <v>389.01928929133305</v>
      </c>
      <c r="R29" s="59">
        <f t="shared" si="0"/>
        <v>677.46373373577751</v>
      </c>
      <c r="S29" s="59">
        <f ca="1">AVERAGE(OFFSET($R$3,0,0,'Données projet'!$E$9+1,1))-AVERAGE(OFFSET($H$3,0,0,'Données projet'!$E$9+1,1))</f>
        <v>388.12151914648013</v>
      </c>
      <c r="T29" s="59">
        <f t="shared" si="34"/>
        <v>481.43684454382793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56.150000000000006</v>
      </c>
      <c r="W29" s="16">
        <f>IF(ISNA(VLOOKUP(A29,'Données projet'!$A$35:$I$55,5,0)),0%,VLOOKUP(A29,'Données projet'!$A$35:$I$55,5,0)*VLOOKUP('Données projet'!$B$9,Paramètres!$A$1:$I$89,7,0))</f>
        <v>0.27</v>
      </c>
      <c r="X29" s="16">
        <f>IF(ISNA(VLOOKUP(A29,'Données projet'!$A$35:$I$55,6,0)),0%,VLOOKUP(A29,'Données projet'!$A$35:$I$55,6,0)*VLOOKUP('Données projet'!$B$9,Paramètres!$A$1:$I$89,7,0))</f>
        <v>9.0000000000000011E-2</v>
      </c>
      <c r="Y29" s="16">
        <f>IF(ISNA(VLOOKUP(A29,'Données projet'!$A$35:$I$55,7,0)),0%,VLOOKUP(A29,'Données projet'!$A$35:$I$55,7,0))</f>
        <v>0.2</v>
      </c>
      <c r="Z29" s="21">
        <f>EXP(-LN(2)/35)*Z28+(1-EXP(-LN(2)/35))/(LN(2)/35)*V29*W29*VLOOKUP('Données projet'!$B$9,Paramètres!$A$1:$I$89,3,0)*0.475*44/12</f>
        <v>16.397810533716221</v>
      </c>
      <c r="AA29" s="21">
        <f>EXP(-LN(2)/25)*AA28+(1-EXP(-LN(2)/25))/(LN(2)/25)*Calculateur!V29*Calculateur!X29*VLOOKUP('Données projet'!$B$9,Paramètres!$A$1:$I$89,3,0)*0.475*44/12</f>
        <v>16.753413314522639</v>
      </c>
      <c r="AB29" s="21">
        <f>EXP(-LN(2)/2)*AB28+(1-EXP(-LN(2)/2))/(LN(2)/2)*V29*Y29*VLOOKUP('Données projet'!$B$9,Paramètres!$A$1:$I$89,3,0)*0.475*44/12</f>
        <v>9.7551805777398108</v>
      </c>
      <c r="AC29" s="22">
        <f t="shared" si="3"/>
        <v>42.906404425978664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15.782</v>
      </c>
      <c r="AI29" s="13">
        <f>IF('Données projet'!$A$62&gt;35,AI28+AH29-AQ28,IF(A29&lt;'Données projet'!$A$62,$AF$205^A29,IF(A29='Données projet'!$A$62,'Données projet'!$B$62,AI28+AH29-AQ28)))</f>
        <v>140.06800000000001</v>
      </c>
      <c r="AJ29" s="13">
        <f>AI29*VLOOKUP('Données projet'!$B$10,Paramètres!$A$1:$I$89,3,0)*VLOOKUP('Données projet'!$B$10,Paramètres!$A$1:$I$89,5,0)</f>
        <v>83.76066400000002</v>
      </c>
      <c r="AK29" s="13">
        <f t="shared" si="35"/>
        <v>23.054213321234659</v>
      </c>
      <c r="AL29" s="20">
        <f t="shared" si="4"/>
        <v>186.0359113344837</v>
      </c>
      <c r="AM29" s="59">
        <f t="shared" si="5"/>
        <v>474.48035577892813</v>
      </c>
      <c r="AN29" s="59">
        <f ca="1">AVERAGE(OFFSET($AM$3,0,0,'Données projet'!$E$10+1,1))-AVERAGE(OFFSET($H$3,0,0,'Données projet'!$E$10+1,1))</f>
        <v>349.71285006949597</v>
      </c>
      <c r="AO29" s="59">
        <f t="shared" si="36"/>
        <v>258.51550516456842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4.3383988723828653</v>
      </c>
      <c r="AV29" s="21">
        <f>EXP(-LN(2)/25)*AV28+(1-EXP(-LN(2)/25))/(LN(2)/25)*Calculateur!AQ29*Calculateur!AS29*VLOOKUP('Données projet'!$B$10,Paramètres!$A$1:$I$89,3,0)*0.475*44/12</f>
        <v>6.1960721260396676</v>
      </c>
      <c r="AW29" s="21">
        <f>EXP(-LN(2)/2)*AW28+(1-EXP(-LN(2)/2))/(LN(2)/2)*AQ29*AT29*VLOOKUP('Données projet'!$B$10,Paramètres!$A$1:$I$89,3,0)*0.475*44/12</f>
        <v>3.3846297871988211</v>
      </c>
      <c r="AX29" s="21">
        <f t="shared" si="6"/>
        <v>13.919100785621353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5.7692307692307692</v>
      </c>
      <c r="BD29" s="12">
        <f>IF('Données projet'!$A$88&gt;35,BD28+BC29-BL28,IF(A29&lt;'Données projet'!$A$88,$BA$205^A29,IF(A29='Données projet'!$A$88,'Données projet'!$B$88,BD28+BC29-BL28)))</f>
        <v>63.46153846153846</v>
      </c>
      <c r="BE29" s="13">
        <f>BD29*VLOOKUP('Données projet'!$B$11,Paramètres!$A$1:$I$89,3,0)*VLOOKUP('Données projet'!$B$11,Paramètres!$A$1:$I$89,5,0)</f>
        <v>66.330000000000013</v>
      </c>
      <c r="BF29" s="13">
        <f t="shared" si="37"/>
        <v>18.759230445983899</v>
      </c>
      <c r="BG29" s="20">
        <f t="shared" si="7"/>
        <v>148.19707636008866</v>
      </c>
      <c r="BH29" s="59">
        <f t="shared" si="8"/>
        <v>436.64152080453312</v>
      </c>
      <c r="BI29" s="59">
        <f ca="1">AVERAGE(OFFSET($BH$3,0,0,'Données projet'!$E$11+1,1))-AVERAGE(OFFSET($H$3,0,0,'Données projet'!$E$11+1,1))</f>
        <v>260.74709892624571</v>
      </c>
      <c r="BJ29" s="59">
        <f t="shared" si="38"/>
        <v>237.17381692184887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9.0550106309814389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9.0550106309814389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5.0894117647058819</v>
      </c>
      <c r="BY29" s="12">
        <f>IF('Données projet'!$A$114&gt;35,BY28+BX29-CG28,IF(A29&lt;'Données projet'!$A$114,$BV$205^A29,IF(A29='Données projet'!$A$114,'Données projet'!$B$114,BY28+BX29-CG28)))</f>
        <v>51.466400947068237</v>
      </c>
      <c r="BZ29" s="13">
        <f>BY29*VLOOKUP('Données projet'!$B$12,Paramètres!$A$1:$I$89,3,0)*VLOOKUP('Données projet'!$B$12,Paramètres!$A$1:$I$89,5,0)</f>
        <v>46.566799576907343</v>
      </c>
      <c r="CA29" s="13">
        <f t="shared" si="39"/>
        <v>13.723483481832947</v>
      </c>
      <c r="CB29" s="20">
        <f t="shared" si="10"/>
        <v>105.005576327306</v>
      </c>
      <c r="CC29" s="59">
        <f t="shared" si="11"/>
        <v>393.45002077175047</v>
      </c>
      <c r="CD29" s="59">
        <f ca="1">AVERAGE(OFFSET($CC$3,0,0,'Données projet'!$E$12+1,1))-AVERAGE(OFFSET($H$3,0,0,'Données projet'!$E$12+1,1))</f>
        <v>695.0879239758051</v>
      </c>
      <c r="CE29" s="59">
        <f t="shared" si="40"/>
        <v>226.22150997227476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5.0894117647058819</v>
      </c>
      <c r="CT29" s="12">
        <f>IF('Données projet'!$A$140&gt;35,CT28+CS29-DB28,IF(A29&lt;'Données projet'!$A$140,$CQ$205^A29,IF(A29='Données projet'!$A$140,'Données projet'!$B$140,CT28+CS29-DB28)))</f>
        <v>51.466400947068237</v>
      </c>
      <c r="CU29" s="17">
        <f>CT29*VLOOKUP('Données projet'!$B$13,Paramètres!$A$1:$I$89,3,0)*VLOOKUP('Données projet'!$B$13,Paramètres!$A$1:$I$89,5,0)</f>
        <v>52.186930560327198</v>
      </c>
      <c r="CV29" s="13">
        <f t="shared" si="41"/>
        <v>15.177129183332692</v>
      </c>
      <c r="CW29" s="20">
        <f t="shared" si="13"/>
        <v>117.32573738687431</v>
      </c>
      <c r="CX29" s="59">
        <f t="shared" si="14"/>
        <v>405.77018183131878</v>
      </c>
      <c r="CY29" s="59">
        <f ca="1">AVERAGE(OFFSET($CX$3,0,0,'Données projet'!$E$13+1,1))-AVERAGE(OFFSET($H$3,0,0,'Données projet'!$E$13+1,1))</f>
        <v>773.15074145293738</v>
      </c>
      <c r="CZ29" s="59">
        <f t="shared" si="42"/>
        <v>248.49577986312505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6.4429411764705877</v>
      </c>
      <c r="DO29" s="12">
        <f>IF('Données projet'!$A$166&gt;35,DO28+DN29-DW28,IF(A29&lt;'Données projet'!$A$166,$DL$205^A29,IF(A29='Données projet'!$A$166,'Données projet'!$B$166,DO28+DN29-DW28)))</f>
        <v>167.51647058823522</v>
      </c>
      <c r="DP29" s="17">
        <f>DO29*VLOOKUP('Données projet'!$B$14,Paramètres!$A$1:$I$89,3,0)*VLOOKUP('Données projet'!$B$14,Paramètres!$A$1:$I$89,5,0)</f>
        <v>78.39770823529409</v>
      </c>
      <c r="DQ29" s="13">
        <f t="shared" si="43"/>
        <v>21.744955350195998</v>
      </c>
      <c r="DR29" s="20">
        <f t="shared" si="16"/>
        <v>174.41513907806188</v>
      </c>
      <c r="DS29" s="59">
        <f t="shared" si="17"/>
        <v>462.85958352250634</v>
      </c>
      <c r="DT29" s="59">
        <f ca="1">AVERAGE(OFFSET($DS$3,0,0,'Données projet'!$E$14+1,1))-AVERAGE(OFFSET($H$3,0,0,'Données projet'!$E$14+1,1))</f>
        <v>293.15557501692803</v>
      </c>
      <c r="DU29" s="59">
        <f t="shared" si="44"/>
        <v>237.1930412773068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13.379999999999997</v>
      </c>
      <c r="EJ29" s="12">
        <f>IF('Données projet'!$A$192&gt;35,EJ28+EI29-ER28,IF(A29&lt;'Données projet'!$A$192,$EG$205^A29,IF(A29='Données projet'!$A$192,'Données projet'!$B$192,EJ28+EI29-ER28)))</f>
        <v>113.92999999999999</v>
      </c>
      <c r="EK29" s="17">
        <f>EJ29*VLOOKUP('Données projet'!$B$15,Paramètres!$A$1:$I$89,3,0)*VLOOKUP('Données projet'!$B$15,Paramètres!$A$1:$I$89,5,0)</f>
        <v>68.130140000000011</v>
      </c>
      <c r="EL29" s="13">
        <f t="shared" si="45"/>
        <v>19.208376244552774</v>
      </c>
      <c r="EM29" s="20">
        <f t="shared" si="19"/>
        <v>152.11458245926272</v>
      </c>
      <c r="EN29" s="59">
        <f t="shared" si="20"/>
        <v>440.55902690370715</v>
      </c>
      <c r="EO29" s="59">
        <f ca="1">AVERAGE(OFFSET($EN$3,0,0,'Données projet'!$E$15+1,1))-AVERAGE(OFFSET($H$3,0,0,'Données projet'!$E$15+1,1))</f>
        <v>225.86663363047296</v>
      </c>
      <c r="EP29" s="59">
        <f t="shared" si="46"/>
        <v>258.08349727304397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8.3458977699721384</v>
      </c>
      <c r="EX29" s="21">
        <f>EXP(-LN(2)/2)*EX28+(1-EXP(-LN(2)/2))/(LN(2)/2)*ER29*EU29*VLOOKUP('Données projet'!$B$15,Paramètres!$A$1:$I$89,3,0)*0.475*44/12</f>
        <v>8.3991143071878547</v>
      </c>
      <c r="EY29" s="22">
        <f t="shared" si="21"/>
        <v>16.745012077159991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24.998333333333338</v>
      </c>
      <c r="N30" s="13">
        <f>IF('Données projet'!$A$36&gt;35,N29+M30-V29,IF(A30&lt;'Données projet'!$A$36,$K$205^A30,IF(A30='Données projet'!$A$36,'Données projet'!$B$36,N29+M30-V29)))</f>
        <v>267.16833333333341</v>
      </c>
      <c r="O30" s="13">
        <f>N30*VLOOKUP('Données projet'!$B$9,Paramètres!$A$1:$I$89,3,0)*VLOOKUP('Données projet'!$B$9,Paramètres!$A$1:$I$89,5,0)</f>
        <v>159.76666333333338</v>
      </c>
      <c r="P30" s="13">
        <f t="shared" si="33"/>
        <v>40.789881200769877</v>
      </c>
      <c r="Q30" s="20">
        <f t="shared" si="2"/>
        <v>349.30264839689653</v>
      </c>
      <c r="R30" s="59">
        <f t="shared" si="0"/>
        <v>638.96931506356327</v>
      </c>
      <c r="S30" s="59">
        <f ca="1">AVERAGE(OFFSET($R$3,0,0,'Données projet'!$E$9+1,1))-AVERAGE(OFFSET($H$3,0,0,'Données projet'!$E$9+1,1))</f>
        <v>388.12151914648013</v>
      </c>
      <c r="T30" s="59">
        <f t="shared" si="34"/>
        <v>481.43684454382793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16.076259470826887</v>
      </c>
      <c r="AA30" s="21">
        <f>EXP(-LN(2)/25)*AA29+(1-EXP(-LN(2)/25))/(LN(2)/25)*Calculateur!V30*Calculateur!X30*VLOOKUP('Données projet'!$B$9,Paramètres!$A$1:$I$89,3,0)*0.475*44/12</f>
        <v>16.295290346413303</v>
      </c>
      <c r="AB30" s="21">
        <f>EXP(-LN(2)/2)*AB29+(1-EXP(-LN(2)/2))/(LN(2)/2)*V30*Y30*VLOOKUP('Données projet'!$B$9,Paramètres!$A$1:$I$89,3,0)*0.475*44/12</f>
        <v>6.8979543382191233</v>
      </c>
      <c r="AC30" s="22">
        <f t="shared" si="3"/>
        <v>39.269504155459316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155.85</v>
      </c>
      <c r="AG30" s="12">
        <f>VLOOKUP(A30,'Données projet'!$A$61:$I$81,9,0)</f>
        <v>15.782</v>
      </c>
      <c r="AH30" s="12">
        <f t="array" ref="AH30">INDEX(AG:AG,MIN(IF(ISNUMBER(AG30:AG226),ROW(AG30:AG226),"")))</f>
        <v>15.782</v>
      </c>
      <c r="AI30" s="13">
        <f>IF('Données projet'!$A$62&gt;35,AI29+AH30-AQ29,IF(A30&lt;'Données projet'!$A$62,$AF$205^A30,IF(A30='Données projet'!$A$62,'Données projet'!$B$62,AI29+AH30-AQ29)))</f>
        <v>155.85000000000002</v>
      </c>
      <c r="AJ30" s="13">
        <f>AI30*VLOOKUP('Données projet'!$B$10,Paramètres!$A$1:$I$89,3,0)*VLOOKUP('Données projet'!$B$10,Paramètres!$A$1:$I$89,5,0)</f>
        <v>93.198300000000032</v>
      </c>
      <c r="AK30" s="13">
        <f t="shared" si="35"/>
        <v>25.335003309876146</v>
      </c>
      <c r="AL30" s="20">
        <f t="shared" si="4"/>
        <v>206.44550326470099</v>
      </c>
      <c r="AM30" s="59">
        <f t="shared" si="5"/>
        <v>496.1121699313677</v>
      </c>
      <c r="AN30" s="59">
        <f ca="1">AVERAGE(OFFSET($AM$3,0,0,'Données projet'!$E$10+1,1))-AVERAGE(OFFSET($H$3,0,0,'Données projet'!$E$10+1,1))</f>
        <v>349.71285006949597</v>
      </c>
      <c r="AO30" s="59">
        <f t="shared" si="36"/>
        <v>258.51550516456842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37.929999999999993</v>
      </c>
      <c r="AR30" s="16">
        <f>IF(ISNA(VLOOKUP(A30,'Données projet'!$A$61:$I$81,5,0)),0%,VLOOKUP(A30,'Données projet'!$A$61:$I$81,5,0)*VLOOKUP('Données projet'!$B$10,Paramètres!$A$1:$I$89,7,0))</f>
        <v>0.1125</v>
      </c>
      <c r="AS30" s="16">
        <f>IF(ISNA(VLOOKUP(A30,'Données projet'!$A$61:$I$81,6,0)),0%,VLOOKUP(A30,'Données projet'!$A$61:$I$81,6,0)*VLOOKUP('Données projet'!$B$10,Paramètres!$A$1:$I$89,7,0))</f>
        <v>0.16650000000000001</v>
      </c>
      <c r="AT30" s="16">
        <f>IF(ISNA(VLOOKUP(A30,'Données projet'!$A$61:$I$81,7,0)),0%,VLOOKUP(A30,'Données projet'!$A$61:$I$81,7,0))</f>
        <v>0.38</v>
      </c>
      <c r="AU30" s="21">
        <f>EXP(-LN(2)/35)*AU29+(1-EXP(-LN(2)/35))/(LN(2)/35)*AQ30*AR30*VLOOKUP('Données projet'!$B$10,Paramètres!$A$1:$I$89,3,0)*0.475*44/12</f>
        <v>7.6383740951040968</v>
      </c>
      <c r="AV30" s="21">
        <f>EXP(-LN(2)/25)*AV29+(1-EXP(-LN(2)/25))/(LN(2)/25)*Calculateur!AQ30*Calculateur!AS30*VLOOKUP('Données projet'!$B$10,Paramètres!$A$1:$I$89,3,0)*0.475*44/12</f>
        <v>11.016786329451062</v>
      </c>
      <c r="AW30" s="21">
        <f>EXP(-LN(2)/2)*AW29+(1-EXP(-LN(2)/2))/(LN(2)/2)*AQ30*AT30*VLOOKUP('Données projet'!$B$10,Paramètres!$A$1:$I$89,3,0)*0.475*44/12</f>
        <v>12.152246238640709</v>
      </c>
      <c r="AX30" s="21">
        <f t="shared" si="6"/>
        <v>30.80740666319587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5.7692307692307692</v>
      </c>
      <c r="BD30" s="12">
        <f>IF('Données projet'!$A$88&gt;35,BD29+BC30-BL29,IF(A30&lt;'Données projet'!$A$88,$BA$205^A30,IF(A30='Données projet'!$A$88,'Données projet'!$B$88,BD29+BC30-BL29)))</f>
        <v>69.230769230769226</v>
      </c>
      <c r="BE30" s="13">
        <f>BD30*VLOOKUP('Données projet'!$B$11,Paramètres!$A$1:$I$89,3,0)*VLOOKUP('Données projet'!$B$11,Paramètres!$A$1:$I$89,5,0)</f>
        <v>72.36</v>
      </c>
      <c r="BF30" s="13">
        <f t="shared" si="37"/>
        <v>20.258392951825481</v>
      </c>
      <c r="BG30" s="20">
        <f t="shared" si="7"/>
        <v>161.31036772442937</v>
      </c>
      <c r="BH30" s="59">
        <f t="shared" si="8"/>
        <v>450.97703439109603</v>
      </c>
      <c r="BI30" s="59">
        <f ca="1">AVERAGE(OFFSET($BH$3,0,0,'Données projet'!$E$11+1,1))-AVERAGE(OFFSET($H$3,0,0,'Données projet'!$E$11+1,1))</f>
        <v>260.74709892624571</v>
      </c>
      <c r="BJ30" s="59">
        <f t="shared" si="38"/>
        <v>237.17381692184887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8.8074008890949376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8.8074008890949376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5.0894117647058819</v>
      </c>
      <c r="BY30" s="12">
        <f>IF('Données projet'!$A$114&gt;35,BY29+BX30-CG29,IF(A30&lt;'Données projet'!$A$114,$BV$205^A30,IF(A30='Données projet'!$A$114,'Données projet'!$B$114,BY29+BX30-CG29)))</f>
        <v>59.889631027676955</v>
      </c>
      <c r="BZ30" s="13">
        <f>BY30*VLOOKUP('Données projet'!$B$12,Paramètres!$A$1:$I$89,3,0)*VLOOKUP('Données projet'!$B$12,Paramètres!$A$1:$I$89,5,0)</f>
        <v>54.188138153842111</v>
      </c>
      <c r="CA30" s="13">
        <f t="shared" si="39"/>
        <v>15.690249222910433</v>
      </c>
      <c r="CB30" s="20">
        <f t="shared" si="10"/>
        <v>121.70485801451069</v>
      </c>
      <c r="CC30" s="59">
        <f t="shared" si="11"/>
        <v>411.37152468117739</v>
      </c>
      <c r="CD30" s="59">
        <f ca="1">AVERAGE(OFFSET($CC$3,0,0,'Données projet'!$E$12+1,1))-AVERAGE(OFFSET($H$3,0,0,'Données projet'!$E$12+1,1))</f>
        <v>695.0879239758051</v>
      </c>
      <c r="CE30" s="59">
        <f t="shared" si="40"/>
        <v>226.22150997227476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5.0894117647058819</v>
      </c>
      <c r="CT30" s="12">
        <f>IF('Données projet'!$A$140&gt;35,CT29+CS30-DB29,IF(A30&lt;'Données projet'!$A$140,$CQ$205^A30,IF(A30='Données projet'!$A$140,'Données projet'!$B$140,CT29+CS30-DB29)))</f>
        <v>59.889631027676955</v>
      </c>
      <c r="CU30" s="17">
        <f>CT30*VLOOKUP('Données projet'!$B$13,Paramètres!$A$1:$I$89,3,0)*VLOOKUP('Données projet'!$B$13,Paramètres!$A$1:$I$89,5,0)</f>
        <v>60.728085862064439</v>
      </c>
      <c r="CV30" s="13">
        <f t="shared" si="41"/>
        <v>17.352222538106727</v>
      </c>
      <c r="CW30" s="20">
        <f t="shared" si="13"/>
        <v>135.98987046363143</v>
      </c>
      <c r="CX30" s="59">
        <f t="shared" si="14"/>
        <v>425.65653713029815</v>
      </c>
      <c r="CY30" s="59">
        <f ca="1">AVERAGE(OFFSET($CX$3,0,0,'Données projet'!$E$13+1,1))-AVERAGE(OFFSET($H$3,0,0,'Données projet'!$E$13+1,1))</f>
        <v>773.15074145293738</v>
      </c>
      <c r="CZ30" s="59">
        <f t="shared" si="42"/>
        <v>248.49577986312505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6.4429411764705877</v>
      </c>
      <c r="DO30" s="12">
        <f>IF('Données projet'!$A$166&gt;35,DO29+DN30-DW29,IF(A30&lt;'Données projet'!$A$166,$DL$205^A30,IF(A30='Données projet'!$A$166,'Données projet'!$B$166,DO29+DN30-DW29)))</f>
        <v>173.95941176470581</v>
      </c>
      <c r="DP30" s="17">
        <f>DO30*VLOOKUP('Données projet'!$B$14,Paramètres!$A$1:$I$89,3,0)*VLOOKUP('Données projet'!$B$14,Paramètres!$A$1:$I$89,5,0)</f>
        <v>81.413004705882315</v>
      </c>
      <c r="DQ30" s="13">
        <f t="shared" si="43"/>
        <v>22.48231829064984</v>
      </c>
      <c r="DR30" s="20">
        <f t="shared" si="16"/>
        <v>180.95102088562683</v>
      </c>
      <c r="DS30" s="59">
        <f t="shared" si="17"/>
        <v>470.61768755229355</v>
      </c>
      <c r="DT30" s="59">
        <f ca="1">AVERAGE(OFFSET($DS$3,0,0,'Données projet'!$E$14+1,1))-AVERAGE(OFFSET($H$3,0,0,'Données projet'!$E$14+1,1))</f>
        <v>293.15557501692803</v>
      </c>
      <c r="DU30" s="59">
        <f t="shared" si="44"/>
        <v>237.1930412773068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13.379999999999997</v>
      </c>
      <c r="EJ30" s="12">
        <f>IF('Données projet'!$A$192&gt;35,EJ29+EI30-ER29,IF(A30&lt;'Données projet'!$A$192,$EG$205^A30,IF(A30='Données projet'!$A$192,'Données projet'!$B$192,EJ29+EI30-ER29)))</f>
        <v>127.30999999999999</v>
      </c>
      <c r="EK30" s="17">
        <f>EJ30*VLOOKUP('Données projet'!$B$15,Paramètres!$A$1:$I$89,3,0)*VLOOKUP('Données projet'!$B$15,Paramètres!$A$1:$I$89,5,0)</f>
        <v>76.131379999999993</v>
      </c>
      <c r="EL30" s="13">
        <f t="shared" si="45"/>
        <v>21.188575101613203</v>
      </c>
      <c r="EM30" s="20">
        <f t="shared" si="19"/>
        <v>169.49892180197631</v>
      </c>
      <c r="EN30" s="59">
        <f t="shared" si="20"/>
        <v>459.16558846864302</v>
      </c>
      <c r="EO30" s="59">
        <f ca="1">AVERAGE(OFFSET($EN$3,0,0,'Données projet'!$E$15+1,1))-AVERAGE(OFFSET($H$3,0,0,'Données projet'!$E$15+1,1))</f>
        <v>225.86663363047296</v>
      </c>
      <c r="EP30" s="59">
        <f t="shared" si="46"/>
        <v>258.08349727304397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8.1176787565605615</v>
      </c>
      <c r="EX30" s="21">
        <f>EXP(-LN(2)/2)*EX29+(1-EXP(-LN(2)/2))/(LN(2)/2)*ER30*EU30*VLOOKUP('Données projet'!$B$15,Paramètres!$A$1:$I$89,3,0)*0.475*44/12</f>
        <v>5.9390706825734831</v>
      </c>
      <c r="EY30" s="22">
        <f t="shared" si="21"/>
        <v>14.056749439134045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24.998333333333338</v>
      </c>
      <c r="N31" s="13">
        <f>IF('Données projet'!$A$36&gt;35,N30+M31-V30,IF(A31&lt;'Données projet'!$A$36,$K$205^A31,IF(A31='Données projet'!$A$36,'Données projet'!$B$36,N30+M31-V30)))</f>
        <v>292.16666666666674</v>
      </c>
      <c r="O31" s="13">
        <f>N31*VLOOKUP('Données projet'!$B$9,Paramètres!$A$1:$I$89,3,0)*VLOOKUP('Données projet'!$B$9,Paramètres!$A$1:$I$89,5,0)</f>
        <v>174.71566666666672</v>
      </c>
      <c r="P31" s="13">
        <f t="shared" si="33"/>
        <v>44.144488319820347</v>
      </c>
      <c r="Q31" s="20">
        <f t="shared" si="2"/>
        <v>381.18143660146501</v>
      </c>
      <c r="R31" s="59">
        <f t="shared" si="0"/>
        <v>672.07032549035387</v>
      </c>
      <c r="S31" s="59">
        <f ca="1">AVERAGE(OFFSET($R$3,0,0,'Données projet'!$E$9+1,1))-AVERAGE(OFFSET($H$3,0,0,'Données projet'!$E$9+1,1))</f>
        <v>388.12151914648013</v>
      </c>
      <c r="T31" s="59">
        <f t="shared" si="34"/>
        <v>481.43684454382793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15.761013828154031</v>
      </c>
      <c r="AA31" s="21">
        <f>EXP(-LN(2)/25)*AA30+(1-EXP(-LN(2)/25))/(LN(2)/25)*Calculateur!V31*Calculateur!X31*VLOOKUP('Données projet'!$B$9,Paramètres!$A$1:$I$89,3,0)*0.475*44/12</f>
        <v>15.849694774958555</v>
      </c>
      <c r="AB31" s="21">
        <f>EXP(-LN(2)/2)*AB30+(1-EXP(-LN(2)/2))/(LN(2)/2)*V31*Y31*VLOOKUP('Données projet'!$B$9,Paramètres!$A$1:$I$89,3,0)*0.475*44/12</f>
        <v>4.8775902888699063</v>
      </c>
      <c r="AC31" s="22">
        <f t="shared" si="3"/>
        <v>36.488298891982488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16.621666666666666</v>
      </c>
      <c r="AI31" s="13">
        <f>IF('Données projet'!$A$62&gt;35,AI30+AH31-AQ30,IF(A31&lt;'Données projet'!$A$62,$AF$205^A31,IF(A31='Données projet'!$A$62,'Données projet'!$B$62,AI30+AH31-AQ30)))</f>
        <v>134.54166666666669</v>
      </c>
      <c r="AJ31" s="13">
        <f>AI31*VLOOKUP('Données projet'!$B$10,Paramètres!$A$1:$I$89,3,0)*VLOOKUP('Données projet'!$B$10,Paramètres!$A$1:$I$89,5,0)</f>
        <v>80.455916666666681</v>
      </c>
      <c r="AK31" s="13">
        <f t="shared" si="35"/>
        <v>22.248621228387805</v>
      </c>
      <c r="AL31" s="20">
        <f t="shared" si="4"/>
        <v>178.8770701672199</v>
      </c>
      <c r="AM31" s="59">
        <f t="shared" si="5"/>
        <v>469.76595905610873</v>
      </c>
      <c r="AN31" s="59">
        <f ca="1">AVERAGE(OFFSET($AM$3,0,0,'Données projet'!$E$10+1,1))-AVERAGE(OFFSET($H$3,0,0,'Données projet'!$E$10+1,1))</f>
        <v>349.71285006949597</v>
      </c>
      <c r="AO31" s="59">
        <f t="shared" si="36"/>
        <v>258.51550516456842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7.4885902380472702</v>
      </c>
      <c r="AV31" s="21">
        <f>EXP(-LN(2)/25)*AV30+(1-EXP(-LN(2)/25))/(LN(2)/25)*Calculateur!AQ31*Calculateur!AS31*VLOOKUP('Données projet'!$B$10,Paramètres!$A$1:$I$89,3,0)*0.475*44/12</f>
        <v>10.715531727924608</v>
      </c>
      <c r="AW31" s="21">
        <f>EXP(-LN(2)/2)*AW30+(1-EXP(-LN(2)/2))/(LN(2)/2)*AQ31*AT31*VLOOKUP('Données projet'!$B$10,Paramètres!$A$1:$I$89,3,0)*0.475*44/12</f>
        <v>8.5929357219915623</v>
      </c>
      <c r="AX31" s="21">
        <f t="shared" si="6"/>
        <v>26.797057687963441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5.7692307692307692</v>
      </c>
      <c r="BD31" s="12">
        <f>IF('Données projet'!$A$88&gt;35,BD30+BC31-BL30,IF(A31&lt;'Données projet'!$A$88,$BA$205^A31,IF(A31='Données projet'!$A$88,'Données projet'!$B$88,BD30+BC31-BL30)))</f>
        <v>75</v>
      </c>
      <c r="BE31" s="13">
        <f>BD31*VLOOKUP('Données projet'!$B$11,Paramètres!$A$1:$I$89,3,0)*VLOOKUP('Données projet'!$B$11,Paramètres!$A$1:$I$89,5,0)</f>
        <v>78.39</v>
      </c>
      <c r="BF31" s="13">
        <f t="shared" si="37"/>
        <v>21.743066192079873</v>
      </c>
      <c r="BG31" s="20">
        <f t="shared" si="7"/>
        <v>174.3984236178724</v>
      </c>
      <c r="BH31" s="59">
        <f t="shared" si="8"/>
        <v>465.28731250676128</v>
      </c>
      <c r="BI31" s="59">
        <f ca="1">AVERAGE(OFFSET($BH$3,0,0,'Données projet'!$E$11+1,1))-AVERAGE(OFFSET($H$3,0,0,'Données projet'!$E$11+1,1))</f>
        <v>260.74709892624571</v>
      </c>
      <c r="BJ31" s="59">
        <f t="shared" si="38"/>
        <v>237.17381692184887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8.5665620486215541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8.5665620486215541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5.0894117647058819</v>
      </c>
      <c r="BY31" s="12">
        <f>IF('Données projet'!$A$114&gt;35,BY30+BX31-CG30,IF(A31&lt;'Données projet'!$A$114,$BV$205^A31,IF(A31='Données projet'!$A$114,'Données projet'!$B$114,BY30+BX31-CG30)))</f>
        <v>69.691446043024783</v>
      </c>
      <c r="BZ31" s="13">
        <f>BY31*VLOOKUP('Données projet'!$B$12,Paramètres!$A$1:$I$89,3,0)*VLOOKUP('Données projet'!$B$12,Paramètres!$A$1:$I$89,5,0)</f>
        <v>63.056820379728819</v>
      </c>
      <c r="CA31" s="13">
        <f t="shared" si="39"/>
        <v>17.938879804310467</v>
      </c>
      <c r="CB31" s="20">
        <f t="shared" si="10"/>
        <v>141.06751115386842</v>
      </c>
      <c r="CC31" s="59">
        <f t="shared" si="11"/>
        <v>431.95640004275731</v>
      </c>
      <c r="CD31" s="59">
        <f ca="1">AVERAGE(OFFSET($CC$3,0,0,'Données projet'!$E$12+1,1))-AVERAGE(OFFSET($H$3,0,0,'Données projet'!$E$12+1,1))</f>
        <v>695.0879239758051</v>
      </c>
      <c r="CE31" s="59">
        <f t="shared" si="40"/>
        <v>226.22150997227476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5.0894117647058819</v>
      </c>
      <c r="CT31" s="12">
        <f>IF('Données projet'!$A$140&gt;35,CT30+CS31-DB30,IF(A31&lt;'Données projet'!$A$140,$CQ$205^A31,IF(A31='Données projet'!$A$140,'Données projet'!$B$140,CT30+CS31-DB30)))</f>
        <v>69.691446043024783</v>
      </c>
      <c r="CU31" s="17">
        <f>CT31*VLOOKUP('Données projet'!$B$13,Paramètres!$A$1:$I$89,3,0)*VLOOKUP('Données projet'!$B$13,Paramètres!$A$1:$I$89,5,0)</f>
        <v>70.667126287627141</v>
      </c>
      <c r="CV31" s="13">
        <f t="shared" si="41"/>
        <v>19.839036972989753</v>
      </c>
      <c r="CW31" s="20">
        <f t="shared" si="13"/>
        <v>157.63156767890774</v>
      </c>
      <c r="CX31" s="59">
        <f t="shared" si="14"/>
        <v>448.5204565677966</v>
      </c>
      <c r="CY31" s="59">
        <f ca="1">AVERAGE(OFFSET($CX$3,0,0,'Données projet'!$E$13+1,1))-AVERAGE(OFFSET($H$3,0,0,'Données projet'!$E$13+1,1))</f>
        <v>773.15074145293738</v>
      </c>
      <c r="CZ31" s="59">
        <f t="shared" si="42"/>
        <v>248.49577986312505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6.4429411764705877</v>
      </c>
      <c r="DO31" s="12">
        <f>IF('Données projet'!$A$166&gt;35,DO30+DN31-DW30,IF(A31&lt;'Données projet'!$A$166,$DL$205^A31,IF(A31='Données projet'!$A$166,'Données projet'!$B$166,DO30+DN31-DW30)))</f>
        <v>180.40235294117639</v>
      </c>
      <c r="DP31" s="17">
        <f>DO31*VLOOKUP('Données projet'!$B$14,Paramètres!$A$1:$I$89,3,0)*VLOOKUP('Données projet'!$B$14,Paramètres!$A$1:$I$89,5,0)</f>
        <v>84.428301176470555</v>
      </c>
      <c r="DQ31" s="13">
        <f t="shared" si="43"/>
        <v>23.216508453707245</v>
      </c>
      <c r="DR31" s="20">
        <f t="shared" si="16"/>
        <v>187.48137677255966</v>
      </c>
      <c r="DS31" s="59">
        <f t="shared" si="17"/>
        <v>478.37026566144851</v>
      </c>
      <c r="DT31" s="59">
        <f ca="1">AVERAGE(OFFSET($DS$3,0,0,'Données projet'!$E$14+1,1))-AVERAGE(OFFSET($H$3,0,0,'Données projet'!$E$14+1,1))</f>
        <v>293.15557501692803</v>
      </c>
      <c r="DU31" s="59">
        <f t="shared" si="44"/>
        <v>237.1930412773068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13.379999999999997</v>
      </c>
      <c r="EJ31" s="12">
        <f>IF('Données projet'!$A$192&gt;35,EJ30+EI31-ER30,IF(A31&lt;'Données projet'!$A$192,$EG$205^A31,IF(A31='Données projet'!$A$192,'Données projet'!$B$192,EJ30+EI31-ER30)))</f>
        <v>140.69</v>
      </c>
      <c r="EK31" s="17">
        <f>EJ31*VLOOKUP('Données projet'!$B$15,Paramètres!$A$1:$I$89,3,0)*VLOOKUP('Données projet'!$B$15,Paramètres!$A$1:$I$89,5,0)</f>
        <v>84.132620000000003</v>
      </c>
      <c r="EL31" s="13">
        <f t="shared" si="45"/>
        <v>23.144650165495708</v>
      </c>
      <c r="EM31" s="20">
        <f t="shared" si="19"/>
        <v>186.84124553823835</v>
      </c>
      <c r="EN31" s="59">
        <f t="shared" si="20"/>
        <v>477.73013442712721</v>
      </c>
      <c r="EO31" s="59">
        <f ca="1">AVERAGE(OFFSET($EN$3,0,0,'Données projet'!$E$15+1,1))-AVERAGE(OFFSET($H$3,0,0,'Données projet'!$E$15+1,1))</f>
        <v>225.86663363047296</v>
      </c>
      <c r="EP31" s="59">
        <f t="shared" si="46"/>
        <v>258.08349727304397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7.8957004040722403</v>
      </c>
      <c r="EX31" s="21">
        <f>EXP(-LN(2)/2)*EX30+(1-EXP(-LN(2)/2))/(LN(2)/2)*ER31*EU31*VLOOKUP('Données projet'!$B$15,Paramètres!$A$1:$I$89,3,0)*0.475*44/12</f>
        <v>4.1995571535939273</v>
      </c>
      <c r="EY31" s="22">
        <f t="shared" si="21"/>
        <v>12.095257557666168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24.998333333333338</v>
      </c>
      <c r="N32" s="13">
        <f>IF('Données projet'!$A$36&gt;35,N31+M32-V31,IF(A32&lt;'Données projet'!$A$36,$K$205^A32,IF(A32='Données projet'!$A$36,'Données projet'!$B$36,N31+M32-V31)))</f>
        <v>317.16500000000008</v>
      </c>
      <c r="O32" s="13">
        <f>N32*VLOOKUP('Données projet'!$B$9,Paramètres!$A$1:$I$89,3,0)*VLOOKUP('Données projet'!$B$9,Paramètres!$A$1:$I$89,5,0)</f>
        <v>189.66467000000006</v>
      </c>
      <c r="P32" s="13">
        <f t="shared" si="33"/>
        <v>47.465808529218805</v>
      </c>
      <c r="Q32" s="20">
        <f t="shared" si="2"/>
        <v>413.00225010505613</v>
      </c>
      <c r="R32" s="59">
        <f t="shared" si="0"/>
        <v>705.11336121616728</v>
      </c>
      <c r="S32" s="59">
        <f ca="1">AVERAGE(OFFSET($R$3,0,0,'Données projet'!$E$9+1,1))-AVERAGE(OFFSET($H$3,0,0,'Données projet'!$E$9+1,1))</f>
        <v>388.12151914648013</v>
      </c>
      <c r="T32" s="59">
        <f t="shared" si="34"/>
        <v>481.43684454382793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15.451949960253135</v>
      </c>
      <c r="AA32" s="21">
        <f>EXP(-LN(2)/25)*AA31+(1-EXP(-LN(2)/25))/(LN(2)/25)*Calculateur!V32*Calculateur!X32*VLOOKUP('Données projet'!$B$9,Paramètres!$A$1:$I$89,3,0)*0.475*44/12</f>
        <v>15.416284037838091</v>
      </c>
      <c r="AB32" s="21">
        <f>EXP(-LN(2)/2)*AB31+(1-EXP(-LN(2)/2))/(LN(2)/2)*V32*Y32*VLOOKUP('Données projet'!$B$9,Paramètres!$A$1:$I$89,3,0)*0.475*44/12</f>
        <v>3.4489771691095621</v>
      </c>
      <c r="AC32" s="22">
        <f t="shared" si="3"/>
        <v>34.317211167200789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16.621666666666666</v>
      </c>
      <c r="AI32" s="13">
        <f>IF('Données projet'!$A$62&gt;35,AI31+AH32-AQ31,IF(A32&lt;'Données projet'!$A$62,$AF$205^A32,IF(A32='Données projet'!$A$62,'Données projet'!$B$62,AI31+AH32-AQ31)))</f>
        <v>151.16333333333336</v>
      </c>
      <c r="AJ32" s="13">
        <f>AI32*VLOOKUP('Données projet'!$B$10,Paramètres!$A$1:$I$89,3,0)*VLOOKUP('Données projet'!$B$10,Paramètres!$A$1:$I$89,5,0)</f>
        <v>90.395673333333363</v>
      </c>
      <c r="AK32" s="13">
        <f t="shared" si="35"/>
        <v>24.660627497212822</v>
      </c>
      <c r="AL32" s="20">
        <f t="shared" si="4"/>
        <v>200.38972394653459</v>
      </c>
      <c r="AM32" s="59">
        <f t="shared" si="5"/>
        <v>492.50083505764576</v>
      </c>
      <c r="AN32" s="59">
        <f ca="1">AVERAGE(OFFSET($AM$3,0,0,'Données projet'!$E$10+1,1))-AVERAGE(OFFSET($H$3,0,0,'Données projet'!$E$10+1,1))</f>
        <v>349.71285006949597</v>
      </c>
      <c r="AO32" s="59">
        <f t="shared" si="36"/>
        <v>258.51550516456842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7.3417435510681965</v>
      </c>
      <c r="AV32" s="21">
        <f>EXP(-LN(2)/25)*AV31+(1-EXP(-LN(2)/25))/(LN(2)/25)*Calculateur!AQ32*Calculateur!AS32*VLOOKUP('Données projet'!$B$10,Paramètres!$A$1:$I$89,3,0)*0.475*44/12</f>
        <v>10.422514949319186</v>
      </c>
      <c r="AW32" s="21">
        <f>EXP(-LN(2)/2)*AW31+(1-EXP(-LN(2)/2))/(LN(2)/2)*AQ32*AT32*VLOOKUP('Données projet'!$B$10,Paramètres!$A$1:$I$89,3,0)*0.475*44/12</f>
        <v>6.0761231193203562</v>
      </c>
      <c r="AX32" s="21">
        <f t="shared" si="6"/>
        <v>23.840381619707742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5.7692307692307692</v>
      </c>
      <c r="BD32" s="12">
        <f>IF('Données projet'!$A$88&gt;35,BD31+BC32-BL31,IF(A32&lt;'Données projet'!$A$88,$BA$205^A32,IF(A32='Données projet'!$A$88,'Données projet'!$B$88,BD31+BC32-BL31)))</f>
        <v>80.769230769230774</v>
      </c>
      <c r="BE32" s="13">
        <f>BD32*VLOOKUP('Données projet'!$B$11,Paramètres!$A$1:$I$89,3,0)*VLOOKUP('Données projet'!$B$11,Paramètres!$A$1:$I$89,5,0)</f>
        <v>84.420000000000016</v>
      </c>
      <c r="BF32" s="13">
        <f t="shared" si="37"/>
        <v>23.214491450008364</v>
      </c>
      <c r="BG32" s="20">
        <f t="shared" si="7"/>
        <v>187.46340594209792</v>
      </c>
      <c r="BH32" s="59">
        <f t="shared" si="8"/>
        <v>479.57451705320909</v>
      </c>
      <c r="BI32" s="59">
        <f ca="1">AVERAGE(OFFSET($BH$3,0,0,'Données projet'!$E$11+1,1))-AVERAGE(OFFSET($H$3,0,0,'Données projet'!$E$11+1,1))</f>
        <v>260.74709892624571</v>
      </c>
      <c r="BJ32" s="59">
        <f t="shared" si="38"/>
        <v>237.17381692184887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8.3323089589060793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8.3323089589060793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5.0894117647058819</v>
      </c>
      <c r="BY32" s="12">
        <f>IF('Données projet'!$A$114&gt;35,BY31+BX32-CG31,IF(A32&lt;'Données projet'!$A$114,$BV$205^A32,IF(A32='Données projet'!$A$114,'Données projet'!$B$114,BY31+BX32-CG31)))</f>
        <v>81.097471602777176</v>
      </c>
      <c r="BZ32" s="13">
        <f>BY32*VLOOKUP('Données projet'!$B$12,Paramètres!$A$1:$I$89,3,0)*VLOOKUP('Données projet'!$B$12,Paramètres!$A$1:$I$89,5,0)</f>
        <v>73.37699230619279</v>
      </c>
      <c r="CA32" s="13">
        <f t="shared" si="39"/>
        <v>20.509770371499922</v>
      </c>
      <c r="CB32" s="20">
        <f t="shared" si="10"/>
        <v>163.51944499698146</v>
      </c>
      <c r="CC32" s="59">
        <f t="shared" si="11"/>
        <v>455.63055610809261</v>
      </c>
      <c r="CD32" s="59">
        <f ca="1">AVERAGE(OFFSET($CC$3,0,0,'Données projet'!$E$12+1,1))-AVERAGE(OFFSET($H$3,0,0,'Données projet'!$E$12+1,1))</f>
        <v>695.0879239758051</v>
      </c>
      <c r="CE32" s="59">
        <f t="shared" si="40"/>
        <v>226.22150997227476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5.0894117647058819</v>
      </c>
      <c r="CT32" s="12">
        <f>IF('Données projet'!$A$140&gt;35,CT31+CS32-DB31,IF(A32&lt;'Données projet'!$A$140,$CQ$205^A32,IF(A32='Données projet'!$A$140,'Données projet'!$B$140,CT31+CS32-DB31)))</f>
        <v>81.097471602777176</v>
      </c>
      <c r="CU32" s="17">
        <f>CT32*VLOOKUP('Données projet'!$B$13,Paramètres!$A$1:$I$89,3,0)*VLOOKUP('Données projet'!$B$13,Paramètres!$A$1:$I$89,5,0)</f>
        <v>82.23283620521606</v>
      </c>
      <c r="CV32" s="13">
        <f t="shared" si="41"/>
        <v>22.682246447180358</v>
      </c>
      <c r="CW32" s="20">
        <f t="shared" si="13"/>
        <v>182.72710228625712</v>
      </c>
      <c r="CX32" s="59">
        <f t="shared" si="14"/>
        <v>474.83821339736824</v>
      </c>
      <c r="CY32" s="59">
        <f ca="1">AVERAGE(OFFSET($CX$3,0,0,'Données projet'!$E$13+1,1))-AVERAGE(OFFSET($H$3,0,0,'Données projet'!$E$13+1,1))</f>
        <v>773.15074145293738</v>
      </c>
      <c r="CZ32" s="59">
        <f t="shared" si="42"/>
        <v>248.49577986312505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6.4429411764705877</v>
      </c>
      <c r="DO32" s="12">
        <f>IF('Données projet'!$A$166&gt;35,DO31+DN32-DW31,IF(A32&lt;'Données projet'!$A$166,$DL$205^A32,IF(A32='Données projet'!$A$166,'Données projet'!$B$166,DO31+DN32-DW31)))</f>
        <v>186.84529411764697</v>
      </c>
      <c r="DP32" s="17">
        <f>DO32*VLOOKUP('Données projet'!$B$14,Paramètres!$A$1:$I$89,3,0)*VLOOKUP('Données projet'!$B$14,Paramètres!$A$1:$I$89,5,0)</f>
        <v>87.443597647058795</v>
      </c>
      <c r="DQ32" s="13">
        <f t="shared" si="43"/>
        <v>23.947652134550808</v>
      </c>
      <c r="DR32" s="20">
        <f t="shared" si="16"/>
        <v>194.00642670297006</v>
      </c>
      <c r="DS32" s="59">
        <f t="shared" si="17"/>
        <v>486.11753781408117</v>
      </c>
      <c r="DT32" s="59">
        <f ca="1">AVERAGE(OFFSET($DS$3,0,0,'Données projet'!$E$14+1,1))-AVERAGE(OFFSET($H$3,0,0,'Données projet'!$E$14+1,1))</f>
        <v>293.15557501692803</v>
      </c>
      <c r="DU32" s="59">
        <f t="shared" si="44"/>
        <v>237.1930412773068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13.379999999999997</v>
      </c>
      <c r="EJ32" s="12">
        <f>IF('Données projet'!$A$192&gt;35,EJ31+EI32-ER31,IF(A32&lt;'Données projet'!$A$192,$EG$205^A32,IF(A32='Données projet'!$A$192,'Données projet'!$B$192,EJ31+EI32-ER31)))</f>
        <v>154.07</v>
      </c>
      <c r="EK32" s="17">
        <f>EJ32*VLOOKUP('Données projet'!$B$15,Paramètres!$A$1:$I$89,3,0)*VLOOKUP('Données projet'!$B$15,Paramètres!$A$1:$I$89,5,0)</f>
        <v>92.133860000000013</v>
      </c>
      <c r="EL32" s="13">
        <f t="shared" si="45"/>
        <v>25.07915668715065</v>
      </c>
      <c r="EM32" s="20">
        <f t="shared" si="19"/>
        <v>204.14600406345403</v>
      </c>
      <c r="EN32" s="59">
        <f t="shared" si="20"/>
        <v>496.25711517456517</v>
      </c>
      <c r="EO32" s="59">
        <f ca="1">AVERAGE(OFFSET($EN$3,0,0,'Données projet'!$E$15+1,1))-AVERAGE(OFFSET($H$3,0,0,'Données projet'!$E$15+1,1))</f>
        <v>225.86663363047296</v>
      </c>
      <c r="EP32" s="59">
        <f t="shared" si="46"/>
        <v>258.08349727304397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7.6797920613060464</v>
      </c>
      <c r="EX32" s="21">
        <f>EXP(-LN(2)/2)*EX31+(1-EXP(-LN(2)/2))/(LN(2)/2)*ER32*EU32*VLOOKUP('Données projet'!$B$15,Paramètres!$A$1:$I$89,3,0)*0.475*44/12</f>
        <v>2.9695353412867416</v>
      </c>
      <c r="EY32" s="22">
        <f t="shared" si="21"/>
        <v>10.649327402592789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24.998333333333338</v>
      </c>
      <c r="N33" s="13">
        <f>IF('Données projet'!$A$36&gt;35,N32+M33-V32,IF(A33&lt;'Données projet'!$A$36,$K$205^A33,IF(A33='Données projet'!$A$36,'Données projet'!$B$36,N32+M33-V32)))</f>
        <v>342.16333333333341</v>
      </c>
      <c r="O33" s="13">
        <f>N33*VLOOKUP('Données projet'!$B$9,Paramètres!$A$1:$I$89,3,0)*VLOOKUP('Données projet'!$B$9,Paramètres!$A$1:$I$89,5,0)</f>
        <v>204.6136733333334</v>
      </c>
      <c r="P33" s="13">
        <f t="shared" si="33"/>
        <v>50.756763725323886</v>
      </c>
      <c r="Q33" s="20">
        <f t="shared" si="2"/>
        <v>444.77017787716136</v>
      </c>
      <c r="R33" s="59">
        <f t="shared" si="0"/>
        <v>738.10351121049462</v>
      </c>
      <c r="S33" s="59">
        <f ca="1">AVERAGE(OFFSET($R$3,0,0,'Données projet'!$E$9+1,1))-AVERAGE(OFFSET($H$3,0,0,'Données projet'!$E$9+1,1))</f>
        <v>388.12151914648013</v>
      </c>
      <c r="T33" s="59">
        <f t="shared" si="34"/>
        <v>481.43684454382793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15.14894664629143</v>
      </c>
      <c r="AA33" s="21">
        <f>EXP(-LN(2)/25)*AA32+(1-EXP(-LN(2)/25))/(LN(2)/25)*Calculateur!V33*Calculateur!X33*VLOOKUP('Données projet'!$B$9,Paramètres!$A$1:$I$89,3,0)*0.475*44/12</f>
        <v>14.994724940116265</v>
      </c>
      <c r="AB33" s="21">
        <f>EXP(-LN(2)/2)*AB32+(1-EXP(-LN(2)/2))/(LN(2)/2)*V33*Y33*VLOOKUP('Données projet'!$B$9,Paramètres!$A$1:$I$89,3,0)*0.475*44/12</f>
        <v>2.4387951444349536</v>
      </c>
      <c r="AC33" s="22">
        <f t="shared" si="3"/>
        <v>32.582466730842647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16.621666666666666</v>
      </c>
      <c r="AI33" s="13">
        <f>IF('Données projet'!$A$62&gt;35,AI32+AH33-AQ32,IF(A33&lt;'Données projet'!$A$62,$AF$205^A33,IF(A33='Données projet'!$A$62,'Données projet'!$B$62,AI32+AH33-AQ32)))</f>
        <v>167.78500000000003</v>
      </c>
      <c r="AJ33" s="13">
        <f>AI33*VLOOKUP('Données projet'!$B$10,Paramètres!$A$1:$I$89,3,0)*VLOOKUP('Données projet'!$B$10,Paramètres!$A$1:$I$89,5,0)</f>
        <v>100.33543000000002</v>
      </c>
      <c r="AK33" s="13">
        <f t="shared" si="35"/>
        <v>27.041893539465132</v>
      </c>
      <c r="AL33" s="20">
        <f t="shared" si="4"/>
        <v>221.84883849790182</v>
      </c>
      <c r="AM33" s="59">
        <f t="shared" si="5"/>
        <v>515.18217183123511</v>
      </c>
      <c r="AN33" s="59">
        <f ca="1">AVERAGE(OFFSET($AM$3,0,0,'Données projet'!$E$10+1,1))-AVERAGE(OFFSET($H$3,0,0,'Données projet'!$E$10+1,1))</f>
        <v>349.71285006949597</v>
      </c>
      <c r="AO33" s="59">
        <f t="shared" si="36"/>
        <v>258.51550516456842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7.1977764380531477</v>
      </c>
      <c r="AV33" s="21">
        <f>EXP(-LN(2)/25)*AV32+(1-EXP(-LN(2)/25))/(LN(2)/25)*Calculateur!AQ33*Calculateur!AS33*VLOOKUP('Données projet'!$B$10,Paramètres!$A$1:$I$89,3,0)*0.475*44/12</f>
        <v>10.137510729933814</v>
      </c>
      <c r="AW33" s="21">
        <f>EXP(-LN(2)/2)*AW32+(1-EXP(-LN(2)/2))/(LN(2)/2)*AQ33*AT33*VLOOKUP('Données projet'!$B$10,Paramètres!$A$1:$I$89,3,0)*0.475*44/12</f>
        <v>4.296467860995782</v>
      </c>
      <c r="AX33" s="21">
        <f t="shared" si="6"/>
        <v>21.631755028982745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86.538461538461533</v>
      </c>
      <c r="BB33" s="12">
        <f>VLOOKUP(A33,'Données projet'!$A$87:$I$107,9,0)</f>
        <v>5.7692307692307692</v>
      </c>
      <c r="BC33" s="12">
        <f t="array" ref="BC33">INDEX(BB:BB,MIN(IF(ISNUMBER(BB33:BB229),ROW(BB33:BB229),"")))</f>
        <v>5.7692307692307692</v>
      </c>
      <c r="BD33" s="12">
        <f>IF('Données projet'!$A$88&gt;35,BD32+BC33-BL32,IF(A33&lt;'Données projet'!$A$88,$BA$205^A33,IF(A33='Données projet'!$A$88,'Données projet'!$B$88,BD32+BC33-BL32)))</f>
        <v>86.538461538461547</v>
      </c>
      <c r="BE33" s="13">
        <f>BD33*VLOOKUP('Données projet'!$B$11,Paramètres!$A$1:$I$89,3,0)*VLOOKUP('Données projet'!$B$11,Paramètres!$A$1:$I$89,5,0)</f>
        <v>90.450000000000017</v>
      </c>
      <c r="BF33" s="13">
        <f t="shared" si="37"/>
        <v>24.673722634554377</v>
      </c>
      <c r="BG33" s="20">
        <f t="shared" si="7"/>
        <v>200.50715025518221</v>
      </c>
      <c r="BH33" s="59">
        <f t="shared" si="8"/>
        <v>493.84048358851555</v>
      </c>
      <c r="BI33" s="59">
        <f ca="1">AVERAGE(OFFSET($BH$3,0,0,'Données projet'!$E$11+1,1))-AVERAGE(OFFSET($H$3,0,0,'Données projet'!$E$11+1,1))</f>
        <v>260.74709892624571</v>
      </c>
      <c r="BJ33" s="59">
        <f t="shared" si="38"/>
        <v>237.17381692184887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15.384615384615383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11.911245718780661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11.911245718780661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5.0894117647058819</v>
      </c>
      <c r="BY33" s="12">
        <f>IF('Données projet'!$A$114&gt;35,BY32+BX33-CG32,IF(A33&lt;'Données projet'!$A$114,$BV$205^A33,IF(A33='Données projet'!$A$114,'Données projet'!$B$114,BY32+BX33-CG32)))</f>
        <v>94.370260251207753</v>
      </c>
      <c r="BZ33" s="13">
        <f>BY33*VLOOKUP('Données projet'!$B$12,Paramètres!$A$1:$I$89,3,0)*VLOOKUP('Données projet'!$B$12,Paramètres!$A$1:$I$89,5,0)</f>
        <v>85.386211475292768</v>
      </c>
      <c r="CA33" s="13">
        <f t="shared" si="39"/>
        <v>23.449105255199921</v>
      </c>
      <c r="CB33" s="20">
        <f t="shared" si="10"/>
        <v>189.5548433056081</v>
      </c>
      <c r="CC33" s="59">
        <f t="shared" si="11"/>
        <v>482.88817663894145</v>
      </c>
      <c r="CD33" s="59">
        <f ca="1">AVERAGE(OFFSET($CC$3,0,0,'Données projet'!$E$12+1,1))-AVERAGE(OFFSET($H$3,0,0,'Données projet'!$E$12+1,1))</f>
        <v>695.0879239758051</v>
      </c>
      <c r="CE33" s="59">
        <f t="shared" si="40"/>
        <v>226.22150997227476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5.0894117647058819</v>
      </c>
      <c r="CT33" s="12">
        <f>IF('Données projet'!$A$140&gt;35,CT32+CS33-DB32,IF(A33&lt;'Données projet'!$A$140,$CQ$205^A33,IF(A33='Données projet'!$A$140,'Données projet'!$B$140,CT32+CS33-DB32)))</f>
        <v>94.370260251207753</v>
      </c>
      <c r="CU33" s="17">
        <f>CT33*VLOOKUP('Données projet'!$B$13,Paramètres!$A$1:$I$89,3,0)*VLOOKUP('Données projet'!$B$13,Paramètres!$A$1:$I$89,5,0)</f>
        <v>95.691443894724671</v>
      </c>
      <c r="CV33" s="13">
        <f t="shared" si="41"/>
        <v>25.932927318552881</v>
      </c>
      <c r="CW33" s="20">
        <f t="shared" si="13"/>
        <v>211.82911319645839</v>
      </c>
      <c r="CX33" s="59">
        <f t="shared" si="14"/>
        <v>505.16244652979174</v>
      </c>
      <c r="CY33" s="59">
        <f ca="1">AVERAGE(OFFSET($CX$3,0,0,'Données projet'!$E$13+1,1))-AVERAGE(OFFSET($H$3,0,0,'Données projet'!$E$13+1,1))</f>
        <v>773.15074145293738</v>
      </c>
      <c r="CZ33" s="59">
        <f t="shared" si="42"/>
        <v>248.49577986312505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6.4429411764705877</v>
      </c>
      <c r="DO33" s="12">
        <f>IF('Données projet'!$A$166&gt;35,DO32+DN33-DW32,IF(A33&lt;'Données projet'!$A$166,$DL$205^A33,IF(A33='Données projet'!$A$166,'Données projet'!$B$166,DO32+DN33-DW32)))</f>
        <v>193.28823529411756</v>
      </c>
      <c r="DP33" s="17">
        <f>DO33*VLOOKUP('Données projet'!$B$14,Paramètres!$A$1:$I$89,3,0)*VLOOKUP('Données projet'!$B$14,Paramètres!$A$1:$I$89,5,0)</f>
        <v>90.45889411764702</v>
      </c>
      <c r="DQ33" s="13">
        <f t="shared" si="43"/>
        <v>24.67586642434733</v>
      </c>
      <c r="DR33" s="20">
        <f t="shared" si="16"/>
        <v>200.52637461064015</v>
      </c>
      <c r="DS33" s="59">
        <f t="shared" si="17"/>
        <v>493.85970794397349</v>
      </c>
      <c r="DT33" s="59">
        <f ca="1">AVERAGE(OFFSET($DS$3,0,0,'Données projet'!$E$14+1,1))-AVERAGE(OFFSET($H$3,0,0,'Données projet'!$E$14+1,1))</f>
        <v>293.15557501692803</v>
      </c>
      <c r="DU33" s="59">
        <f t="shared" si="44"/>
        <v>237.1930412773068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167.45</v>
      </c>
      <c r="EH33" s="12">
        <f>VLOOKUP(A33,'Données projet'!$A$191:$I$211,9,0)</f>
        <v>13.379999999999997</v>
      </c>
      <c r="EI33" s="12">
        <f t="array" ref="EI33">INDEX(EH:EH,MIN(IF(ISNUMBER(EH33:EH229),ROW(EH33:EH229),"")))</f>
        <v>13.379999999999997</v>
      </c>
      <c r="EJ33" s="12">
        <f>IF('Données projet'!$A$192&gt;35,EJ32+EI33-ER32,IF(A33&lt;'Données projet'!$A$192,$EG$205^A33,IF(A33='Données projet'!$A$192,'Données projet'!$B$192,EJ32+EI33-ER32)))</f>
        <v>167.45</v>
      </c>
      <c r="EK33" s="17">
        <f>EJ33*VLOOKUP('Données projet'!$B$15,Paramètres!$A$1:$I$89,3,0)*VLOOKUP('Données projet'!$B$15,Paramètres!$A$1:$I$89,5,0)</f>
        <v>100.13510000000001</v>
      </c>
      <c r="EL33" s="13">
        <f t="shared" si="45"/>
        <v>26.994180730934367</v>
      </c>
      <c r="EM33" s="20">
        <f t="shared" si="19"/>
        <v>221.41683060637737</v>
      </c>
      <c r="EN33" s="59">
        <f t="shared" si="20"/>
        <v>514.75016393971066</v>
      </c>
      <c r="EO33" s="59">
        <f ca="1">AVERAGE(OFFSET($EN$3,0,0,'Données projet'!$E$15+1,1))-AVERAGE(OFFSET($H$3,0,0,'Données projet'!$E$15+1,1))</f>
        <v>225.86663363047296</v>
      </c>
      <c r="EP33" s="59">
        <f t="shared" si="46"/>
        <v>258.08349727304397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37.829999999999984</v>
      </c>
      <c r="ES33" s="16">
        <f>IF(ISNA(VLOOKUP(A33,'Données projet'!$A$191:$I$211,5,0)),0%,VLOOKUP(A33,'Données projet'!$A$191:$I$211,5,0)*VLOOKUP('Données projet'!$B$15,Paramètres!$A$1:$I$89,7,0))</f>
        <v>0.1125</v>
      </c>
      <c r="ET33" s="16">
        <f>IF(ISNA(VLOOKUP(A33,'Données projet'!$A$191:$I$211,6,0)),0%,VLOOKUP(A33,'Données projet'!$A$191:$I$211,6,0)*VLOOKUP('Données projet'!$B$15,Paramètres!$A$1:$I$89,7,0))</f>
        <v>0.16650000000000001</v>
      </c>
      <c r="EU33" s="16">
        <f>IF(ISNA(VLOOKUP(A33,'Données projet'!$A$191:$I$211,7,0)),0%,VLOOKUP(A33,'Données projet'!$A$191:$I$211,7,0))</f>
        <v>0.38</v>
      </c>
      <c r="EV33" s="21">
        <f>EXP(-LN(2)/35)*EV32+(1-EXP(-LN(2)/35))/(LN(2)/35)*ER33*ES33*VLOOKUP('Données projet'!$B$15,Paramètres!$A$1:$I$89,3,0)*0.475*44/12</f>
        <v>3.3761241160726634</v>
      </c>
      <c r="EW33" s="21">
        <f>EXP(-LN(2)/25)*EW32+(1-EXP(-LN(2)/25))/(LN(2)/25)*Calculateur!ER33*Calculateur!ET33*VLOOKUP('Données projet'!$B$15,Paramètres!$A$1:$I$89,3,0)*0.475*44/12</f>
        <v>12.446777666481765</v>
      </c>
      <c r="EX33" s="21">
        <f>EXP(-LN(2)/2)*EX32+(1-EXP(-LN(2)/2))/(LN(2)/2)*ER33*EU33*VLOOKUP('Données projet'!$B$15,Paramètres!$A$1:$I$89,3,0)*0.475*44/12</f>
        <v>11.833001294374409</v>
      </c>
      <c r="EY33" s="22">
        <f t="shared" si="21"/>
        <v>27.655903076928837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24.998333333333338</v>
      </c>
      <c r="N34" s="13">
        <f>IF('Données projet'!$A$36&gt;35,N33+M34-V33,IF(A34&lt;'Données projet'!$A$36,$K$205^A34,IF(A34='Données projet'!$A$36,'Données projet'!$B$36,N33+M34-V33)))</f>
        <v>367.16166666666675</v>
      </c>
      <c r="O34" s="13">
        <f>N34*VLOOKUP('Données projet'!$B$9,Paramètres!$A$1:$I$89,3,0)*VLOOKUP('Données projet'!$B$9,Paramètres!$A$1:$I$89,5,0)</f>
        <v>219.56267666666673</v>
      </c>
      <c r="P34" s="13">
        <f t="shared" si="33"/>
        <v>54.019824650159855</v>
      </c>
      <c r="Q34" s="20">
        <f t="shared" si="2"/>
        <v>476.48952312680632</v>
      </c>
      <c r="R34" s="59">
        <f t="shared" si="0"/>
        <v>769.82285646013963</v>
      </c>
      <c r="S34" s="59">
        <f ca="1">AVERAGE(OFFSET($R$3,0,0,'Données projet'!$E$9+1,1))-AVERAGE(OFFSET($H$3,0,0,'Données projet'!$E$9+1,1))</f>
        <v>388.12151914648013</v>
      </c>
      <c r="T34" s="59">
        <f t="shared" si="34"/>
        <v>481.43684454382793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14.85188504250274</v>
      </c>
      <c r="AA34" s="21">
        <f>EXP(-LN(2)/25)*AA33+(1-EXP(-LN(2)/25))/(LN(2)/25)*Calculateur!V34*Calculateur!X34*VLOOKUP('Données projet'!$B$9,Paramètres!$A$1:$I$89,3,0)*0.475*44/12</f>
        <v>14.584693398090472</v>
      </c>
      <c r="AB34" s="21">
        <f>EXP(-LN(2)/2)*AB33+(1-EXP(-LN(2)/2))/(LN(2)/2)*V34*Y34*VLOOKUP('Données projet'!$B$9,Paramètres!$A$1:$I$89,3,0)*0.475*44/12</f>
        <v>1.7244885845547815</v>
      </c>
      <c r="AC34" s="22">
        <f t="shared" si="3"/>
        <v>31.161067025147993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16.621666666666666</v>
      </c>
      <c r="AI34" s="13">
        <f>IF('Données projet'!$A$62&gt;35,AI33+AH34-AQ33,IF(A34&lt;'Données projet'!$A$62,$AF$205^A34,IF(A34='Données projet'!$A$62,'Données projet'!$B$62,AI33+AH34-AQ33)))</f>
        <v>184.40666666666669</v>
      </c>
      <c r="AJ34" s="13">
        <f>AI34*VLOOKUP('Données projet'!$B$10,Paramètres!$A$1:$I$89,3,0)*VLOOKUP('Données projet'!$B$10,Paramètres!$A$1:$I$89,5,0)</f>
        <v>110.27518666666668</v>
      </c>
      <c r="AK34" s="13">
        <f t="shared" si="35"/>
        <v>29.395811266319566</v>
      </c>
      <c r="AL34" s="20">
        <f t="shared" si="4"/>
        <v>243.26032139995104</v>
      </c>
      <c r="AM34" s="59">
        <f t="shared" si="5"/>
        <v>536.59365473328432</v>
      </c>
      <c r="AN34" s="59">
        <f ca="1">AVERAGE(OFFSET($AM$3,0,0,'Données projet'!$E$10+1,1))-AVERAGE(OFFSET($H$3,0,0,'Données projet'!$E$10+1,1))</f>
        <v>349.71285006949597</v>
      </c>
      <c r="AO34" s="59">
        <f t="shared" si="36"/>
        <v>258.51550516456842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7.0566324323130551</v>
      </c>
      <c r="AV34" s="21">
        <f>EXP(-LN(2)/25)*AV33+(1-EXP(-LN(2)/25))/(LN(2)/25)*Calculateur!AQ34*Calculateur!AS34*VLOOKUP('Données projet'!$B$10,Paramètres!$A$1:$I$89,3,0)*0.475*44/12</f>
        <v>9.860299965915253</v>
      </c>
      <c r="AW34" s="21">
        <f>EXP(-LN(2)/2)*AW33+(1-EXP(-LN(2)/2))/(LN(2)/2)*AQ34*AT34*VLOOKUP('Données projet'!$B$10,Paramètres!$A$1:$I$89,3,0)*0.475*44/12</f>
        <v>3.0380615596601785</v>
      </c>
      <c r="AX34" s="21">
        <f t="shared" si="6"/>
        <v>19.954993957888487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5.3846153846153868</v>
      </c>
      <c r="BD34" s="12">
        <f>IF('Données projet'!$A$88&gt;35,BD33+BC34-BL33,IF(A34&lt;'Données projet'!$A$88,$BA$205^A34,IF(A34='Données projet'!$A$88,'Données projet'!$B$88,BD33+BC34-BL33)))</f>
        <v>76.538461538461547</v>
      </c>
      <c r="BE34" s="13">
        <f>BD34*VLOOKUP('Données projet'!$B$11,Paramètres!$A$1:$I$89,3,0)*VLOOKUP('Données projet'!$B$11,Paramètres!$A$1:$I$89,5,0)</f>
        <v>79.998000000000019</v>
      </c>
      <c r="BF34" s="13">
        <f t="shared" si="37"/>
        <v>22.136695117552431</v>
      </c>
      <c r="BG34" s="20">
        <f t="shared" si="7"/>
        <v>177.88459399640385</v>
      </c>
      <c r="BH34" s="59">
        <f t="shared" si="8"/>
        <v>471.21792732973717</v>
      </c>
      <c r="BI34" s="59">
        <f ca="1">AVERAGE(OFFSET($BH$3,0,0,'Données projet'!$E$11+1,1))-AVERAGE(OFFSET($H$3,0,0,'Données projet'!$E$11+1,1))</f>
        <v>260.74709892624571</v>
      </c>
      <c r="BJ34" s="59">
        <f t="shared" si="38"/>
        <v>237.17381692184887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11.585532078215415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11.585532078215415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5.0894117647058819</v>
      </c>
      <c r="BY34" s="12">
        <f>IF('Données projet'!$A$114&gt;35,BY33+BX34-CG33,IF(A34&lt;'Données projet'!$A$114,$BV$205^A34,IF(A34='Données projet'!$A$114,'Données projet'!$B$114,BY33+BX34-CG33)))</f>
        <v>109.81533510072718</v>
      </c>
      <c r="BZ34" s="13">
        <f>BY34*VLOOKUP('Données projet'!$B$12,Paramètres!$A$1:$I$89,3,0)*VLOOKUP('Données projet'!$B$12,Paramètres!$A$1:$I$89,5,0)</f>
        <v>99.360915199137949</v>
      </c>
      <c r="CA34" s="13">
        <f t="shared" si="39"/>
        <v>26.809687642018758</v>
      </c>
      <c r="CB34" s="20">
        <f t="shared" si="10"/>
        <v>219.74713328168124</v>
      </c>
      <c r="CC34" s="59">
        <f t="shared" si="11"/>
        <v>513.08046661501453</v>
      </c>
      <c r="CD34" s="59">
        <f ca="1">AVERAGE(OFFSET($CC$3,0,0,'Données projet'!$E$12+1,1))-AVERAGE(OFFSET($H$3,0,0,'Données projet'!$E$12+1,1))</f>
        <v>695.0879239758051</v>
      </c>
      <c r="CE34" s="59">
        <f t="shared" si="40"/>
        <v>226.22150997227476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5.0894117647058819</v>
      </c>
      <c r="CT34" s="12">
        <f>IF('Données projet'!$A$140&gt;35,CT33+CS34-DB33,IF(A34&lt;'Données projet'!$A$140,$CQ$205^A34,IF(A34='Données projet'!$A$140,'Données projet'!$B$140,CT33+CS34-DB33)))</f>
        <v>109.81533510072718</v>
      </c>
      <c r="CU34" s="17">
        <f>CT34*VLOOKUP('Données projet'!$B$13,Paramètres!$A$1:$I$89,3,0)*VLOOKUP('Données projet'!$B$13,Paramètres!$A$1:$I$89,5,0)</f>
        <v>111.35274979213736</v>
      </c>
      <c r="CV34" s="13">
        <f t="shared" si="41"/>
        <v>29.649475896288337</v>
      </c>
      <c r="CW34" s="20">
        <f t="shared" si="13"/>
        <v>245.57887640734143</v>
      </c>
      <c r="CX34" s="59">
        <f t="shared" si="14"/>
        <v>538.91220974067471</v>
      </c>
      <c r="CY34" s="59">
        <f ca="1">AVERAGE(OFFSET($CX$3,0,0,'Données projet'!$E$13+1,1))-AVERAGE(OFFSET($H$3,0,0,'Données projet'!$E$13+1,1))</f>
        <v>773.15074145293738</v>
      </c>
      <c r="CZ34" s="59">
        <f t="shared" si="42"/>
        <v>248.49577986312505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6.4429411764705877</v>
      </c>
      <c r="DO34" s="12">
        <f>IF('Données projet'!$A$166&gt;35,DO33+DN34-DW33,IF(A34&lt;'Données projet'!$A$166,$DL$205^A34,IF(A34='Données projet'!$A$166,'Données projet'!$B$166,DO33+DN34-DW33)))</f>
        <v>199.73117647058814</v>
      </c>
      <c r="DP34" s="17">
        <f>DO34*VLOOKUP('Données projet'!$B$14,Paramètres!$A$1:$I$89,3,0)*VLOOKUP('Données projet'!$B$14,Paramètres!$A$1:$I$89,5,0)</f>
        <v>93.47419058823526</v>
      </c>
      <c r="DQ34" s="13">
        <f t="shared" si="43"/>
        <v>25.401260165231442</v>
      </c>
      <c r="DR34" s="20">
        <f t="shared" si="16"/>
        <v>207.04141006228784</v>
      </c>
      <c r="DS34" s="59">
        <f t="shared" si="17"/>
        <v>500.37474339562118</v>
      </c>
      <c r="DT34" s="59">
        <f ca="1">AVERAGE(OFFSET($DS$3,0,0,'Données projet'!$E$14+1,1))-AVERAGE(OFFSET($H$3,0,0,'Données projet'!$E$14+1,1))</f>
        <v>293.15557501692803</v>
      </c>
      <c r="DU34" s="59">
        <f t="shared" si="44"/>
        <v>237.1930412773068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13.357499999999998</v>
      </c>
      <c r="EJ34" s="12">
        <f>IF('Données projet'!$A$192&gt;35,EJ33+EI34-ER33,IF(A34&lt;'Données projet'!$A$192,$EG$205^A34,IF(A34='Données projet'!$A$192,'Données projet'!$B$192,EJ33+EI34-ER33)))</f>
        <v>142.97749999999999</v>
      </c>
      <c r="EK34" s="17">
        <f>EJ34*VLOOKUP('Données projet'!$B$15,Paramètres!$A$1:$I$89,3,0)*VLOOKUP('Données projet'!$B$15,Paramètres!$A$1:$I$89,5,0)</f>
        <v>85.500545000000002</v>
      </c>
      <c r="EL34" s="13">
        <f t="shared" si="45"/>
        <v>23.476847014641212</v>
      </c>
      <c r="EM34" s="20">
        <f t="shared" si="19"/>
        <v>189.80229109216677</v>
      </c>
      <c r="EN34" s="59">
        <f t="shared" si="20"/>
        <v>483.13562442550005</v>
      </c>
      <c r="EO34" s="59">
        <f ca="1">AVERAGE(OFFSET($EN$3,0,0,'Données projet'!$E$15+1,1))-AVERAGE(OFFSET($H$3,0,0,'Données projet'!$E$15+1,1))</f>
        <v>225.86663363047296</v>
      </c>
      <c r="EP34" s="59">
        <f t="shared" si="46"/>
        <v>258.08349727304397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3.3099203813888569</v>
      </c>
      <c r="EW34" s="21">
        <f>EXP(-LN(2)/25)*EW33+(1-EXP(-LN(2)/25))/(LN(2)/25)*Calculateur!ER34*Calculateur!ET34*VLOOKUP('Données projet'!$B$15,Paramètres!$A$1:$I$89,3,0)*0.475*44/12</f>
        <v>12.106419876644232</v>
      </c>
      <c r="EX34" s="21">
        <f>EXP(-LN(2)/2)*EX33+(1-EXP(-LN(2)/2))/(LN(2)/2)*ER34*EU34*VLOOKUP('Données projet'!$B$15,Paramètres!$A$1:$I$89,3,0)*0.475*44/12</f>
        <v>8.3671954570413387</v>
      </c>
      <c r="EY34" s="22">
        <f t="shared" si="21"/>
        <v>23.783535715074429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392.16</v>
      </c>
      <c r="L35" s="12">
        <f>VLOOKUP(A35,'Données projet'!$A$35:$I$55,9,0)</f>
        <v>24.998333333333338</v>
      </c>
      <c r="M35" s="12">
        <f t="array" ref="M35">INDEX(L:L,MIN(IF(ISNUMBER(L35:L231),ROW(L35:L231),"")))</f>
        <v>24.998333333333338</v>
      </c>
      <c r="N35" s="13">
        <f>IF('Données projet'!$A$36&gt;35,N34+M35-V34,IF(A35&lt;'Données projet'!$A$36,$K$205^A35,IF(A35='Données projet'!$A$36,'Données projet'!$B$36,N34+M35-V34)))</f>
        <v>392.16000000000008</v>
      </c>
      <c r="O35" s="13">
        <f>N35*VLOOKUP('Données projet'!$B$9,Paramètres!$A$1:$I$89,3,0)*VLOOKUP('Données projet'!$B$9,Paramètres!$A$1:$I$89,5,0)</f>
        <v>234.51168000000007</v>
      </c>
      <c r="P35" s="13">
        <f t="shared" si="33"/>
        <v>57.257106560949936</v>
      </c>
      <c r="Q35" s="20">
        <f t="shared" ref="Q35:Q66" si="53">(O35+P35)*0.475*44/12</f>
        <v>508.16396992698787</v>
      </c>
      <c r="R35" s="59">
        <f t="shared" si="0"/>
        <v>801.49730326032113</v>
      </c>
      <c r="S35" s="59">
        <f ca="1">AVERAGE(OFFSET($R$3,0,0,'Données projet'!$E$9+1,1))-AVERAGE(OFFSET($H$3,0,0,'Données projet'!$E$9+1,1))</f>
        <v>388.12151914648013</v>
      </c>
      <c r="T35" s="59">
        <f t="shared" si="34"/>
        <v>481.43684454382793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79.57000000000005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9.0000000000000011E-2</v>
      </c>
      <c r="Y35" s="16">
        <f>IF(ISNA(VLOOKUP(A35,'Données projet'!$A$35:$I$55,7,0)),0%,VLOOKUP(A35,'Données projet'!$A$35:$I$55,7,0))</f>
        <v>0.2</v>
      </c>
      <c r="Z35" s="21">
        <f>EXP(-LN(2)/35)*Z34+(1-EXP(-LN(2)/35))/(LN(2)/35)*V35*W35*VLOOKUP('Données projet'!$B$9,Paramètres!$A$1:$I$89,3,0)*0.475*44/12</f>
        <v>31.60351594189676</v>
      </c>
      <c r="AA35" s="21">
        <f>EXP(-LN(2)/25)*AA34+(1-EXP(-LN(2)/25))/(LN(2)/25)*Calculateur!V35*Calculateur!X35*VLOOKUP('Données projet'!$B$9,Paramètres!$A$1:$I$89,3,0)*0.475*44/12</f>
        <v>19.844461871442515</v>
      </c>
      <c r="AB35" s="21">
        <f>EXP(-LN(2)/2)*AB34+(1-EXP(-LN(2)/2))/(LN(2)/2)*V35*Y35*VLOOKUP('Données projet'!$B$9,Paramètres!$A$1:$I$89,3,0)*0.475*44/12</f>
        <v>11.994367752353517</v>
      </c>
      <c r="AC35" s="22">
        <f t="shared" si="3"/>
        <v>63.442345565692797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16.621666666666666</v>
      </c>
      <c r="AI35" s="13">
        <f>IF('Données projet'!$A$62&gt;35,AI34+AH35-AQ34,IF(A35&lt;'Données projet'!$A$62,$AF$205^A35,IF(A35='Données projet'!$A$62,'Données projet'!$B$62,AI34+AH35-AQ34)))</f>
        <v>201.02833333333336</v>
      </c>
      <c r="AJ35" s="13">
        <f>AI35*VLOOKUP('Données projet'!$B$10,Paramètres!$A$1:$I$89,3,0)*VLOOKUP('Données projet'!$B$10,Paramètres!$A$1:$I$89,5,0)</f>
        <v>120.21494333333335</v>
      </c>
      <c r="AK35" s="13">
        <f t="shared" si="35"/>
        <v>31.725126074196275</v>
      </c>
      <c r="AL35" s="20">
        <f t="shared" si="4"/>
        <v>264.62895421811407</v>
      </c>
      <c r="AM35" s="59">
        <f t="shared" si="5"/>
        <v>557.96228755144739</v>
      </c>
      <c r="AN35" s="59">
        <f ca="1">AVERAGE(OFFSET($AM$3,0,0,'Données projet'!$E$10+1,1))-AVERAGE(OFFSET($H$3,0,0,'Données projet'!$E$10+1,1))</f>
        <v>349.71285006949597</v>
      </c>
      <c r="AO35" s="59">
        <f t="shared" si="36"/>
        <v>258.51550516456842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6.9182561744361832</v>
      </c>
      <c r="AV35" s="21">
        <f>EXP(-LN(2)/25)*AV34+(1-EXP(-LN(2)/25))/(LN(2)/25)*Calculateur!AQ35*Calculateur!AS35*VLOOKUP('Données projet'!$B$10,Paramètres!$A$1:$I$89,3,0)*0.475*44/12</f>
        <v>9.5906695448166612</v>
      </c>
      <c r="AW35" s="21">
        <f>EXP(-LN(2)/2)*AW34+(1-EXP(-LN(2)/2))/(LN(2)/2)*AQ35*AT35*VLOOKUP('Données projet'!$B$10,Paramètres!$A$1:$I$89,3,0)*0.475*44/12</f>
        <v>2.1482339304978915</v>
      </c>
      <c r="AX35" s="21">
        <f t="shared" si="6"/>
        <v>18.657159649750735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5.3846153846153868</v>
      </c>
      <c r="BD35" s="12">
        <f>IF('Données projet'!$A$88&gt;35,BD34+BC35-BL34,IF(A35&lt;'Données projet'!$A$88,$BA$205^A35,IF(A35='Données projet'!$A$88,'Données projet'!$B$88,BD34+BC35-BL34)))</f>
        <v>81.923076923076934</v>
      </c>
      <c r="BE35" s="13">
        <f>BD35*VLOOKUP('Données projet'!$B$11,Paramètres!$A$1:$I$89,3,0)*VLOOKUP('Données projet'!$B$11,Paramètres!$A$1:$I$89,5,0)</f>
        <v>85.626000000000019</v>
      </c>
      <c r="BF35" s="13">
        <f t="shared" si="37"/>
        <v>23.507282308556086</v>
      </c>
      <c r="BG35" s="20">
        <f t="shared" si="7"/>
        <v>190.07380002073521</v>
      </c>
      <c r="BH35" s="59">
        <f t="shared" si="8"/>
        <v>483.40713335406849</v>
      </c>
      <c r="BI35" s="59">
        <f ca="1">AVERAGE(OFFSET($BH$3,0,0,'Données projet'!$E$11+1,1))-AVERAGE(OFFSET($H$3,0,0,'Données projet'!$E$11+1,1))</f>
        <v>260.74709892624571</v>
      </c>
      <c r="BJ35" s="59">
        <f t="shared" si="38"/>
        <v>237.17381692184887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11.268725094279961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11.268725094279961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5.0894117647058819</v>
      </c>
      <c r="BY35" s="12">
        <f>IF('Données projet'!$A$114&gt;35,BY34+BX35-CG34,IF(A35&lt;'Données projet'!$A$114,$BV$205^A35,IF(A35='Données projet'!$A$114,'Données projet'!$B$114,BY34+BX35-CG34)))</f>
        <v>127.78822259452934</v>
      </c>
      <c r="BZ35" s="13">
        <f>BY35*VLOOKUP('Données projet'!$B$12,Paramètres!$A$1:$I$89,3,0)*VLOOKUP('Données projet'!$B$12,Paramètres!$A$1:$I$89,5,0)</f>
        <v>115.62278380353014</v>
      </c>
      <c r="CA35" s="13">
        <f t="shared" si="39"/>
        <v>30.651888148407128</v>
      </c>
      <c r="CB35" s="20">
        <f t="shared" si="10"/>
        <v>254.76172031629076</v>
      </c>
      <c r="CC35" s="59">
        <f t="shared" si="11"/>
        <v>548.09505364962411</v>
      </c>
      <c r="CD35" s="59">
        <f ca="1">AVERAGE(OFFSET($CC$3,0,0,'Données projet'!$E$12+1,1))-AVERAGE(OFFSET($H$3,0,0,'Données projet'!$E$12+1,1))</f>
        <v>695.0879239758051</v>
      </c>
      <c r="CE35" s="59">
        <f t="shared" si="40"/>
        <v>226.22150997227476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5.0894117647058819</v>
      </c>
      <c r="CT35" s="12">
        <f>IF('Données projet'!$A$140&gt;35,CT34+CS35-DB34,IF(A35&lt;'Données projet'!$A$140,$CQ$205^A35,IF(A35='Données projet'!$A$140,'Données projet'!$B$140,CT34+CS35-DB34)))</f>
        <v>127.78822259452934</v>
      </c>
      <c r="CU35" s="17">
        <f>CT35*VLOOKUP('Données projet'!$B$13,Paramètres!$A$1:$I$89,3,0)*VLOOKUP('Données projet'!$B$13,Paramètres!$A$1:$I$89,5,0)</f>
        <v>129.57725771085276</v>
      </c>
      <c r="CV35" s="13">
        <f t="shared" si="41"/>
        <v>33.89865749153838</v>
      </c>
      <c r="CW35" s="20">
        <f t="shared" si="13"/>
        <v>284.72055231083124</v>
      </c>
      <c r="CX35" s="59">
        <f t="shared" si="14"/>
        <v>578.05388564416455</v>
      </c>
      <c r="CY35" s="59">
        <f ca="1">AVERAGE(OFFSET($CX$3,0,0,'Données projet'!$E$13+1,1))-AVERAGE(OFFSET($H$3,0,0,'Données projet'!$E$13+1,1))</f>
        <v>773.15074145293738</v>
      </c>
      <c r="CZ35" s="59">
        <f t="shared" si="42"/>
        <v>248.49577986312505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6.4429411764705877</v>
      </c>
      <c r="DO35" s="12">
        <f>IF('Données projet'!$A$166&gt;35,DO34+DN35-DW34,IF(A35&lt;'Données projet'!$A$166,$DL$205^A35,IF(A35='Données projet'!$A$166,'Données projet'!$B$166,DO34+DN35-DW34)))</f>
        <v>206.17411764705872</v>
      </c>
      <c r="DP35" s="17">
        <f>DO35*VLOOKUP('Données projet'!$B$14,Paramètres!$A$1:$I$89,3,0)*VLOOKUP('Données projet'!$B$14,Paramètres!$A$1:$I$89,5,0)</f>
        <v>96.489487058823485</v>
      </c>
      <c r="DQ35" s="13">
        <f t="shared" si="43"/>
        <v>26.123934778604053</v>
      </c>
      <c r="DR35" s="20">
        <f t="shared" si="16"/>
        <v>213.55170970018628</v>
      </c>
      <c r="DS35" s="59">
        <f t="shared" si="17"/>
        <v>506.88504303351959</v>
      </c>
      <c r="DT35" s="59">
        <f ca="1">AVERAGE(OFFSET($DS$3,0,0,'Données projet'!$E$14+1,1))-AVERAGE(OFFSET($H$3,0,0,'Données projet'!$E$14+1,1))</f>
        <v>293.15557501692803</v>
      </c>
      <c r="DU35" s="59">
        <f t="shared" si="44"/>
        <v>237.1930412773068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13.357499999999998</v>
      </c>
      <c r="EJ35" s="12">
        <f>IF('Données projet'!$A$192&gt;35,EJ34+EI35-ER34,IF(A35&lt;'Données projet'!$A$192,$EG$205^A35,IF(A35='Données projet'!$A$192,'Données projet'!$B$192,EJ34+EI35-ER34)))</f>
        <v>156.33499999999998</v>
      </c>
      <c r="EK35" s="17">
        <f>EJ35*VLOOKUP('Données projet'!$B$15,Paramètres!$A$1:$I$89,3,0)*VLOOKUP('Données projet'!$B$15,Paramètres!$A$1:$I$89,5,0)</f>
        <v>93.488329999999991</v>
      </c>
      <c r="EL35" s="13">
        <f t="shared" si="45"/>
        <v>25.404655219928944</v>
      </c>
      <c r="EM35" s="20">
        <f t="shared" si="19"/>
        <v>207.07194925804288</v>
      </c>
      <c r="EN35" s="59">
        <f t="shared" si="20"/>
        <v>500.40528259137619</v>
      </c>
      <c r="EO35" s="59">
        <f ca="1">AVERAGE(OFFSET($EN$3,0,0,'Données projet'!$E$15+1,1))-AVERAGE(OFFSET($H$3,0,0,'Données projet'!$E$15+1,1))</f>
        <v>225.86663363047296</v>
      </c>
      <c r="EP35" s="59">
        <f t="shared" si="46"/>
        <v>258.08349727304397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3.2450148615619088</v>
      </c>
      <c r="EW35" s="21">
        <f>EXP(-LN(2)/25)*EW34+(1-EXP(-LN(2)/25))/(LN(2)/25)*Calculateur!ER35*Calculateur!ET35*VLOOKUP('Données projet'!$B$15,Paramètres!$A$1:$I$89,3,0)*0.475*44/12</f>
        <v>11.775369188468444</v>
      </c>
      <c r="EX35" s="21">
        <f>EXP(-LN(2)/2)*EX34+(1-EXP(-LN(2)/2))/(LN(2)/2)*ER35*EU35*VLOOKUP('Données projet'!$B$15,Paramètres!$A$1:$I$89,3,0)*0.475*44/12</f>
        <v>5.9165006471872044</v>
      </c>
      <c r="EY35" s="22">
        <f t="shared" si="21"/>
        <v>20.936884697217558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23.327500000000001</v>
      </c>
      <c r="N36" s="13">
        <f>IF('Données projet'!$A$36&gt;35,N35+M36-V35,IF(A36&lt;'Données projet'!$A$36,$K$205^A36,IF(A36='Données projet'!$A$36,'Données projet'!$B$36,N35+M36-V35)))</f>
        <v>335.91750000000002</v>
      </c>
      <c r="O36" s="13">
        <f>N36*VLOOKUP('Données projet'!$B$9,Paramètres!$A$1:$I$89,3,0)*VLOOKUP('Données projet'!$B$9,Paramètres!$A$1:$I$89,5,0)</f>
        <v>200.87866500000001</v>
      </c>
      <c r="P36" s="13">
        <f t="shared" si="33"/>
        <v>49.937222403328057</v>
      </c>
      <c r="Q36" s="20">
        <f t="shared" si="53"/>
        <v>436.83767056079637</v>
      </c>
      <c r="R36" s="59">
        <f t="shared" si="0"/>
        <v>730.17100389412963</v>
      </c>
      <c r="S36" s="59">
        <f ca="1">AVERAGE(OFFSET($R$3,0,0,'Données projet'!$E$9+1,1))-AVERAGE(OFFSET($H$3,0,0,'Données projet'!$E$9+1,1))</f>
        <v>388.12151914648013</v>
      </c>
      <c r="T36" s="59">
        <f t="shared" si="34"/>
        <v>481.43684454382793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30.983790270517517</v>
      </c>
      <c r="AA36" s="21">
        <f>EXP(-LN(2)/25)*AA35+(1-EXP(-LN(2)/25))/(LN(2)/25)*Calculateur!V36*Calculateur!X36*VLOOKUP('Données projet'!$B$9,Paramètres!$A$1:$I$89,3,0)*0.475*44/12</f>
        <v>19.301814017993024</v>
      </c>
      <c r="AB36" s="21">
        <f>EXP(-LN(2)/2)*AB35+(1-EXP(-LN(2)/2))/(LN(2)/2)*V36*Y36*VLOOKUP('Données projet'!$B$9,Paramètres!$A$1:$I$89,3,0)*0.475*44/12</f>
        <v>8.4812987737344212</v>
      </c>
      <c r="AC36" s="22">
        <f t="shared" si="3"/>
        <v>58.766903062244964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217.65</v>
      </c>
      <c r="AG36" s="12">
        <f>VLOOKUP(A36,'Données projet'!$A$61:$I$81,9,0)</f>
        <v>16.621666666666666</v>
      </c>
      <c r="AH36" s="12">
        <f t="array" ref="AH36">INDEX(AG:AG,MIN(IF(ISNUMBER(AG36:AG232),ROW(AG36:AG232),"")))</f>
        <v>16.621666666666666</v>
      </c>
      <c r="AI36" s="13">
        <f>IF('Données projet'!$A$62&gt;35,AI35+AH36-AQ35,IF(A36&lt;'Données projet'!$A$62,$AF$205^A36,IF(A36='Données projet'!$A$62,'Données projet'!$B$62,AI35+AH36-AQ35)))</f>
        <v>217.65000000000003</v>
      </c>
      <c r="AJ36" s="13">
        <f>AI36*VLOOKUP('Données projet'!$B$10,Paramètres!$A$1:$I$89,3,0)*VLOOKUP('Données projet'!$B$10,Paramètres!$A$1:$I$89,5,0)</f>
        <v>130.15470000000002</v>
      </c>
      <c r="AK36" s="13">
        <f t="shared" si="35"/>
        <v>34.032103485601695</v>
      </c>
      <c r="AL36" s="20">
        <f t="shared" si="4"/>
        <v>285.95868273742298</v>
      </c>
      <c r="AM36" s="59">
        <f t="shared" si="5"/>
        <v>579.29201607075629</v>
      </c>
      <c r="AN36" s="59">
        <f ca="1">AVERAGE(OFFSET($AM$3,0,0,'Données projet'!$E$10+1,1))-AVERAGE(OFFSET($H$3,0,0,'Données projet'!$E$10+1,1))</f>
        <v>349.71285006949597</v>
      </c>
      <c r="AO36" s="59">
        <f t="shared" si="36"/>
        <v>258.51550516456842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50.460000000000008</v>
      </c>
      <c r="AR36" s="16">
        <f>IF(ISNA(VLOOKUP(A36,'Données projet'!$A$61:$I$81,5,0)),0%,VLOOKUP(A36,'Données projet'!$A$61:$I$81,5,0)*VLOOKUP('Données projet'!$B$10,Paramètres!$A$1:$I$89,7,0))</f>
        <v>0.1125</v>
      </c>
      <c r="AS36" s="16">
        <f>IF(ISNA(VLOOKUP(A36,'Données projet'!$A$61:$I$81,6,0)),0%,VLOOKUP(A36,'Données projet'!$A$61:$I$81,6,0)*VLOOKUP('Données projet'!$B$10,Paramètres!$A$1:$I$89,7,0))</f>
        <v>0.16650000000000001</v>
      </c>
      <c r="AT36" s="16">
        <f>IF(ISNA(VLOOKUP(A36,'Données projet'!$A$61:$I$81,7,0)),0%,VLOOKUP(A36,'Données projet'!$A$61:$I$81,7,0))</f>
        <v>0.38</v>
      </c>
      <c r="AU36" s="21">
        <f>EXP(-LN(2)/35)*AU35+(1-EXP(-LN(2)/35))/(LN(2)/35)*AQ36*AR36*VLOOKUP('Données projet'!$B$10,Paramètres!$A$1:$I$89,3,0)*0.475*44/12</f>
        <v>11.285877104480107</v>
      </c>
      <c r="AV36" s="21">
        <f>EXP(-LN(2)/25)*AV35+(1-EXP(-LN(2)/25))/(LN(2)/25)*Calculateur!AQ36*Calculateur!AS36*VLOOKUP('Données projet'!$B$10,Paramètres!$A$1:$I$89,3,0)*0.475*44/12</f>
        <v>15.967029985418133</v>
      </c>
      <c r="AW36" s="21">
        <f>EXP(-LN(2)/2)*AW35+(1-EXP(-LN(2)/2))/(LN(2)/2)*AQ36*AT36*VLOOKUP('Données projet'!$B$10,Paramètres!$A$1:$I$89,3,0)*0.475*44/12</f>
        <v>14.501806839279157</v>
      </c>
      <c r="AX36" s="21">
        <f t="shared" si="6"/>
        <v>41.754713929177399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5.3846153846153868</v>
      </c>
      <c r="BD36" s="12">
        <f>IF('Données projet'!$A$88&gt;35,BD35+BC36-BL35,IF(A36&lt;'Données projet'!$A$88,$BA$205^A36,IF(A36='Données projet'!$A$88,'Données projet'!$B$88,BD35+BC36-BL35)))</f>
        <v>87.307692307692321</v>
      </c>
      <c r="BE36" s="13">
        <f>BD36*VLOOKUP('Données projet'!$B$11,Paramètres!$A$1:$I$89,3,0)*VLOOKUP('Données projet'!$B$11,Paramètres!$A$1:$I$89,5,0)</f>
        <v>91.254000000000019</v>
      </c>
      <c r="BF36" s="13">
        <f t="shared" si="37"/>
        <v>24.867415609727725</v>
      </c>
      <c r="BG36" s="20">
        <f t="shared" si="7"/>
        <v>202.24479885360915</v>
      </c>
      <c r="BH36" s="59">
        <f t="shared" si="8"/>
        <v>495.57813218694247</v>
      </c>
      <c r="BI36" s="59">
        <f ca="1">AVERAGE(OFFSET($BH$3,0,0,'Données projet'!$E$11+1,1))-AVERAGE(OFFSET($H$3,0,0,'Données projet'!$E$11+1,1))</f>
        <v>260.74709892624571</v>
      </c>
      <c r="BJ36" s="59">
        <f t="shared" si="38"/>
        <v>237.17381692184887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10.960581213980378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10.960581213980378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5.0894117647058819</v>
      </c>
      <c r="BY36" s="12">
        <f>IF('Données projet'!$A$114&gt;35,BY35+BX36-CG35,IF(A36&lt;'Données projet'!$A$114,$BV$205^A36,IF(A36='Données projet'!$A$114,'Données projet'!$B$114,BY35+BX36-CG35)))</f>
        <v>148.70263628381758</v>
      </c>
      <c r="BZ36" s="13">
        <f>BY36*VLOOKUP('Données projet'!$B$12,Paramètres!$A$1:$I$89,3,0)*VLOOKUP('Données projet'!$B$12,Paramètres!$A$1:$I$89,5,0)</f>
        <v>134.54614530959816</v>
      </c>
      <c r="CA36" s="13">
        <f t="shared" si="39"/>
        <v>35.044729338432354</v>
      </c>
      <c r="CB36" s="20">
        <f t="shared" si="10"/>
        <v>295.37077334531978</v>
      </c>
      <c r="CC36" s="59">
        <f t="shared" si="11"/>
        <v>588.70410667865303</v>
      </c>
      <c r="CD36" s="59">
        <f ca="1">AVERAGE(OFFSET($CC$3,0,0,'Données projet'!$E$12+1,1))-AVERAGE(OFFSET($H$3,0,0,'Données projet'!$E$12+1,1))</f>
        <v>695.0879239758051</v>
      </c>
      <c r="CE36" s="59">
        <f t="shared" si="40"/>
        <v>226.22150997227476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5.0894117647058819</v>
      </c>
      <c r="CT36" s="12">
        <f>IF('Données projet'!$A$140&gt;35,CT35+CS36-DB35,IF(A36&lt;'Données projet'!$A$140,$CQ$205^A36,IF(A36='Données projet'!$A$140,'Données projet'!$B$140,CT35+CS36-DB35)))</f>
        <v>148.70263628381758</v>
      </c>
      <c r="CU36" s="17">
        <f>CT36*VLOOKUP('Données projet'!$B$13,Paramètres!$A$1:$I$89,3,0)*VLOOKUP('Données projet'!$B$13,Paramètres!$A$1:$I$89,5,0)</f>
        <v>150.78447319179105</v>
      </c>
      <c r="CV36" s="13">
        <f t="shared" si="41"/>
        <v>38.756805811615834</v>
      </c>
      <c r="CW36" s="20">
        <f t="shared" si="13"/>
        <v>330.11772759760032</v>
      </c>
      <c r="CX36" s="59">
        <f t="shared" si="14"/>
        <v>623.45106093093364</v>
      </c>
      <c r="CY36" s="59">
        <f ca="1">AVERAGE(OFFSET($CX$3,0,0,'Données projet'!$E$13+1,1))-AVERAGE(OFFSET($H$3,0,0,'Données projet'!$E$13+1,1))</f>
        <v>773.15074145293738</v>
      </c>
      <c r="CZ36" s="59">
        <f t="shared" si="42"/>
        <v>248.49577986312505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6.4429411764705877</v>
      </c>
      <c r="DO36" s="12">
        <f>IF('Données projet'!$A$166&gt;35,DO35+DN36-DW35,IF(A36&lt;'Données projet'!$A$166,$DL$205^A36,IF(A36='Données projet'!$A$166,'Données projet'!$B$166,DO35+DN36-DW35)))</f>
        <v>212.61705882352931</v>
      </c>
      <c r="DP36" s="17">
        <f>DO36*VLOOKUP('Données projet'!$B$14,Paramètres!$A$1:$I$89,3,0)*VLOOKUP('Données projet'!$B$14,Paramètres!$A$1:$I$89,5,0)</f>
        <v>99.504783529411725</v>
      </c>
      <c r="DQ36" s="13">
        <f t="shared" si="43"/>
        <v>26.84398498698495</v>
      </c>
      <c r="DR36" s="20">
        <f t="shared" si="16"/>
        <v>220.05743849939086</v>
      </c>
      <c r="DS36" s="59">
        <f t="shared" si="17"/>
        <v>513.39077183272411</v>
      </c>
      <c r="DT36" s="59">
        <f ca="1">AVERAGE(OFFSET($DS$3,0,0,'Données projet'!$E$14+1,1))-AVERAGE(OFFSET($H$3,0,0,'Données projet'!$E$14+1,1))</f>
        <v>293.15557501692803</v>
      </c>
      <c r="DU36" s="59">
        <f t="shared" si="44"/>
        <v>237.1930412773068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13.357499999999998</v>
      </c>
      <c r="EJ36" s="12">
        <f>IF('Données projet'!$A$192&gt;35,EJ35+EI36-ER35,IF(A36&lt;'Données projet'!$A$192,$EG$205^A36,IF(A36='Données projet'!$A$192,'Données projet'!$B$192,EJ35+EI36-ER35)))</f>
        <v>169.69249999999997</v>
      </c>
      <c r="EK36" s="17">
        <f>EJ36*VLOOKUP('Données projet'!$B$15,Paramètres!$A$1:$I$89,3,0)*VLOOKUP('Données projet'!$B$15,Paramètres!$A$1:$I$89,5,0)</f>
        <v>101.47611499999998</v>
      </c>
      <c r="EL36" s="13">
        <f t="shared" si="45"/>
        <v>27.313361124474454</v>
      </c>
      <c r="EM36" s="20">
        <f t="shared" si="19"/>
        <v>224.30833758345966</v>
      </c>
      <c r="EN36" s="59">
        <f t="shared" si="20"/>
        <v>517.64167091679292</v>
      </c>
      <c r="EO36" s="59">
        <f ca="1">AVERAGE(OFFSET($EN$3,0,0,'Données projet'!$E$15+1,1))-AVERAGE(OFFSET($H$3,0,0,'Données projet'!$E$15+1,1))</f>
        <v>225.86663363047296</v>
      </c>
      <c r="EP36" s="59">
        <f t="shared" si="46"/>
        <v>258.08349727304397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3.181382099390309</v>
      </c>
      <c r="EW36" s="21">
        <f>EXP(-LN(2)/25)*EW35+(1-EXP(-LN(2)/25))/(LN(2)/25)*Calculateur!ER36*Calculateur!ET36*VLOOKUP('Données projet'!$B$15,Paramètres!$A$1:$I$89,3,0)*0.475*44/12</f>
        <v>11.453371098770022</v>
      </c>
      <c r="EX36" s="21">
        <f>EXP(-LN(2)/2)*EX35+(1-EXP(-LN(2)/2))/(LN(2)/2)*ER36*EU36*VLOOKUP('Données projet'!$B$15,Paramètres!$A$1:$I$89,3,0)*0.475*44/12</f>
        <v>4.1835977285206694</v>
      </c>
      <c r="EY36" s="22">
        <f t="shared" si="21"/>
        <v>18.818350926680999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23.327500000000001</v>
      </c>
      <c r="N37" s="13">
        <f>IF('Données projet'!$A$36&gt;35,N36+M37-V36,IF(A37&lt;'Données projet'!$A$36,$K$205^A37,IF(A37='Données projet'!$A$36,'Données projet'!$B$36,N36+M37-V36)))</f>
        <v>359.245</v>
      </c>
      <c r="O37" s="13">
        <f>N37*VLOOKUP('Données projet'!$B$9,Paramètres!$A$1:$I$89,3,0)*VLOOKUP('Données projet'!$B$9,Paramètres!$A$1:$I$89,5,0)</f>
        <v>214.82851000000002</v>
      </c>
      <c r="P37" s="13">
        <f t="shared" si="33"/>
        <v>52.989336564217041</v>
      </c>
      <c r="Q37" s="20">
        <f t="shared" si="53"/>
        <v>466.44941609934472</v>
      </c>
      <c r="R37" s="59">
        <f t="shared" si="0"/>
        <v>759.78274943267797</v>
      </c>
      <c r="S37" s="59">
        <f ca="1">AVERAGE(OFFSET($R$3,0,0,'Données projet'!$E$9+1,1))-AVERAGE(OFFSET($H$3,0,0,'Données projet'!$E$9+1,1))</f>
        <v>388.12151914648013</v>
      </c>
      <c r="T37" s="59">
        <f t="shared" si="34"/>
        <v>481.43684454382793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30.376217041558686</v>
      </c>
      <c r="AA37" s="21">
        <f>EXP(-LN(2)/25)*AA36+(1-EXP(-LN(2)/25))/(LN(2)/25)*Calculateur!V37*Calculateur!X37*VLOOKUP('Données projet'!$B$9,Paramètres!$A$1:$I$89,3,0)*0.475*44/12</f>
        <v>18.774004898632722</v>
      </c>
      <c r="AB37" s="21">
        <f>EXP(-LN(2)/2)*AB36+(1-EXP(-LN(2)/2))/(LN(2)/2)*V37*Y37*VLOOKUP('Données projet'!$B$9,Paramètres!$A$1:$I$89,3,0)*0.475*44/12</f>
        <v>5.9971838761767593</v>
      </c>
      <c r="AC37" s="22">
        <f t="shared" si="3"/>
        <v>55.147405816368163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16.693750000000001</v>
      </c>
      <c r="AI37" s="13">
        <f>IF('Données projet'!$A$62&gt;35,AI36+AH37-AQ36,IF(A37&lt;'Données projet'!$A$62,$AF$205^A37,IF(A37='Données projet'!$A$62,'Données projet'!$B$62,AI36+AH37-AQ36)))</f>
        <v>183.88375000000002</v>
      </c>
      <c r="AJ37" s="13">
        <f>AI37*VLOOKUP('Données projet'!$B$10,Paramètres!$A$1:$I$89,3,0)*VLOOKUP('Données projet'!$B$10,Paramètres!$A$1:$I$89,5,0)</f>
        <v>109.96248250000002</v>
      </c>
      <c r="AK37" s="13">
        <f t="shared" si="35"/>
        <v>29.322144981447174</v>
      </c>
      <c r="AL37" s="20">
        <f t="shared" si="4"/>
        <v>242.58739286352048</v>
      </c>
      <c r="AM37" s="59">
        <f t="shared" si="5"/>
        <v>535.92072619685382</v>
      </c>
      <c r="AN37" s="59">
        <f ca="1">AVERAGE(OFFSET($AM$3,0,0,'Données projet'!$E$10+1,1))-AVERAGE(OFFSET($H$3,0,0,'Données projet'!$E$10+1,1))</f>
        <v>349.71285006949597</v>
      </c>
      <c r="AO37" s="59">
        <f t="shared" si="36"/>
        <v>258.51550516456842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11.064567938166578</v>
      </c>
      <c r="AV37" s="21">
        <f>EXP(-LN(2)/25)*AV36+(1-EXP(-LN(2)/25))/(LN(2)/25)*Calculateur!AQ37*Calculateur!AS37*VLOOKUP('Données projet'!$B$10,Paramètres!$A$1:$I$89,3,0)*0.475*44/12</f>
        <v>15.530410710797261</v>
      </c>
      <c r="AW37" s="21">
        <f>EXP(-LN(2)/2)*AW36+(1-EXP(-LN(2)/2))/(LN(2)/2)*AQ37*AT37*VLOOKUP('Données projet'!$B$10,Paramètres!$A$1:$I$89,3,0)*0.475*44/12</f>
        <v>10.254325955511746</v>
      </c>
      <c r="AX37" s="21">
        <f t="shared" si="6"/>
        <v>36.849304604475584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5.3846153846153868</v>
      </c>
      <c r="BD37" s="12">
        <f>IF('Données projet'!$A$88&gt;35,BD36+BC37-BL36,IF(A37&lt;'Données projet'!$A$88,$BA$205^A37,IF(A37='Données projet'!$A$88,'Données projet'!$B$88,BD36+BC37-BL36)))</f>
        <v>92.692307692307708</v>
      </c>
      <c r="BE37" s="13">
        <f>BD37*VLOOKUP('Données projet'!$B$11,Paramètres!$A$1:$I$89,3,0)*VLOOKUP('Données projet'!$B$11,Paramètres!$A$1:$I$89,5,0)</f>
        <v>96.882000000000033</v>
      </c>
      <c r="BF37" s="13">
        <f t="shared" si="37"/>
        <v>26.21781316207062</v>
      </c>
      <c r="BG37" s="20">
        <f t="shared" si="7"/>
        <v>214.39884125727303</v>
      </c>
      <c r="BH37" s="59">
        <f t="shared" si="8"/>
        <v>507.73217459060635</v>
      </c>
      <c r="BI37" s="59">
        <f ca="1">AVERAGE(OFFSET($BH$3,0,0,'Données projet'!$E$11+1,1))-AVERAGE(OFFSET($H$3,0,0,'Données projet'!$E$11+1,1))</f>
        <v>260.74709892624571</v>
      </c>
      <c r="BJ37" s="59">
        <f t="shared" si="38"/>
        <v>237.17381692184887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10.66086354429217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10.66086354429217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>
        <f>VLOOKUP(A37,'Données projet'!$A$113:$I$133,2,0)</f>
        <v>173.04</v>
      </c>
      <c r="BW37" s="12">
        <f>VLOOKUP(A37,'Données projet'!$A$113:$I$133,9,0)</f>
        <v>5.0894117647058819</v>
      </c>
      <c r="BX37" s="12">
        <f t="array" ref="BX37">INDEX(BW:BW,MIN(IF(ISNUMBER(BW37:BW233),ROW(BW37:BW233),"")))</f>
        <v>5.0894117647058819</v>
      </c>
      <c r="BY37" s="12">
        <f>IF('Données projet'!$A$114&gt;35,BY36+BX37-CG36,IF(A37&lt;'Données projet'!$A$114,$BV$205^A37,IF(A37='Données projet'!$A$114,'Données projet'!$B$114,BY36+BX37-CG36)))</f>
        <v>173.04</v>
      </c>
      <c r="BZ37" s="13">
        <f>BY37*VLOOKUP('Données projet'!$B$12,Paramètres!$A$1:$I$89,3,0)*VLOOKUP('Données projet'!$B$12,Paramètres!$A$1:$I$89,5,0)</f>
        <v>156.56659199999999</v>
      </c>
      <c r="CA37" s="13">
        <f t="shared" si="39"/>
        <v>40.067125668008877</v>
      </c>
      <c r="CB37" s="20">
        <f t="shared" si="10"/>
        <v>342.47039160511548</v>
      </c>
      <c r="CC37" s="59">
        <f t="shared" si="11"/>
        <v>635.8037249384488</v>
      </c>
      <c r="CD37" s="59">
        <f ca="1">AVERAGE(OFFSET($CC$3,0,0,'Données projet'!$E$12+1,1))-AVERAGE(OFFSET($H$3,0,0,'Données projet'!$E$12+1,1))</f>
        <v>695.0879239758051</v>
      </c>
      <c r="CE37" s="59">
        <f t="shared" si="40"/>
        <v>226.22150997227476</v>
      </c>
      <c r="CF37" s="15">
        <f>IF(ISNA(VLOOKUP(A37,'Données projet'!$A$113:$I$133,3,0)),0,VLOOKUP(A37,'Données projet'!$A$113:$I$133,3,0))</f>
        <v>1</v>
      </c>
      <c r="CG37" s="15">
        <f>IF(ISNA(VLOOKUP(A37,'Données projet'!$A$113:$I$133,4,0)),0,VLOOKUP(A37,'Données projet'!$A$113:$I$133,4,0))</f>
        <v>36.679999999999978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0.34400000000000003</v>
      </c>
      <c r="CJ37" s="16">
        <f>IF(ISNA(VLOOKUP(A37,'Données projet'!$A$113:$I$133,7,0)),0%,VLOOKUP(A37,'Données projet'!$A$113:$I$133,7,0))</f>
        <v>0.2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12.571124101178455</v>
      </c>
      <c r="CM37" s="21">
        <f>EXP(-LN(2)/2)*CM36+(1-EXP(-LN(2)/2))/(LN(2)/2)*CG37*CJ37*VLOOKUP('Données projet'!$B$12,Paramètres!$A$1:$I$89,3,0)*0.475*44/12</f>
        <v>6.2627663255292276</v>
      </c>
      <c r="CN37" s="22">
        <f t="shared" si="12"/>
        <v>18.833890426707683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>
        <f>VLOOKUP(A37,'Données projet'!$A$139:$I$159,2,0)</f>
        <v>173.04</v>
      </c>
      <c r="CR37" s="12">
        <f>VLOOKUP(A37,'Données projet'!$A$139:$I$159,9,0)</f>
        <v>5.0894117647058819</v>
      </c>
      <c r="CS37" s="12">
        <f t="array" ref="CS37">INDEX(CR:CR,MIN(IF(ISNUMBER(CR37:CR233),ROW(CR37:CR233),"")))</f>
        <v>5.0894117647058819</v>
      </c>
      <c r="CT37" s="12">
        <f>IF('Données projet'!$A$140&gt;35,CT36+CS37-DB36,IF(A37&lt;'Données projet'!$A$140,$CQ$205^A37,IF(A37='Données projet'!$A$140,'Données projet'!$B$140,CT36+CS37-DB36)))</f>
        <v>173.04</v>
      </c>
      <c r="CU37" s="17">
        <f>CT37*VLOOKUP('Données projet'!$B$13,Paramètres!$A$1:$I$89,3,0)*VLOOKUP('Données projet'!$B$13,Paramètres!$A$1:$I$89,5,0)</f>
        <v>175.46256</v>
      </c>
      <c r="CV37" s="13">
        <f t="shared" si="41"/>
        <v>44.311194244027057</v>
      </c>
      <c r="CW37" s="20">
        <f t="shared" si="13"/>
        <v>382.77262197501381</v>
      </c>
      <c r="CX37" s="59">
        <f t="shared" si="14"/>
        <v>676.10595530834712</v>
      </c>
      <c r="CY37" s="59">
        <f ca="1">AVERAGE(OFFSET($CX$3,0,0,'Données projet'!$E$13+1,1))-AVERAGE(OFFSET($H$3,0,0,'Données projet'!$E$13+1,1))</f>
        <v>773.15074145293738</v>
      </c>
      <c r="CZ37" s="59">
        <f t="shared" si="42"/>
        <v>248.49577986312505</v>
      </c>
      <c r="DA37" s="15">
        <f>IF(ISNA(VLOOKUP(A37,'Données projet'!$A$139:$I$159,3,0)),0,VLOOKUP(A37,'Données projet'!$A$139:$I$159,3,0))</f>
        <v>1</v>
      </c>
      <c r="DB37" s="15">
        <f>IF(ISNA(VLOOKUP(A37,'Données projet'!$A$139:$I$159,4,0)),0,VLOOKUP(A37,'Données projet'!$A$139:$I$159,4,0))</f>
        <v>36.679999999999978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0.34400000000000003</v>
      </c>
      <c r="DE37" s="16">
        <f>IF(ISNA(VLOOKUP(A37,'Données projet'!$A$139:$I$159,7,0)),0%,VLOOKUP(A37,'Données projet'!$A$139:$I$159,7,0))</f>
        <v>0.2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14.088328734079305</v>
      </c>
      <c r="DH37" s="21">
        <f>EXP(-LN(2)/2)*DH36+(1-EXP(-LN(2)/2))/(LN(2)/2)*DB37*DE37*VLOOKUP('Données projet'!$B$13,Paramètres!$A$1:$I$89,3,0)*0.475*44/12</f>
        <v>7.0186174337827554</v>
      </c>
      <c r="DI37" s="22">
        <f t="shared" si="15"/>
        <v>21.106946167862059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6.4429411764705877</v>
      </c>
      <c r="DO37" s="12">
        <f>IF('Données projet'!$A$166&gt;35,DO36+DN37-DW36,IF(A37&lt;'Données projet'!$A$166,$DL$205^A37,IF(A37='Données projet'!$A$166,'Données projet'!$B$166,DO36+DN37-DW36)))</f>
        <v>219.05999999999989</v>
      </c>
      <c r="DP37" s="17">
        <f>DO37*VLOOKUP('Données projet'!$B$14,Paramètres!$A$1:$I$89,3,0)*VLOOKUP('Données projet'!$B$14,Paramètres!$A$1:$I$89,5,0)</f>
        <v>102.52007999999994</v>
      </c>
      <c r="DQ37" s="13">
        <f t="shared" si="43"/>
        <v>27.561499445909675</v>
      </c>
      <c r="DR37" s="20">
        <f t="shared" si="16"/>
        <v>226.55875086829255</v>
      </c>
      <c r="DS37" s="59">
        <f t="shared" si="17"/>
        <v>519.89208420162583</v>
      </c>
      <c r="DT37" s="59">
        <f ca="1">AVERAGE(OFFSET($DS$3,0,0,'Données projet'!$E$14+1,1))-AVERAGE(OFFSET($H$3,0,0,'Données projet'!$E$14+1,1))</f>
        <v>293.15557501692803</v>
      </c>
      <c r="DU37" s="59">
        <f t="shared" si="44"/>
        <v>237.1930412773068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13.357499999999998</v>
      </c>
      <c r="EJ37" s="12">
        <f>IF('Données projet'!$A$192&gt;35,EJ36+EI37-ER36,IF(A37&lt;'Données projet'!$A$192,$EG$205^A37,IF(A37='Données projet'!$A$192,'Données projet'!$B$192,EJ36+EI37-ER36)))</f>
        <v>183.04999999999995</v>
      </c>
      <c r="EK37" s="17">
        <f>EJ37*VLOOKUP('Données projet'!$B$15,Paramètres!$A$1:$I$89,3,0)*VLOOKUP('Données projet'!$B$15,Paramètres!$A$1:$I$89,5,0)</f>
        <v>109.4639</v>
      </c>
      <c r="EL37" s="13">
        <f t="shared" si="45"/>
        <v>29.204639338894335</v>
      </c>
      <c r="EM37" s="20">
        <f t="shared" si="19"/>
        <v>241.51437268190762</v>
      </c>
      <c r="EN37" s="59">
        <f t="shared" si="20"/>
        <v>534.84770601524087</v>
      </c>
      <c r="EO37" s="59">
        <f ca="1">AVERAGE(OFFSET($EN$3,0,0,'Données projet'!$E$15+1,1))-AVERAGE(OFFSET($H$3,0,0,'Données projet'!$E$15+1,1))</f>
        <v>225.86663363047296</v>
      </c>
      <c r="EP37" s="59">
        <f t="shared" si="46"/>
        <v>258.08349727304397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3.1189971368727418</v>
      </c>
      <c r="EW37" s="21">
        <f>EXP(-LN(2)/25)*EW36+(1-EXP(-LN(2)/25))/(LN(2)/25)*Calculateur!ER37*Calculateur!ET37*VLOOKUP('Données projet'!$B$15,Paramètres!$A$1:$I$89,3,0)*0.475*44/12</f>
        <v>11.140178063767546</v>
      </c>
      <c r="EX37" s="21">
        <f>EXP(-LN(2)/2)*EX36+(1-EXP(-LN(2)/2))/(LN(2)/2)*ER37*EU37*VLOOKUP('Données projet'!$B$15,Paramètres!$A$1:$I$89,3,0)*0.475*44/12</f>
        <v>2.9582503235936022</v>
      </c>
      <c r="EY37" s="22">
        <f t="shared" si="21"/>
        <v>17.217425524233892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23.327500000000001</v>
      </c>
      <c r="N38" s="13">
        <f>IF('Données projet'!$A$36&gt;35,N37+M38-V37,IF(A38&lt;'Données projet'!$A$36,$K$205^A38,IF(A38='Données projet'!$A$36,'Données projet'!$B$36,N37+M38-V37)))</f>
        <v>382.57249999999999</v>
      </c>
      <c r="O38" s="13">
        <f>N38*VLOOKUP('Données projet'!$B$9,Paramètres!$A$1:$I$89,3,0)*VLOOKUP('Données projet'!$B$9,Paramètres!$A$1:$I$89,5,0)</f>
        <v>228.778355</v>
      </c>
      <c r="P38" s="13">
        <f t="shared" si="33"/>
        <v>56.018451502269343</v>
      </c>
      <c r="Q38" s="20">
        <f t="shared" si="53"/>
        <v>496.0211046581191</v>
      </c>
      <c r="R38" s="59">
        <f t="shared" si="0"/>
        <v>789.35443799145241</v>
      </c>
      <c r="S38" s="59">
        <f ca="1">AVERAGE(OFFSET($R$3,0,0,'Données projet'!$E$9+1,1))-AVERAGE(OFFSET($H$3,0,0,'Données projet'!$E$9+1,1))</f>
        <v>388.12151914648013</v>
      </c>
      <c r="T38" s="59">
        <f t="shared" si="34"/>
        <v>481.43684454382793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29.780557953036659</v>
      </c>
      <c r="AA38" s="21">
        <f>EXP(-LN(2)/25)*AA37+(1-EXP(-LN(2)/25))/(LN(2)/25)*Calculateur!V38*Calculateur!X38*VLOOKUP('Données projet'!$B$9,Paramètres!$A$1:$I$89,3,0)*0.475*44/12</f>
        <v>18.2606287473976</v>
      </c>
      <c r="AB38" s="21">
        <f>EXP(-LN(2)/2)*AB37+(1-EXP(-LN(2)/2))/(LN(2)/2)*V38*Y38*VLOOKUP('Données projet'!$B$9,Paramètres!$A$1:$I$89,3,0)*0.475*44/12</f>
        <v>4.2406493868672106</v>
      </c>
      <c r="AC38" s="22">
        <f t="shared" si="3"/>
        <v>52.281836087301471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16.693750000000001</v>
      </c>
      <c r="AI38" s="13">
        <f>IF('Données projet'!$A$62&gt;35,AI37+AH38-AQ37,IF(A38&lt;'Données projet'!$A$62,$AF$205^A38,IF(A38='Données projet'!$A$62,'Données projet'!$B$62,AI37+AH38-AQ37)))</f>
        <v>200.57750000000001</v>
      </c>
      <c r="AJ38" s="13">
        <f>AI38*VLOOKUP('Données projet'!$B$10,Paramètres!$A$1:$I$89,3,0)*VLOOKUP('Données projet'!$B$10,Paramètres!$A$1:$I$89,5,0)</f>
        <v>119.94534500000002</v>
      </c>
      <c r="AK38" s="13">
        <f t="shared" si="35"/>
        <v>31.662251574949313</v>
      </c>
      <c r="AL38" s="20">
        <f t="shared" si="4"/>
        <v>264.04989736803674</v>
      </c>
      <c r="AM38" s="59">
        <f t="shared" si="5"/>
        <v>557.38323070137005</v>
      </c>
      <c r="AN38" s="59">
        <f ca="1">AVERAGE(OFFSET($AM$3,0,0,'Données projet'!$E$10+1,1))-AVERAGE(OFFSET($H$3,0,0,'Données projet'!$E$10+1,1))</f>
        <v>349.71285006949597</v>
      </c>
      <c r="AO38" s="59">
        <f t="shared" si="36"/>
        <v>258.51550516456842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10.847598509619193</v>
      </c>
      <c r="AV38" s="21">
        <f>EXP(-LN(2)/25)*AV37+(1-EXP(-LN(2)/25))/(LN(2)/25)*Calculateur!AQ38*Calculateur!AS38*VLOOKUP('Données projet'!$B$10,Paramètres!$A$1:$I$89,3,0)*0.475*44/12</f>
        <v>15.105730813201706</v>
      </c>
      <c r="AW38" s="21">
        <f>EXP(-LN(2)/2)*AW37+(1-EXP(-LN(2)/2))/(LN(2)/2)*AQ38*AT38*VLOOKUP('Données projet'!$B$10,Paramètres!$A$1:$I$89,3,0)*0.475*44/12</f>
        <v>7.2509034196395792</v>
      </c>
      <c r="AX38" s="21">
        <f t="shared" si="6"/>
        <v>33.204232742460476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98.07692307692308</v>
      </c>
      <c r="BB38" s="12">
        <f>VLOOKUP(A38,'Données projet'!$A$87:$I$107,9,0)</f>
        <v>5.3846153846153868</v>
      </c>
      <c r="BC38" s="12">
        <f t="array" ref="BC38">INDEX(BB:BB,MIN(IF(ISNUMBER(BB38:BB234),ROW(BB38:BB234),"")))</f>
        <v>5.3846153846153868</v>
      </c>
      <c r="BD38" s="12">
        <f>IF('Données projet'!$A$88&gt;35,BD37+BC38-BL37,IF(A38&lt;'Données projet'!$A$88,$BA$205^A38,IF(A38='Données projet'!$A$88,'Données projet'!$B$88,BD37+BC38-BL37)))</f>
        <v>98.076923076923094</v>
      </c>
      <c r="BE38" s="13">
        <f>BD38*VLOOKUP('Données projet'!$B$11,Paramètres!$A$1:$I$89,3,0)*VLOOKUP('Données projet'!$B$11,Paramètres!$A$1:$I$89,5,0)</f>
        <v>102.51000000000003</v>
      </c>
      <c r="BF38" s="13">
        <f t="shared" si="37"/>
        <v>27.55910495810631</v>
      </c>
      <c r="BG38" s="20">
        <f t="shared" si="7"/>
        <v>226.5370244687019</v>
      </c>
      <c r="BH38" s="59">
        <f t="shared" si="8"/>
        <v>519.87035780203519</v>
      </c>
      <c r="BI38" s="59">
        <f ca="1">AVERAGE(OFFSET($BH$3,0,0,'Données projet'!$E$11+1,1))-AVERAGE(OFFSET($H$3,0,0,'Données projet'!$E$11+1,1))</f>
        <v>260.74709892624571</v>
      </c>
      <c r="BJ38" s="59">
        <f t="shared" si="38"/>
        <v>237.17381692184887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15.384615384615383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14.176125856576006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14.176125856576006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13.956249999999997</v>
      </c>
      <c r="BY38" s="12">
        <f>IF('Données projet'!$A$114&gt;35,BY37+BX38-CG37,IF(A38&lt;'Données projet'!$A$114,$BV$205^A38,IF(A38='Données projet'!$A$114,'Données projet'!$B$114,BY37+BX38-CG37)))</f>
        <v>150.31625</v>
      </c>
      <c r="BZ38" s="13">
        <f>BY38*VLOOKUP('Données projet'!$B$12,Paramètres!$A$1:$I$89,3,0)*VLOOKUP('Données projet'!$B$12,Paramètres!$A$1:$I$89,5,0)</f>
        <v>136.00614299999998</v>
      </c>
      <c r="CA38" s="13">
        <f t="shared" si="39"/>
        <v>35.380533493230494</v>
      </c>
      <c r="CB38" s="20">
        <f t="shared" si="10"/>
        <v>298.49846155904305</v>
      </c>
      <c r="CC38" s="59">
        <f t="shared" si="11"/>
        <v>591.83179489237637</v>
      </c>
      <c r="CD38" s="59">
        <f ca="1">AVERAGE(OFFSET($CC$3,0,0,'Données projet'!$E$12+1,1))-AVERAGE(OFFSET($H$3,0,0,'Données projet'!$E$12+1,1))</f>
        <v>695.0879239758051</v>
      </c>
      <c r="CE38" s="59">
        <f t="shared" si="40"/>
        <v>226.22150997227476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12.227366051545046</v>
      </c>
      <c r="CM38" s="21">
        <f>EXP(-LN(2)/2)*CM37+(1-EXP(-LN(2)/2))/(LN(2)/2)*CG38*CJ38*VLOOKUP('Données projet'!$B$12,Paramètres!$A$1:$I$89,3,0)*0.475*44/12</f>
        <v>4.428444537768474</v>
      </c>
      <c r="CN38" s="22">
        <f t="shared" si="12"/>
        <v>16.655810589313518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13.956249999999997</v>
      </c>
      <c r="CT38" s="12">
        <f>IF('Données projet'!$A$140&gt;35,CT37+CS38-DB37,IF(A38&lt;'Données projet'!$A$140,$CQ$205^A38,IF(A38='Données projet'!$A$140,'Données projet'!$B$140,CT37+CS38-DB37)))</f>
        <v>150.31625</v>
      </c>
      <c r="CU38" s="17">
        <f>CT38*VLOOKUP('Données projet'!$B$13,Paramètres!$A$1:$I$89,3,0)*VLOOKUP('Données projet'!$B$13,Paramètres!$A$1:$I$89,5,0)</f>
        <v>152.42067750000001</v>
      </c>
      <c r="CV38" s="13">
        <f t="shared" si="41"/>
        <v>39.128179671934788</v>
      </c>
      <c r="CW38" s="20">
        <f t="shared" si="13"/>
        <v>333.61425957445311</v>
      </c>
      <c r="CX38" s="59">
        <f t="shared" si="14"/>
        <v>626.94759290778643</v>
      </c>
      <c r="CY38" s="59">
        <f ca="1">AVERAGE(OFFSET($CX$3,0,0,'Données projet'!$E$13+1,1))-AVERAGE(OFFSET($H$3,0,0,'Données projet'!$E$13+1,1))</f>
        <v>773.15074145293738</v>
      </c>
      <c r="CZ38" s="59">
        <f t="shared" si="42"/>
        <v>248.49577986312505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13.703082643972897</v>
      </c>
      <c r="DH38" s="21">
        <f>EXP(-LN(2)/2)*DH37+(1-EXP(-LN(2)/2))/(LN(2)/2)*DB38*DE38*VLOOKUP('Données projet'!$B$13,Paramètres!$A$1:$I$89,3,0)*0.475*44/12</f>
        <v>4.962911981981911</v>
      </c>
      <c r="DI38" s="22">
        <f t="shared" si="15"/>
        <v>18.665994625954809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6.4429411764705877</v>
      </c>
      <c r="DO38" s="12">
        <f>IF('Données projet'!$A$166&gt;35,DO37+DN38-DW37,IF(A38&lt;'Données projet'!$A$166,$DL$205^A38,IF(A38='Données projet'!$A$166,'Données projet'!$B$166,DO37+DN38-DW37)))</f>
        <v>225.50294117647047</v>
      </c>
      <c r="DP38" s="17">
        <f>DO38*VLOOKUP('Données projet'!$B$14,Paramètres!$A$1:$I$89,3,0)*VLOOKUP('Données projet'!$B$14,Paramètres!$A$1:$I$89,5,0)</f>
        <v>105.53537647058819</v>
      </c>
      <c r="DQ38" s="13">
        <f t="shared" si="43"/>
        <v>28.276561299396725</v>
      </c>
      <c r="DR38" s="20">
        <f t="shared" si="16"/>
        <v>233.05579161605704</v>
      </c>
      <c r="DS38" s="59">
        <f t="shared" si="17"/>
        <v>526.38912494939041</v>
      </c>
      <c r="DT38" s="59">
        <f ca="1">AVERAGE(OFFSET($DS$3,0,0,'Données projet'!$E$14+1,1))-AVERAGE(OFFSET($H$3,0,0,'Données projet'!$E$14+1,1))</f>
        <v>293.15557501692803</v>
      </c>
      <c r="DU38" s="59">
        <f t="shared" si="44"/>
        <v>237.1930412773068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13.357499999999998</v>
      </c>
      <c r="EJ38" s="12">
        <f>IF('Données projet'!$A$192&gt;35,EJ37+EI38-ER37,IF(A38&lt;'Données projet'!$A$192,$EG$205^A38,IF(A38='Données projet'!$A$192,'Données projet'!$B$192,EJ37+EI38-ER37)))</f>
        <v>196.40749999999994</v>
      </c>
      <c r="EK38" s="17">
        <f>EJ38*VLOOKUP('Données projet'!$B$15,Paramètres!$A$1:$I$89,3,0)*VLOOKUP('Données projet'!$B$15,Paramètres!$A$1:$I$89,5,0)</f>
        <v>117.45168499999998</v>
      </c>
      <c r="EL38" s="13">
        <f t="shared" si="45"/>
        <v>31.079906217367387</v>
      </c>
      <c r="EM38" s="20">
        <f t="shared" si="19"/>
        <v>258.69252137024819</v>
      </c>
      <c r="EN38" s="59">
        <f t="shared" si="20"/>
        <v>552.02585470358144</v>
      </c>
      <c r="EO38" s="59">
        <f ca="1">AVERAGE(OFFSET($EN$3,0,0,'Données projet'!$E$15+1,1))-AVERAGE(OFFSET($H$3,0,0,'Données projet'!$E$15+1,1))</f>
        <v>225.86663363047296</v>
      </c>
      <c r="EP38" s="59">
        <f t="shared" si="46"/>
        <v>258.08349727304397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3.0578355054190745</v>
      </c>
      <c r="EW38" s="21">
        <f>EXP(-LN(2)/25)*EW37+(1-EXP(-LN(2)/25))/(LN(2)/25)*Calculateur!ER38*Calculateur!ET38*VLOOKUP('Données projet'!$B$15,Paramètres!$A$1:$I$89,3,0)*0.475*44/12</f>
        <v>10.83554930877732</v>
      </c>
      <c r="EX38" s="21">
        <f>EXP(-LN(2)/2)*EX37+(1-EXP(-LN(2)/2))/(LN(2)/2)*ER38*EU38*VLOOKUP('Données projet'!$B$15,Paramètres!$A$1:$I$89,3,0)*0.475*44/12</f>
        <v>2.0917988642603347</v>
      </c>
      <c r="EY38" s="22">
        <f t="shared" si="21"/>
        <v>15.98518367845673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23.327500000000001</v>
      </c>
      <c r="N39" s="13">
        <f>IF('Données projet'!$A$36&gt;35,N38+M39-V38,IF(A39&lt;'Données projet'!$A$36,$K$205^A39,IF(A39='Données projet'!$A$36,'Données projet'!$B$36,N38+M39-V38)))</f>
        <v>405.9</v>
      </c>
      <c r="O39" s="13">
        <f>N39*VLOOKUP('Données projet'!$B$9,Paramètres!$A$1:$I$89,3,0)*VLOOKUP('Données projet'!$B$9,Paramètres!$A$1:$I$89,5,0)</f>
        <v>242.72820000000002</v>
      </c>
      <c r="P39" s="13">
        <f t="shared" si="33"/>
        <v>59.026129292443294</v>
      </c>
      <c r="Q39" s="20">
        <f t="shared" si="53"/>
        <v>525.55545685100537</v>
      </c>
      <c r="R39" s="59">
        <f t="shared" si="0"/>
        <v>818.88879018433863</v>
      </c>
      <c r="S39" s="59">
        <f ca="1">AVERAGE(OFFSET($R$3,0,0,'Données projet'!$E$9+1,1))-AVERAGE(OFFSET($H$3,0,0,'Données projet'!$E$9+1,1))</f>
        <v>388.12151914648013</v>
      </c>
      <c r="T39" s="59">
        <f t="shared" si="34"/>
        <v>481.43684454382793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29.196579375924383</v>
      </c>
      <c r="AA39" s="21">
        <f>EXP(-LN(2)/25)*AA38+(1-EXP(-LN(2)/25))/(LN(2)/25)*Calculateur!V39*Calculateur!X39*VLOOKUP('Données projet'!$B$9,Paramètres!$A$1:$I$89,3,0)*0.475*44/12</f>
        <v>17.761290894015282</v>
      </c>
      <c r="AB39" s="21">
        <f>EXP(-LN(2)/2)*AB38+(1-EXP(-LN(2)/2))/(LN(2)/2)*V39*Y39*VLOOKUP('Données projet'!$B$9,Paramètres!$A$1:$I$89,3,0)*0.475*44/12</f>
        <v>2.9985919380883796</v>
      </c>
      <c r="AC39" s="22">
        <f t="shared" si="3"/>
        <v>49.956462208028043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16.693750000000001</v>
      </c>
      <c r="AI39" s="13">
        <f>IF('Données projet'!$A$62&gt;35,AI38+AH39-AQ38,IF(A39&lt;'Données projet'!$A$62,$AF$205^A39,IF(A39='Données projet'!$A$62,'Données projet'!$B$62,AI38+AH39-AQ38)))</f>
        <v>217.27125000000001</v>
      </c>
      <c r="AJ39" s="13">
        <f>AI39*VLOOKUP('Données projet'!$B$10,Paramètres!$A$1:$I$89,3,0)*VLOOKUP('Données projet'!$B$10,Paramètres!$A$1:$I$89,5,0)</f>
        <v>129.92820750000001</v>
      </c>
      <c r="AK39" s="13">
        <f t="shared" si="35"/>
        <v>33.97976966017913</v>
      </c>
      <c r="AL39" s="20">
        <f t="shared" si="4"/>
        <v>285.47306022064532</v>
      </c>
      <c r="AM39" s="59">
        <f t="shared" si="5"/>
        <v>578.80639355397864</v>
      </c>
      <c r="AN39" s="59">
        <f ca="1">AVERAGE(OFFSET($AM$3,0,0,'Données projet'!$E$10+1,1))-AVERAGE(OFFSET($H$3,0,0,'Données projet'!$E$10+1,1))</f>
        <v>349.71285006949597</v>
      </c>
      <c r="AO39" s="59">
        <f t="shared" si="36"/>
        <v>258.51550516456842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10.634883719227338</v>
      </c>
      <c r="AV39" s="21">
        <f>EXP(-LN(2)/25)*AV38+(1-EXP(-LN(2)/25))/(LN(2)/25)*Calculateur!AQ39*Calculateur!AS39*VLOOKUP('Données projet'!$B$10,Paramètres!$A$1:$I$89,3,0)*0.475*44/12</f>
        <v>14.692663809738846</v>
      </c>
      <c r="AW39" s="21">
        <f>EXP(-LN(2)/2)*AW38+(1-EXP(-LN(2)/2))/(LN(2)/2)*AQ39*AT39*VLOOKUP('Données projet'!$B$10,Paramètres!$A$1:$I$89,3,0)*0.475*44/12</f>
        <v>5.1271629777558738</v>
      </c>
      <c r="AX39" s="21">
        <f t="shared" si="6"/>
        <v>30.454710506722058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4.9999999999999973</v>
      </c>
      <c r="BD39" s="12">
        <f>IF('Données projet'!$A$88&gt;35,BD38+BC39-BL38,IF(A39&lt;'Données projet'!$A$88,$BA$205^A39,IF(A39='Données projet'!$A$88,'Données projet'!$B$88,BD38+BC39-BL38)))</f>
        <v>87.692307692307708</v>
      </c>
      <c r="BE39" s="13">
        <f>BD39*VLOOKUP('Données projet'!$B$11,Paramètres!$A$1:$I$89,3,0)*VLOOKUP('Données projet'!$B$11,Paramètres!$A$1:$I$89,5,0)</f>
        <v>91.65600000000002</v>
      </c>
      <c r="BF39" s="13">
        <f t="shared" si="37"/>
        <v>24.964187521971738</v>
      </c>
      <c r="BG39" s="20">
        <f t="shared" si="7"/>
        <v>203.11349326743414</v>
      </c>
      <c r="BH39" s="59">
        <f t="shared" si="8"/>
        <v>496.44682660076745</v>
      </c>
      <c r="BI39" s="59">
        <f ca="1">AVERAGE(OFFSET($BH$3,0,0,'Données projet'!$E$11+1,1))-AVERAGE(OFFSET($H$3,0,0,'Données projet'!$E$11+1,1))</f>
        <v>260.74709892624571</v>
      </c>
      <c r="BJ39" s="59">
        <f t="shared" si="38"/>
        <v>237.17381692184887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13.788478949537875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13.788478949537875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13.956249999999997</v>
      </c>
      <c r="BY39" s="12">
        <f>IF('Données projet'!$A$114&gt;35,BY38+BX39-CG38,IF(A39&lt;'Données projet'!$A$114,$BV$205^A39,IF(A39='Données projet'!$A$114,'Données projet'!$B$114,BY38+BX39-CG38)))</f>
        <v>164.27249999999998</v>
      </c>
      <c r="BZ39" s="13">
        <f>BY39*VLOOKUP('Données projet'!$B$12,Paramètres!$A$1:$I$89,3,0)*VLOOKUP('Données projet'!$B$12,Paramètres!$A$1:$I$89,5,0)</f>
        <v>148.63375799999997</v>
      </c>
      <c r="CA39" s="13">
        <f t="shared" si="39"/>
        <v>38.267937075369332</v>
      </c>
      <c r="CB39" s="20">
        <f t="shared" si="10"/>
        <v>325.52045225626819</v>
      </c>
      <c r="CC39" s="59">
        <f t="shared" si="11"/>
        <v>618.85378558960156</v>
      </c>
      <c r="CD39" s="59">
        <f ca="1">AVERAGE(OFFSET($CC$3,0,0,'Données projet'!$E$12+1,1))-AVERAGE(OFFSET($H$3,0,0,'Données projet'!$E$12+1,1))</f>
        <v>695.0879239758051</v>
      </c>
      <c r="CE39" s="59">
        <f t="shared" si="40"/>
        <v>226.22150997227476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11.893008083856312</v>
      </c>
      <c r="CM39" s="21">
        <f>EXP(-LN(2)/2)*CM38+(1-EXP(-LN(2)/2))/(LN(2)/2)*CG39*CJ39*VLOOKUP('Données projet'!$B$12,Paramètres!$A$1:$I$89,3,0)*0.475*44/12</f>
        <v>3.1313831627646143</v>
      </c>
      <c r="CN39" s="22">
        <f t="shared" si="12"/>
        <v>15.024391246620926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13.956249999999997</v>
      </c>
      <c r="CT39" s="12">
        <f>IF('Données projet'!$A$140&gt;35,CT38+CS39-DB38,IF(A39&lt;'Données projet'!$A$140,$CQ$205^A39,IF(A39='Données projet'!$A$140,'Données projet'!$B$140,CT38+CS39-DB38)))</f>
        <v>164.27249999999998</v>
      </c>
      <c r="CU39" s="17">
        <f>CT39*VLOOKUP('Données projet'!$B$13,Paramètres!$A$1:$I$89,3,0)*VLOOKUP('Données projet'!$B$13,Paramètres!$A$1:$I$89,5,0)</f>
        <v>166.57231499999997</v>
      </c>
      <c r="CV39" s="13">
        <f t="shared" si="41"/>
        <v>42.321428472689355</v>
      </c>
      <c r="CW39" s="20">
        <f t="shared" si="13"/>
        <v>363.82326988160054</v>
      </c>
      <c r="CX39" s="59">
        <f t="shared" si="14"/>
        <v>657.15660321493385</v>
      </c>
      <c r="CY39" s="59">
        <f ca="1">AVERAGE(OFFSET($CX$3,0,0,'Données projet'!$E$13+1,1))-AVERAGE(OFFSET($H$3,0,0,'Données projet'!$E$13+1,1))</f>
        <v>773.15074145293738</v>
      </c>
      <c r="CZ39" s="59">
        <f t="shared" si="42"/>
        <v>248.49577986312505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13.32837112845966</v>
      </c>
      <c r="DH39" s="21">
        <f>EXP(-LN(2)/2)*DH38+(1-EXP(-LN(2)/2))/(LN(2)/2)*DB39*DE39*VLOOKUP('Données projet'!$B$13,Paramètres!$A$1:$I$89,3,0)*0.475*44/12</f>
        <v>3.5093087168913781</v>
      </c>
      <c r="DI39" s="22">
        <f t="shared" si="15"/>
        <v>16.837679845351037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6.4429411764705877</v>
      </c>
      <c r="DO39" s="12">
        <f>IF('Données projet'!$A$166&gt;35,DO38+DN39-DW38,IF(A39&lt;'Données projet'!$A$166,$DL$205^A39,IF(A39='Données projet'!$A$166,'Données projet'!$B$166,DO38+DN39-DW38)))</f>
        <v>231.94588235294106</v>
      </c>
      <c r="DP39" s="17">
        <f>DO39*VLOOKUP('Données projet'!$B$14,Paramètres!$A$1:$I$89,3,0)*VLOOKUP('Données projet'!$B$14,Paramètres!$A$1:$I$89,5,0)</f>
        <v>108.5506729411764</v>
      </c>
      <c r="DQ39" s="13">
        <f t="shared" si="43"/>
        <v>28.989248670148307</v>
      </c>
      <c r="DR39" s="20">
        <f t="shared" si="16"/>
        <v>239.5486968063905</v>
      </c>
      <c r="DS39" s="59">
        <f t="shared" si="17"/>
        <v>532.88203013972384</v>
      </c>
      <c r="DT39" s="59">
        <f ca="1">AVERAGE(OFFSET($DS$3,0,0,'Données projet'!$E$14+1,1))-AVERAGE(OFFSET($H$3,0,0,'Données projet'!$E$14+1,1))</f>
        <v>293.15557501692803</v>
      </c>
      <c r="DU39" s="59">
        <f t="shared" si="44"/>
        <v>237.1930412773068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13.357499999999998</v>
      </c>
      <c r="EJ39" s="12">
        <f>IF('Données projet'!$A$192&gt;35,EJ38+EI39-ER38,IF(A39&lt;'Données projet'!$A$192,$EG$205^A39,IF(A39='Données projet'!$A$192,'Données projet'!$B$192,EJ38+EI39-ER38)))</f>
        <v>209.76499999999993</v>
      </c>
      <c r="EK39" s="17">
        <f>EJ39*VLOOKUP('Données projet'!$B$15,Paramètres!$A$1:$I$89,3,0)*VLOOKUP('Données projet'!$B$15,Paramètres!$A$1:$I$89,5,0)</f>
        <v>125.43946999999997</v>
      </c>
      <c r="EL39" s="13">
        <f t="shared" si="45"/>
        <v>32.940374560679956</v>
      </c>
      <c r="EM39" s="20">
        <f t="shared" si="19"/>
        <v>275.84489594318421</v>
      </c>
      <c r="EN39" s="59">
        <f t="shared" si="20"/>
        <v>569.17822927651753</v>
      </c>
      <c r="EO39" s="59">
        <f ca="1">AVERAGE(OFFSET($EN$3,0,0,'Données projet'!$E$15+1,1))-AVERAGE(OFFSET($H$3,0,0,'Données projet'!$E$15+1,1))</f>
        <v>225.86663363047296</v>
      </c>
      <c r="EP39" s="59">
        <f t="shared" si="46"/>
        <v>258.08349727304397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2.9978732162533017</v>
      </c>
      <c r="EW39" s="21">
        <f>EXP(-LN(2)/25)*EW38+(1-EXP(-LN(2)/25))/(LN(2)/25)*Calculateur!ER39*Calculateur!ET39*VLOOKUP('Données projet'!$B$15,Paramètres!$A$1:$I$89,3,0)*0.475*44/12</f>
        <v>10.539250643112032</v>
      </c>
      <c r="EX39" s="21">
        <f>EXP(-LN(2)/2)*EX38+(1-EXP(-LN(2)/2))/(LN(2)/2)*ER39*EU39*VLOOKUP('Données projet'!$B$15,Paramètres!$A$1:$I$89,3,0)*0.475*44/12</f>
        <v>1.4791251617968011</v>
      </c>
      <c r="EY39" s="22">
        <f t="shared" si="21"/>
        <v>15.016249021162135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23.327500000000001</v>
      </c>
      <c r="N40" s="13">
        <f>IF('Données projet'!$A$36&gt;35,N39+M40-V39,IF(A40&lt;'Données projet'!$A$36,$K$205^A40,IF(A40='Données projet'!$A$36,'Données projet'!$B$36,N39+M40-V39)))</f>
        <v>429.22749999999996</v>
      </c>
      <c r="O40" s="13">
        <f>N40*VLOOKUP('Données projet'!$B$9,Paramètres!$A$1:$I$89,3,0)*VLOOKUP('Données projet'!$B$9,Paramètres!$A$1:$I$89,5,0)</f>
        <v>256.678045</v>
      </c>
      <c r="P40" s="13">
        <f t="shared" si="33"/>
        <v>62.013742319875981</v>
      </c>
      <c r="Q40" s="20">
        <f t="shared" si="53"/>
        <v>555.0548629154506</v>
      </c>
      <c r="R40" s="59">
        <f t="shared" si="0"/>
        <v>848.38819624878397</v>
      </c>
      <c r="S40" s="59">
        <f ca="1">AVERAGE(OFFSET($R$3,0,0,'Données projet'!$E$9+1,1))-AVERAGE(OFFSET($H$3,0,0,'Données projet'!$E$9+1,1))</f>
        <v>388.12151914648013</v>
      </c>
      <c r="T40" s="59">
        <f t="shared" si="34"/>
        <v>481.43684454382793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28.624052262517516</v>
      </c>
      <c r="AA40" s="21">
        <f>EXP(-LN(2)/25)*AA39+(1-EXP(-LN(2)/25))/(LN(2)/25)*Calculateur!V40*Calculateur!X40*VLOOKUP('Données projet'!$B$9,Paramètres!$A$1:$I$89,3,0)*0.475*44/12</f>
        <v>17.27560746049274</v>
      </c>
      <c r="AB40" s="21">
        <f>EXP(-LN(2)/2)*AB39+(1-EXP(-LN(2)/2))/(LN(2)/2)*V40*Y40*VLOOKUP('Données projet'!$B$9,Paramètres!$A$1:$I$89,3,0)*0.475*44/12</f>
        <v>2.1203246934336053</v>
      </c>
      <c r="AC40" s="22">
        <f t="shared" si="3"/>
        <v>48.019984416443862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16.693750000000001</v>
      </c>
      <c r="AI40" s="13">
        <f>IF('Données projet'!$A$62&gt;35,AI39+AH40-AQ39,IF(A40&lt;'Données projet'!$A$62,$AF$205^A40,IF(A40='Données projet'!$A$62,'Données projet'!$B$62,AI39+AH40-AQ39)))</f>
        <v>233.965</v>
      </c>
      <c r="AJ40" s="13">
        <f>AI40*VLOOKUP('Données projet'!$B$10,Paramètres!$A$1:$I$89,3,0)*VLOOKUP('Données projet'!$B$10,Paramètres!$A$1:$I$89,5,0)</f>
        <v>139.91107000000002</v>
      </c>
      <c r="AK40" s="13">
        <f t="shared" si="35"/>
        <v>36.276632127461212</v>
      </c>
      <c r="AL40" s="20">
        <f t="shared" si="4"/>
        <v>306.860247871995</v>
      </c>
      <c r="AM40" s="59">
        <f t="shared" si="5"/>
        <v>600.19358120532831</v>
      </c>
      <c r="AN40" s="59">
        <f ca="1">AVERAGE(OFFSET($AM$3,0,0,'Données projet'!$E$10+1,1))-AVERAGE(OFFSET($H$3,0,0,'Données projet'!$E$10+1,1))</f>
        <v>349.71285006949597</v>
      </c>
      <c r="AO40" s="59">
        <f t="shared" si="36"/>
        <v>258.51550516456842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10.426340136131856</v>
      </c>
      <c r="AV40" s="21">
        <f>EXP(-LN(2)/25)*AV39+(1-EXP(-LN(2)/25))/(LN(2)/25)*Calculateur!AQ40*Calculateur!AS40*VLOOKUP('Données projet'!$B$10,Paramètres!$A$1:$I$89,3,0)*0.475*44/12</f>
        <v>14.290892145207929</v>
      </c>
      <c r="AW40" s="21">
        <f>EXP(-LN(2)/2)*AW39+(1-EXP(-LN(2)/2))/(LN(2)/2)*AQ40*AT40*VLOOKUP('Données projet'!$B$10,Paramètres!$A$1:$I$89,3,0)*0.475*44/12</f>
        <v>3.6254517098197905</v>
      </c>
      <c r="AX40" s="21">
        <f t="shared" si="6"/>
        <v>28.342683991159575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4.9999999999999973</v>
      </c>
      <c r="BD40" s="12">
        <f>IF('Données projet'!$A$88&gt;35,BD39+BC40-BL39,IF(A40&lt;'Données projet'!$A$88,$BA$205^A40,IF(A40='Données projet'!$A$88,'Données projet'!$B$88,BD39+BC40-BL39)))</f>
        <v>92.692307692307708</v>
      </c>
      <c r="BE40" s="13">
        <f>BD40*VLOOKUP('Données projet'!$B$11,Paramètres!$A$1:$I$89,3,0)*VLOOKUP('Données projet'!$B$11,Paramètres!$A$1:$I$89,5,0)</f>
        <v>96.882000000000033</v>
      </c>
      <c r="BF40" s="13">
        <f t="shared" si="37"/>
        <v>26.21781316207062</v>
      </c>
      <c r="BG40" s="20">
        <f t="shared" si="7"/>
        <v>214.39884125727303</v>
      </c>
      <c r="BH40" s="59">
        <f t="shared" si="8"/>
        <v>507.73217459060635</v>
      </c>
      <c r="BI40" s="59">
        <f ca="1">AVERAGE(OFFSET($BH$3,0,0,'Données projet'!$E$11+1,1))-AVERAGE(OFFSET($H$3,0,0,'Données projet'!$E$11+1,1))</f>
        <v>260.74709892624571</v>
      </c>
      <c r="BJ40" s="59">
        <f t="shared" si="38"/>
        <v>237.17381692184887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13.411432267558169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13.411432267558169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13.956249999999997</v>
      </c>
      <c r="BY40" s="12">
        <f>IF('Données projet'!$A$114&gt;35,BY39+BX40-CG39,IF(A40&lt;'Données projet'!$A$114,$BV$205^A40,IF(A40='Données projet'!$A$114,'Données projet'!$B$114,BY39+BX40-CG39)))</f>
        <v>178.22874999999999</v>
      </c>
      <c r="BZ40" s="13">
        <f>BY40*VLOOKUP('Données projet'!$B$12,Paramètres!$A$1:$I$89,3,0)*VLOOKUP('Données projet'!$B$12,Paramètres!$A$1:$I$89,5,0)</f>
        <v>161.26137299999999</v>
      </c>
      <c r="CA40" s="13">
        <f t="shared" si="39"/>
        <v>41.126891450739848</v>
      </c>
      <c r="CB40" s="20">
        <f t="shared" si="10"/>
        <v>352.49289391837186</v>
      </c>
      <c r="CC40" s="59">
        <f t="shared" si="11"/>
        <v>645.82622725170518</v>
      </c>
      <c r="CD40" s="59">
        <f ca="1">AVERAGE(OFFSET($CC$3,0,0,'Données projet'!$E$12+1,1))-AVERAGE(OFFSET($H$3,0,0,'Données projet'!$E$12+1,1))</f>
        <v>695.0879239758051</v>
      </c>
      <c r="CE40" s="59">
        <f t="shared" si="40"/>
        <v>226.22150997227476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11.567793152377147</v>
      </c>
      <c r="CM40" s="21">
        <f>EXP(-LN(2)/2)*CM39+(1-EXP(-LN(2)/2))/(LN(2)/2)*CG40*CJ40*VLOOKUP('Données projet'!$B$12,Paramètres!$A$1:$I$89,3,0)*0.475*44/12</f>
        <v>2.2142222688842375</v>
      </c>
      <c r="CN40" s="22">
        <f t="shared" si="12"/>
        <v>13.782015421261384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13.956249999999997</v>
      </c>
      <c r="CT40" s="12">
        <f>IF('Données projet'!$A$140&gt;35,CT39+CS40-DB39,IF(A40&lt;'Données projet'!$A$140,$CQ$205^A40,IF(A40='Données projet'!$A$140,'Données projet'!$B$140,CT39+CS40-DB39)))</f>
        <v>178.22874999999999</v>
      </c>
      <c r="CU40" s="17">
        <f>CT40*VLOOKUP('Données projet'!$B$13,Paramètres!$A$1:$I$89,3,0)*VLOOKUP('Données projet'!$B$13,Paramètres!$A$1:$I$89,5,0)</f>
        <v>180.7239525</v>
      </c>
      <c r="CV40" s="13">
        <f t="shared" si="41"/>
        <v>45.483214614064721</v>
      </c>
      <c r="CW40" s="20">
        <f t="shared" si="13"/>
        <v>393.97748272366266</v>
      </c>
      <c r="CX40" s="59">
        <f t="shared" si="14"/>
        <v>687.31081605699592</v>
      </c>
      <c r="CY40" s="59">
        <f ca="1">AVERAGE(OFFSET($CX$3,0,0,'Données projet'!$E$13+1,1))-AVERAGE(OFFSET($H$3,0,0,'Données projet'!$E$13+1,1))</f>
        <v>773.15074145293738</v>
      </c>
      <c r="CZ40" s="59">
        <f t="shared" si="42"/>
        <v>248.49577986312505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12.963906119043354</v>
      </c>
      <c r="DH40" s="21">
        <f>EXP(-LN(2)/2)*DH39+(1-EXP(-LN(2)/2))/(LN(2)/2)*DB40*DE40*VLOOKUP('Données projet'!$B$13,Paramètres!$A$1:$I$89,3,0)*0.475*44/12</f>
        <v>2.4814559909909559</v>
      </c>
      <c r="DI40" s="22">
        <f t="shared" si="15"/>
        <v>15.44536211003431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6.4429411764705877</v>
      </c>
      <c r="DO40" s="12">
        <f>IF('Données projet'!$A$166&gt;35,DO39+DN40-DW39,IF(A40&lt;'Données projet'!$A$166,$DL$205^A40,IF(A40='Données projet'!$A$166,'Données projet'!$B$166,DO39+DN40-DW39)))</f>
        <v>238.38882352941164</v>
      </c>
      <c r="DP40" s="17">
        <f>DO40*VLOOKUP('Données projet'!$B$14,Paramètres!$A$1:$I$89,3,0)*VLOOKUP('Données projet'!$B$14,Paramètres!$A$1:$I$89,5,0)</f>
        <v>111.56596941176464</v>
      </c>
      <c r="DQ40" s="13">
        <f t="shared" si="43"/>
        <v>29.699635093753383</v>
      </c>
      <c r="DR40" s="20">
        <f t="shared" si="16"/>
        <v>246.03759451377718</v>
      </c>
      <c r="DS40" s="59">
        <f t="shared" si="17"/>
        <v>539.37092784711047</v>
      </c>
      <c r="DT40" s="59">
        <f ca="1">AVERAGE(OFFSET($DS$3,0,0,'Données projet'!$E$14+1,1))-AVERAGE(OFFSET($H$3,0,0,'Données projet'!$E$14+1,1))</f>
        <v>293.15557501692803</v>
      </c>
      <c r="DU40" s="59">
        <f t="shared" si="44"/>
        <v>237.1930412773068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13.357499999999998</v>
      </c>
      <c r="EJ40" s="12">
        <f>IF('Données projet'!$A$192&gt;35,EJ39+EI40-ER39,IF(A40&lt;'Données projet'!$A$192,$EG$205^A40,IF(A40='Données projet'!$A$192,'Données projet'!$B$192,EJ39+EI40-ER39)))</f>
        <v>223.12249999999992</v>
      </c>
      <c r="EK40" s="17">
        <f>EJ40*VLOOKUP('Données projet'!$B$15,Paramètres!$A$1:$I$89,3,0)*VLOOKUP('Données projet'!$B$15,Paramètres!$A$1:$I$89,5,0)</f>
        <v>133.42725499999995</v>
      </c>
      <c r="EL40" s="13">
        <f t="shared" si="45"/>
        <v>34.787093979142497</v>
      </c>
      <c r="EM40" s="20">
        <f t="shared" si="19"/>
        <v>292.97332447200637</v>
      </c>
      <c r="EN40" s="59">
        <f t="shared" si="20"/>
        <v>586.30665780533968</v>
      </c>
      <c r="EO40" s="59">
        <f ca="1">AVERAGE(OFFSET($EN$3,0,0,'Données projet'!$E$15+1,1))-AVERAGE(OFFSET($H$3,0,0,'Données projet'!$E$15+1,1))</f>
        <v>225.86663363047296</v>
      </c>
      <c r="EP40" s="59">
        <f t="shared" si="46"/>
        <v>258.08349727304397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2.9390867510046847</v>
      </c>
      <c r="EW40" s="21">
        <f>EXP(-LN(2)/25)*EW39+(1-EXP(-LN(2)/25))/(LN(2)/25)*Calculateur!ER40*Calculateur!ET40*VLOOKUP('Données projet'!$B$15,Paramètres!$A$1:$I$89,3,0)*0.475*44/12</f>
        <v>10.25105428004103</v>
      </c>
      <c r="EX40" s="21">
        <f>EXP(-LN(2)/2)*EX39+(1-EXP(-LN(2)/2))/(LN(2)/2)*ER40*EU40*VLOOKUP('Données projet'!$B$15,Paramètres!$A$1:$I$89,3,0)*0.475*44/12</f>
        <v>1.0458994321301673</v>
      </c>
      <c r="EY40" s="22">
        <f t="shared" si="21"/>
        <v>14.236040463175883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23.327500000000001</v>
      </c>
      <c r="N41" s="13">
        <f>IF('Données projet'!$A$36&gt;35,N40+M41-V40,IF(A41&lt;'Données projet'!$A$36,$K$205^A41,IF(A41='Données projet'!$A$36,'Données projet'!$B$36,N40+M41-V40)))</f>
        <v>452.55499999999995</v>
      </c>
      <c r="O41" s="13">
        <f>N41*VLOOKUP('Données projet'!$B$9,Paramètres!$A$1:$I$89,3,0)*VLOOKUP('Données projet'!$B$9,Paramètres!$A$1:$I$89,5,0)</f>
        <v>270.62788999999998</v>
      </c>
      <c r="P41" s="13">
        <f t="shared" si="33"/>
        <v>64.982505373007044</v>
      </c>
      <c r="Q41" s="20">
        <f t="shared" si="53"/>
        <v>584.52143860798708</v>
      </c>
      <c r="R41" s="59">
        <f t="shared" si="0"/>
        <v>877.85477194132045</v>
      </c>
      <c r="S41" s="59">
        <f ca="1">AVERAGE(OFFSET($R$3,0,0,'Données projet'!$E$9+1,1))-AVERAGE(OFFSET($H$3,0,0,'Données projet'!$E$9+1,1))</f>
        <v>388.12151914648013</v>
      </c>
      <c r="T41" s="59">
        <f t="shared" si="34"/>
        <v>481.43684454382793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28.0627520565975</v>
      </c>
      <c r="AA41" s="21">
        <f>EXP(-LN(2)/25)*AA40+(1-EXP(-LN(2)/25))/(LN(2)/25)*Calculateur!V41*Calculateur!X41*VLOOKUP('Données projet'!$B$9,Paramètres!$A$1:$I$89,3,0)*0.475*44/12</f>
        <v>16.803205066000853</v>
      </c>
      <c r="AB41" s="21">
        <f>EXP(-LN(2)/2)*AB40+(1-EXP(-LN(2)/2))/(LN(2)/2)*V41*Y41*VLOOKUP('Données projet'!$B$9,Paramètres!$A$1:$I$89,3,0)*0.475*44/12</f>
        <v>1.4992959690441898</v>
      </c>
      <c r="AC41" s="22">
        <f t="shared" si="3"/>
        <v>46.365253091642543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16.693750000000001</v>
      </c>
      <c r="AI41" s="13">
        <f>IF('Données projet'!$A$62&gt;35,AI40+AH41-AQ40,IF(A41&lt;'Données projet'!$A$62,$AF$205^A41,IF(A41='Données projet'!$A$62,'Données projet'!$B$62,AI40+AH41-AQ40)))</f>
        <v>250.65875</v>
      </c>
      <c r="AJ41" s="13">
        <f>AI41*VLOOKUP('Données projet'!$B$10,Paramètres!$A$1:$I$89,3,0)*VLOOKUP('Données projet'!$B$10,Paramètres!$A$1:$I$89,5,0)</f>
        <v>149.89393250000001</v>
      </c>
      <c r="AK41" s="13">
        <f t="shared" si="35"/>
        <v>38.554480408619099</v>
      </c>
      <c r="AL41" s="20">
        <f t="shared" si="4"/>
        <v>328.21431914917827</v>
      </c>
      <c r="AM41" s="59">
        <f t="shared" si="5"/>
        <v>621.54765248251158</v>
      </c>
      <c r="AN41" s="59">
        <f ca="1">AVERAGE(OFFSET($AM$3,0,0,'Données projet'!$E$10+1,1))-AVERAGE(OFFSET($H$3,0,0,'Données projet'!$E$10+1,1))</f>
        <v>349.71285006949597</v>
      </c>
      <c r="AO41" s="59">
        <f t="shared" si="36"/>
        <v>258.51550516456842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10.221885965501851</v>
      </c>
      <c r="AV41" s="21">
        <f>EXP(-LN(2)/25)*AV40+(1-EXP(-LN(2)/25))/(LN(2)/25)*Calculateur!AQ41*Calculateur!AS41*VLOOKUP('Données projet'!$B$10,Paramètres!$A$1:$I$89,3,0)*0.475*44/12</f>
        <v>13.900106947971862</v>
      </c>
      <c r="AW41" s="21">
        <f>EXP(-LN(2)/2)*AW40+(1-EXP(-LN(2)/2))/(LN(2)/2)*AQ41*AT41*VLOOKUP('Données projet'!$B$10,Paramètres!$A$1:$I$89,3,0)*0.475*44/12</f>
        <v>2.5635814888779374</v>
      </c>
      <c r="AX41" s="21">
        <f t="shared" si="6"/>
        <v>26.685574402351648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4.9999999999999973</v>
      </c>
      <c r="BD41" s="12">
        <f>IF('Données projet'!$A$88&gt;35,BD40+BC41-BL40,IF(A41&lt;'Données projet'!$A$88,$BA$205^A41,IF(A41='Données projet'!$A$88,'Données projet'!$B$88,BD40+BC41-BL40)))</f>
        <v>97.692307692307708</v>
      </c>
      <c r="BE41" s="13">
        <f>BD41*VLOOKUP('Données projet'!$B$11,Paramètres!$A$1:$I$89,3,0)*VLOOKUP('Données projet'!$B$11,Paramètres!$A$1:$I$89,5,0)</f>
        <v>102.10800000000003</v>
      </c>
      <c r="BF41" s="13">
        <f t="shared" si="37"/>
        <v>27.463588130350807</v>
      </c>
      <c r="BG41" s="20">
        <f t="shared" si="7"/>
        <v>225.67051599369438</v>
      </c>
      <c r="BH41" s="59">
        <f t="shared" si="8"/>
        <v>519.00384932702764</v>
      </c>
      <c r="BI41" s="59">
        <f ca="1">AVERAGE(OFFSET($BH$3,0,0,'Données projet'!$E$11+1,1))-AVERAGE(OFFSET($H$3,0,0,'Données projet'!$E$11+1,1))</f>
        <v>260.74709892624571</v>
      </c>
      <c r="BJ41" s="59">
        <f t="shared" si="38"/>
        <v>237.17381692184887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13.04469594692522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13.04469594692522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13.956249999999997</v>
      </c>
      <c r="BY41" s="12">
        <f>IF('Données projet'!$A$114&gt;35,BY40+BX41-CG40,IF(A41&lt;'Données projet'!$A$114,$BV$205^A41,IF(A41='Données projet'!$A$114,'Données projet'!$B$114,BY40+BX41-CG40)))</f>
        <v>192.185</v>
      </c>
      <c r="BZ41" s="13">
        <f>BY41*VLOOKUP('Données projet'!$B$12,Paramètres!$A$1:$I$89,3,0)*VLOOKUP('Données projet'!$B$12,Paramètres!$A$1:$I$89,5,0)</f>
        <v>173.88898799999998</v>
      </c>
      <c r="CA41" s="13">
        <f t="shared" si="39"/>
        <v>43.959877621771504</v>
      </c>
      <c r="CB41" s="20">
        <f t="shared" si="10"/>
        <v>379.42010762458534</v>
      </c>
      <c r="CC41" s="59">
        <f t="shared" si="11"/>
        <v>672.75344095791866</v>
      </c>
      <c r="CD41" s="59">
        <f ca="1">AVERAGE(OFFSET($CC$3,0,0,'Données projet'!$E$12+1,1))-AVERAGE(OFFSET($H$3,0,0,'Données projet'!$E$12+1,1))</f>
        <v>695.0879239758051</v>
      </c>
      <c r="CE41" s="59">
        <f t="shared" si="40"/>
        <v>226.22150997227476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11.251471240301591</v>
      </c>
      <c r="CM41" s="21">
        <f>EXP(-LN(2)/2)*CM40+(1-EXP(-LN(2)/2))/(LN(2)/2)*CG41*CJ41*VLOOKUP('Données projet'!$B$12,Paramètres!$A$1:$I$89,3,0)*0.475*44/12</f>
        <v>1.5656915813823074</v>
      </c>
      <c r="CN41" s="22">
        <f t="shared" si="12"/>
        <v>12.817162821683898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13.956249999999997</v>
      </c>
      <c r="CT41" s="12">
        <f>IF('Données projet'!$A$140&gt;35,CT40+CS41-DB40,IF(A41&lt;'Données projet'!$A$140,$CQ$205^A41,IF(A41='Données projet'!$A$140,'Données projet'!$B$140,CT40+CS41-DB40)))</f>
        <v>192.185</v>
      </c>
      <c r="CU41" s="17">
        <f>CT41*VLOOKUP('Données projet'!$B$13,Paramètres!$A$1:$I$89,3,0)*VLOOKUP('Données projet'!$B$13,Paramètres!$A$1:$I$89,5,0)</f>
        <v>194.87559000000002</v>
      </c>
      <c r="CV41" s="13">
        <f t="shared" si="41"/>
        <v>48.61628189608976</v>
      </c>
      <c r="CW41" s="20">
        <f t="shared" si="13"/>
        <v>424.08167688568966</v>
      </c>
      <c r="CX41" s="59">
        <f t="shared" si="14"/>
        <v>717.41501021902297</v>
      </c>
      <c r="CY41" s="59">
        <f ca="1">AVERAGE(OFFSET($CX$3,0,0,'Données projet'!$E$13+1,1))-AVERAGE(OFFSET($H$3,0,0,'Données projet'!$E$13+1,1))</f>
        <v>773.15074145293738</v>
      </c>
      <c r="CZ41" s="59">
        <f t="shared" si="42"/>
        <v>248.49577986312505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12.60940742447592</v>
      </c>
      <c r="DH41" s="21">
        <f>EXP(-LN(2)/2)*DH40+(1-EXP(-LN(2)/2))/(LN(2)/2)*DB41*DE41*VLOOKUP('Données projet'!$B$13,Paramètres!$A$1:$I$89,3,0)*0.475*44/12</f>
        <v>1.7546543584456895</v>
      </c>
      <c r="DI41" s="22">
        <f t="shared" si="15"/>
        <v>14.36406178292161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6.4429411764705877</v>
      </c>
      <c r="DO41" s="12">
        <f>IF('Données projet'!$A$166&gt;35,DO40+DN41-DW40,IF(A41&lt;'Données projet'!$A$166,$DL$205^A41,IF(A41='Données projet'!$A$166,'Données projet'!$B$166,DO40+DN41-DW40)))</f>
        <v>244.83176470588222</v>
      </c>
      <c r="DP41" s="17">
        <f>DO41*VLOOKUP('Données projet'!$B$14,Paramètres!$A$1:$I$89,3,0)*VLOOKUP('Données projet'!$B$14,Paramètres!$A$1:$I$89,5,0)</f>
        <v>114.58126588235287</v>
      </c>
      <c r="DQ41" s="13">
        <f t="shared" si="43"/>
        <v>30.407789904629308</v>
      </c>
      <c r="DR41" s="20">
        <f t="shared" si="16"/>
        <v>252.5226054956606</v>
      </c>
      <c r="DS41" s="59">
        <f t="shared" si="17"/>
        <v>545.85593882899389</v>
      </c>
      <c r="DT41" s="59">
        <f ca="1">AVERAGE(OFFSET($DS$3,0,0,'Données projet'!$E$14+1,1))-AVERAGE(OFFSET($H$3,0,0,'Données projet'!$E$14+1,1))</f>
        <v>293.15557501692803</v>
      </c>
      <c r="DU41" s="59">
        <f t="shared" si="44"/>
        <v>237.1930412773068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>
        <f>VLOOKUP(A41,'Données projet'!$A$191:$I$211,2,0)</f>
        <v>236.48</v>
      </c>
      <c r="EH41" s="12">
        <f>VLOOKUP(A41,'Données projet'!$A$191:$I$211,9,0)</f>
        <v>13.357499999999998</v>
      </c>
      <c r="EI41" s="12">
        <f t="array" ref="EI41">INDEX(EH:EH,MIN(IF(ISNUMBER(EH41:EH237),ROW(EH41:EH237),"")))</f>
        <v>13.357499999999998</v>
      </c>
      <c r="EJ41" s="12">
        <f>IF('Données projet'!$A$192&gt;35,EJ40+EI41-ER40,IF(A41&lt;'Données projet'!$A$192,$EG$205^A41,IF(A41='Données projet'!$A$192,'Données projet'!$B$192,EJ40+EI41-ER40)))</f>
        <v>236.4799999999999</v>
      </c>
      <c r="EK41" s="17">
        <f>EJ41*VLOOKUP('Données projet'!$B$15,Paramètres!$A$1:$I$89,3,0)*VLOOKUP('Données projet'!$B$15,Paramètres!$A$1:$I$89,5,0)</f>
        <v>141.41503999999995</v>
      </c>
      <c r="EL41" s="13">
        <f t="shared" si="45"/>
        <v>36.620981310513351</v>
      </c>
      <c r="EM41" s="20">
        <f t="shared" si="19"/>
        <v>310.0794037824773</v>
      </c>
      <c r="EN41" s="59">
        <f t="shared" si="20"/>
        <v>603.41273711581061</v>
      </c>
      <c r="EO41" s="59">
        <f ca="1">AVERAGE(OFFSET($EN$3,0,0,'Données projet'!$E$15+1,1))-AVERAGE(OFFSET($H$3,0,0,'Données projet'!$E$15+1,1))</f>
        <v>225.86663363047296</v>
      </c>
      <c r="EP41" s="59">
        <f t="shared" si="46"/>
        <v>258.08349727304397</v>
      </c>
      <c r="EQ41" s="15">
        <f>IF(ISNA(VLOOKUP(A41,'Données projet'!$A$191:$I$211,3,0)),0,VLOOKUP(A41,'Données projet'!$A$191:$I$211,3,0))</f>
        <v>3</v>
      </c>
      <c r="ER41" s="15">
        <f>IF(ISNA(VLOOKUP(A41,'Données projet'!$A$191:$I$211,4,0)),0,VLOOKUP(A41,'Données projet'!$A$191:$I$211,4,0))</f>
        <v>54.399999999999977</v>
      </c>
      <c r="ES41" s="16">
        <f>IF(ISNA(VLOOKUP(A41,'Données projet'!$A$191:$I$211,5,0)),0%,VLOOKUP(A41,'Données projet'!$A$191:$I$211,5,0)*VLOOKUP('Données projet'!$B$15,Paramètres!$A$1:$I$89,7,0))</f>
        <v>0.27</v>
      </c>
      <c r="ET41" s="16">
        <f>IF(ISNA(VLOOKUP(A41,'Données projet'!$A$191:$I$211,6,0)),0%,VLOOKUP(A41,'Données projet'!$A$191:$I$211,6,0)*VLOOKUP('Données projet'!$B$15,Paramètres!$A$1:$I$89,7,0))</f>
        <v>9.0000000000000011E-2</v>
      </c>
      <c r="EU41" s="16">
        <f>IF(ISNA(VLOOKUP(A41,'Données projet'!$A$191:$I$211,7,0)),0%,VLOOKUP(A41,'Données projet'!$A$191:$I$211,7,0))</f>
        <v>0.2</v>
      </c>
      <c r="EV41" s="21">
        <f>EXP(-LN(2)/35)*EV40+(1-EXP(-LN(2)/35))/(LN(2)/35)*ER41*ES41*VLOOKUP('Données projet'!$B$15,Paramètres!$A$1:$I$89,3,0)*0.475*44/12</f>
        <v>14.533231127937972</v>
      </c>
      <c r="EW41" s="21">
        <f>EXP(-LN(2)/25)*EW40+(1-EXP(-LN(2)/25))/(LN(2)/25)*Calculateur!ER41*Calculateur!ET41*VLOOKUP('Données projet'!$B$15,Paramètres!$A$1:$I$89,3,0)*0.475*44/12</f>
        <v>13.839372190172462</v>
      </c>
      <c r="EX41" s="21">
        <f>EXP(-LN(2)/2)*EX40+(1-EXP(-LN(2)/2))/(LN(2)/2)*ER41*EU41*VLOOKUP('Données projet'!$B$15,Paramètres!$A$1:$I$89,3,0)*0.475*44/12</f>
        <v>8.1061376443569912</v>
      </c>
      <c r="EY41" s="22">
        <f t="shared" si="21"/>
        <v>36.478740962467427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23.327500000000001</v>
      </c>
      <c r="N42" s="13">
        <f>IF('Données projet'!$A$36&gt;35,N41+M42-V41,IF(A42&lt;'Données projet'!$A$36,$K$205^A42,IF(A42='Données projet'!$A$36,'Données projet'!$B$36,N41+M42-V41)))</f>
        <v>475.88249999999994</v>
      </c>
      <c r="O42" s="13">
        <f>N42*VLOOKUP('Données projet'!$B$9,Paramètres!$A$1:$I$89,3,0)*VLOOKUP('Données projet'!$B$9,Paramètres!$A$1:$I$89,5,0)</f>
        <v>284.57773500000002</v>
      </c>
      <c r="P42" s="13">
        <f t="shared" si="33"/>
        <v>67.933500931126744</v>
      </c>
      <c r="Q42" s="20">
        <f t="shared" si="53"/>
        <v>613.95706924671242</v>
      </c>
      <c r="R42" s="59">
        <f t="shared" si="0"/>
        <v>907.29040258004579</v>
      </c>
      <c r="S42" s="59">
        <f ca="1">AVERAGE(OFFSET($R$3,0,0,'Données projet'!$E$9+1,1))-AVERAGE(OFFSET($H$3,0,0,'Données projet'!$E$9+1,1))</f>
        <v>388.12151914648013</v>
      </c>
      <c r="T42" s="59">
        <f t="shared" si="34"/>
        <v>481.43684454382793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27.512458605356255</v>
      </c>
      <c r="AA42" s="21">
        <f>EXP(-LN(2)/25)*AA41+(1-EXP(-LN(2)/25))/(LN(2)/25)*Calculateur!V42*Calculateur!X42*VLOOKUP('Données projet'!$B$9,Paramètres!$A$1:$I$89,3,0)*0.475*44/12</f>
        <v>16.343720539828908</v>
      </c>
      <c r="AB42" s="21">
        <f>EXP(-LN(2)/2)*AB41+(1-EXP(-LN(2)/2))/(LN(2)/2)*V42*Y42*VLOOKUP('Données projet'!$B$9,Paramètres!$A$1:$I$89,3,0)*0.475*44/12</f>
        <v>1.0601623467168027</v>
      </c>
      <c r="AC42" s="22">
        <f t="shared" si="3"/>
        <v>44.916341491901967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16.693750000000001</v>
      </c>
      <c r="AI42" s="13">
        <f>IF('Données projet'!$A$62&gt;35,AI41+AH42-AQ41,IF(A42&lt;'Données projet'!$A$62,$AF$205^A42,IF(A42='Données projet'!$A$62,'Données projet'!$B$62,AI41+AH42-AQ41)))</f>
        <v>267.35250000000002</v>
      </c>
      <c r="AJ42" s="13">
        <f>AI42*VLOOKUP('Données projet'!$B$10,Paramètres!$A$1:$I$89,3,0)*VLOOKUP('Données projet'!$B$10,Paramètres!$A$1:$I$89,5,0)</f>
        <v>159.87679500000002</v>
      </c>
      <c r="AK42" s="13">
        <f t="shared" si="35"/>
        <v>40.814724929285397</v>
      </c>
      <c r="AL42" s="20">
        <f t="shared" si="4"/>
        <v>349.5377305435054</v>
      </c>
      <c r="AM42" s="59">
        <f t="shared" si="5"/>
        <v>642.87106387683866</v>
      </c>
      <c r="AN42" s="59">
        <f ca="1">AVERAGE(OFFSET($AM$3,0,0,'Données projet'!$E$10+1,1))-AVERAGE(OFFSET($H$3,0,0,'Données projet'!$E$10+1,1))</f>
        <v>349.71285006949597</v>
      </c>
      <c r="AO42" s="59">
        <f t="shared" si="36"/>
        <v>258.51550516456842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10.021441016453171</v>
      </c>
      <c r="AV42" s="21">
        <f>EXP(-LN(2)/25)*AV41+(1-EXP(-LN(2)/25))/(LN(2)/25)*Calculateur!AQ42*Calculateur!AS42*VLOOKUP('Données projet'!$B$10,Paramètres!$A$1:$I$89,3,0)*0.475*44/12</f>
        <v>13.520007792504716</v>
      </c>
      <c r="AW42" s="21">
        <f>EXP(-LN(2)/2)*AW41+(1-EXP(-LN(2)/2))/(LN(2)/2)*AQ42*AT42*VLOOKUP('Données projet'!$B$10,Paramètres!$A$1:$I$89,3,0)*0.475*44/12</f>
        <v>1.8127258549098955</v>
      </c>
      <c r="AX42" s="21">
        <f t="shared" si="6"/>
        <v>25.354174663867784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4.9999999999999973</v>
      </c>
      <c r="BD42" s="12">
        <f>IF('Données projet'!$A$88&gt;35,BD41+BC42-BL41,IF(A42&lt;'Données projet'!$A$88,$BA$205^A42,IF(A42='Données projet'!$A$88,'Données projet'!$B$88,BD41+BC42-BL41)))</f>
        <v>102.69230769230771</v>
      </c>
      <c r="BE42" s="13">
        <f>BD42*VLOOKUP('Données projet'!$B$11,Paramètres!$A$1:$I$89,3,0)*VLOOKUP('Données projet'!$B$11,Paramètres!$A$1:$I$89,5,0)</f>
        <v>107.33400000000002</v>
      </c>
      <c r="BF42" s="13">
        <f t="shared" si="37"/>
        <v>28.701960070060018</v>
      </c>
      <c r="BG42" s="20">
        <f t="shared" si="7"/>
        <v>236.92929712202124</v>
      </c>
      <c r="BH42" s="59">
        <f t="shared" si="8"/>
        <v>530.26263045535461</v>
      </c>
      <c r="BI42" s="59">
        <f ca="1">AVERAGE(OFFSET($BH$3,0,0,'Données projet'!$E$11+1,1))-AVERAGE(OFFSET($H$3,0,0,'Données projet'!$E$11+1,1))</f>
        <v>260.74709892624571</v>
      </c>
      <c r="BJ42" s="59">
        <f t="shared" si="38"/>
        <v>237.17381692184887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12.687988050265805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12.687988050265805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13.956249999999997</v>
      </c>
      <c r="BY42" s="12">
        <f>IF('Données projet'!$A$114&gt;35,BY41+BX42-CG41,IF(A42&lt;'Données projet'!$A$114,$BV$205^A42,IF(A42='Données projet'!$A$114,'Données projet'!$B$114,BY41+BX42-CG41)))</f>
        <v>206.14125000000001</v>
      </c>
      <c r="BZ42" s="13">
        <f>BY42*VLOOKUP('Données projet'!$B$12,Paramètres!$A$1:$I$89,3,0)*VLOOKUP('Données projet'!$B$12,Paramètres!$A$1:$I$89,5,0)</f>
        <v>186.516603</v>
      </c>
      <c r="CA42" s="13">
        <f t="shared" si="39"/>
        <v>46.768995827807657</v>
      </c>
      <c r="CB42" s="20">
        <f t="shared" si="10"/>
        <v>406.30575129176503</v>
      </c>
      <c r="CC42" s="59">
        <f t="shared" si="11"/>
        <v>699.63908462509835</v>
      </c>
      <c r="CD42" s="59">
        <f ca="1">AVERAGE(OFFSET($CC$3,0,0,'Données projet'!$E$12+1,1))-AVERAGE(OFFSET($H$3,0,0,'Données projet'!$E$12+1,1))</f>
        <v>695.0879239758051</v>
      </c>
      <c r="CE42" s="59">
        <f t="shared" si="40"/>
        <v>226.22150997227476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10.943799167546386</v>
      </c>
      <c r="CM42" s="21">
        <f>EXP(-LN(2)/2)*CM41+(1-EXP(-LN(2)/2))/(LN(2)/2)*CG42*CJ42*VLOOKUP('Données projet'!$B$12,Paramètres!$A$1:$I$89,3,0)*0.475*44/12</f>
        <v>1.1071111344421189</v>
      </c>
      <c r="CN42" s="22">
        <f t="shared" si="12"/>
        <v>12.050910301988505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13.956249999999997</v>
      </c>
      <c r="CT42" s="12">
        <f>IF('Données projet'!$A$140&gt;35,CT41+CS42-DB41,IF(A42&lt;'Données projet'!$A$140,$CQ$205^A42,IF(A42='Données projet'!$A$140,'Données projet'!$B$140,CT41+CS42-DB41)))</f>
        <v>206.14125000000001</v>
      </c>
      <c r="CU42" s="17">
        <f>CT42*VLOOKUP('Données projet'!$B$13,Paramètres!$A$1:$I$89,3,0)*VLOOKUP('Données projet'!$B$13,Paramètres!$A$1:$I$89,5,0)</f>
        <v>209.02722750000001</v>
      </c>
      <c r="CV42" s="13">
        <f t="shared" si="41"/>
        <v>51.722953023774132</v>
      </c>
      <c r="CW42" s="20">
        <f t="shared" si="13"/>
        <v>454.13989774557325</v>
      </c>
      <c r="CX42" s="59">
        <f t="shared" si="14"/>
        <v>747.47323107890657</v>
      </c>
      <c r="CY42" s="59">
        <f ca="1">AVERAGE(OFFSET($CX$3,0,0,'Données projet'!$E$13+1,1))-AVERAGE(OFFSET($H$3,0,0,'Données projet'!$E$13+1,1))</f>
        <v>773.15074145293738</v>
      </c>
      <c r="CZ42" s="59">
        <f t="shared" si="42"/>
        <v>248.49577986312505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12.264602515353708</v>
      </c>
      <c r="DH42" s="21">
        <f>EXP(-LN(2)/2)*DH41+(1-EXP(-LN(2)/2))/(LN(2)/2)*DB42*DE42*VLOOKUP('Données projet'!$B$13,Paramètres!$A$1:$I$89,3,0)*0.475*44/12</f>
        <v>1.2407279954954782</v>
      </c>
      <c r="DI42" s="22">
        <f t="shared" si="15"/>
        <v>13.505330510849186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6.4429411764705877</v>
      </c>
      <c r="DO42" s="12">
        <f>IF('Données projet'!$A$166&gt;35,DO41+DN42-DW41,IF(A42&lt;'Données projet'!$A$166,$DL$205^A42,IF(A42='Données projet'!$A$166,'Données projet'!$B$166,DO41+DN42-DW41)))</f>
        <v>251.27470588235281</v>
      </c>
      <c r="DP42" s="17">
        <f>DO42*VLOOKUP('Données projet'!$B$14,Paramètres!$A$1:$I$89,3,0)*VLOOKUP('Données projet'!$B$14,Paramètres!$A$1:$I$89,5,0)</f>
        <v>117.59656235294111</v>
      </c>
      <c r="DQ42" s="13">
        <f t="shared" si="43"/>
        <v>31.113778580195845</v>
      </c>
      <c r="DR42" s="20">
        <f t="shared" si="16"/>
        <v>259.00384379188023</v>
      </c>
      <c r="DS42" s="59">
        <f t="shared" si="17"/>
        <v>552.33717712521354</v>
      </c>
      <c r="DT42" s="59">
        <f ca="1">AVERAGE(OFFSET($DS$3,0,0,'Données projet'!$E$14+1,1))-AVERAGE(OFFSET($H$3,0,0,'Données projet'!$E$14+1,1))</f>
        <v>293.15557501692803</v>
      </c>
      <c r="DU42" s="59">
        <f t="shared" si="44"/>
        <v>237.1930412773068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12.984999999999996</v>
      </c>
      <c r="EJ42" s="12">
        <f>IF('Données projet'!$A$192&gt;35,EJ41+EI42-ER41,IF(A42&lt;'Données projet'!$A$192,$EG$205^A42,IF(A42='Données projet'!$A$192,'Données projet'!$B$192,EJ41+EI42-ER41)))</f>
        <v>195.06499999999991</v>
      </c>
      <c r="EK42" s="17">
        <f>EJ42*VLOOKUP('Données projet'!$B$15,Paramètres!$A$1:$I$89,3,0)*VLOOKUP('Données projet'!$B$15,Paramètres!$A$1:$I$89,5,0)</f>
        <v>116.64886999999995</v>
      </c>
      <c r="EL42" s="13">
        <f t="shared" si="45"/>
        <v>30.892119526860139</v>
      </c>
      <c r="EM42" s="20">
        <f t="shared" si="19"/>
        <v>256.96722342594791</v>
      </c>
      <c r="EN42" s="59">
        <f t="shared" si="20"/>
        <v>550.30055675928122</v>
      </c>
      <c r="EO42" s="59">
        <f ca="1">AVERAGE(OFFSET($EN$3,0,0,'Données projet'!$E$15+1,1))-AVERAGE(OFFSET($H$3,0,0,'Données projet'!$E$15+1,1))</f>
        <v>225.86663363047296</v>
      </c>
      <c r="EP42" s="59">
        <f t="shared" si="46"/>
        <v>258.08349727304397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14.248243329914811</v>
      </c>
      <c r="EW42" s="21">
        <f>EXP(-LN(2)/25)*EW41+(1-EXP(-LN(2)/25))/(LN(2)/25)*Calculateur!ER42*Calculateur!ET42*VLOOKUP('Données projet'!$B$15,Paramètres!$A$1:$I$89,3,0)*0.475*44/12</f>
        <v>13.460933829851243</v>
      </c>
      <c r="EX42" s="21">
        <f>EXP(-LN(2)/2)*EX41+(1-EXP(-LN(2)/2))/(LN(2)/2)*ER42*EU42*VLOOKUP('Données projet'!$B$15,Paramètres!$A$1:$I$89,3,0)*0.475*44/12</f>
        <v>5.7319048975563751</v>
      </c>
      <c r="EY42" s="22">
        <f t="shared" si="21"/>
        <v>33.441082057322426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499.21</v>
      </c>
      <c r="L43" s="12">
        <f>VLOOKUP(A43,'Données projet'!$A$35:$I$55,9,0)</f>
        <v>23.327500000000001</v>
      </c>
      <c r="M43" s="12">
        <f t="array" ref="M43">INDEX(L:L,MIN(IF(ISNUMBER(L43:L239),ROW(L43:L239),"")))</f>
        <v>23.327500000000001</v>
      </c>
      <c r="N43" s="13">
        <f>IF('Données projet'!$A$36&gt;35,N42+M43-V42,IF(A43&lt;'Données projet'!$A$36,$K$205^A43,IF(A43='Données projet'!$A$36,'Données projet'!$B$36,N42+M43-V42)))</f>
        <v>499.20999999999992</v>
      </c>
      <c r="O43" s="13">
        <f>N43*VLOOKUP('Données projet'!$B$9,Paramètres!$A$1:$I$89,3,0)*VLOOKUP('Données projet'!$B$9,Paramètres!$A$1:$I$89,5,0)</f>
        <v>298.52758</v>
      </c>
      <c r="P43" s="13">
        <f t="shared" si="33"/>
        <v>70.867699352870133</v>
      </c>
      <c r="Q43" s="20">
        <f t="shared" si="53"/>
        <v>643.36344487291547</v>
      </c>
      <c r="R43" s="59">
        <f t="shared" si="0"/>
        <v>936.69677820624884</v>
      </c>
      <c r="S43" s="59">
        <f ca="1">AVERAGE(OFFSET($R$3,0,0,'Données projet'!$E$9+1,1))-AVERAGE(OFFSET($H$3,0,0,'Données projet'!$E$9+1,1))</f>
        <v>388.12151914648013</v>
      </c>
      <c r="T43" s="59">
        <f t="shared" si="34"/>
        <v>481.43684454382793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116.63</v>
      </c>
      <c r="W43" s="16">
        <f>IF(ISNA(VLOOKUP(A43,'Données projet'!$A$35:$I$55,5,0)),0%,VLOOKUP(A43,'Données projet'!$A$35:$I$55,5,0)*VLOOKUP('Données projet'!$B$9,Paramètres!$A$1:$I$89,7,0))</f>
        <v>0.27</v>
      </c>
      <c r="X43" s="16">
        <f>IF(ISNA(VLOOKUP(A43,'Données projet'!$A$35:$I$55,6,0)),0%,VLOOKUP(A43,'Données projet'!$A$35:$I$55,6,0)*VLOOKUP('Données projet'!$B$9,Paramètres!$A$1:$I$89,7,0))</f>
        <v>9.0000000000000011E-2</v>
      </c>
      <c r="Y43" s="16">
        <f>IF(ISNA(VLOOKUP(A43,'Données projet'!$A$35:$I$55,7,0)),0%,VLOOKUP(A43,'Données projet'!$A$35:$I$55,7,0))</f>
        <v>0.2</v>
      </c>
      <c r="Z43" s="21">
        <f>EXP(-LN(2)/35)*Z42+(1-EXP(-LN(2)/35))/(LN(2)/35)*V43*W43*VLOOKUP('Données projet'!$B$9,Paramètres!$A$1:$I$89,3,0)*0.475*44/12</f>
        <v>51.953597193273517</v>
      </c>
      <c r="AA43" s="21">
        <f>EXP(-LN(2)/25)*AA42+(1-EXP(-LN(2)/25))/(LN(2)/25)*Calculateur!V43*Calculateur!X43*VLOOKUP('Données projet'!$B$9,Paramètres!$A$1:$I$89,3,0)*0.475*44/12</f>
        <v>24.190894914776614</v>
      </c>
      <c r="AB43" s="21">
        <f>EXP(-LN(2)/2)*AB42+(1-EXP(-LN(2)/2))/(LN(2)/2)*V43*Y43*VLOOKUP('Données projet'!$B$9,Paramètres!$A$1:$I$89,3,0)*0.475*44/12</f>
        <v>16.543097426639296</v>
      </c>
      <c r="AC43" s="22">
        <f t="shared" si="3"/>
        <v>92.687589534689423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16.693750000000001</v>
      </c>
      <c r="AI43" s="13">
        <f>IF('Données projet'!$A$62&gt;35,AI42+AH43-AQ42,IF(A43&lt;'Données projet'!$A$62,$AF$205^A43,IF(A43='Données projet'!$A$62,'Données projet'!$B$62,AI42+AH43-AQ42)))</f>
        <v>284.04625000000004</v>
      </c>
      <c r="AJ43" s="13">
        <f>AI43*VLOOKUP('Données projet'!$B$10,Paramètres!$A$1:$I$89,3,0)*VLOOKUP('Données projet'!$B$10,Paramètres!$A$1:$I$89,5,0)</f>
        <v>169.85965750000003</v>
      </c>
      <c r="AK43" s="13">
        <f t="shared" si="35"/>
        <v>43.058590023226742</v>
      </c>
      <c r="AL43" s="20">
        <f t="shared" si="4"/>
        <v>370.83261443628663</v>
      </c>
      <c r="AM43" s="59">
        <f t="shared" si="5"/>
        <v>664.16594776961995</v>
      </c>
      <c r="AN43" s="59">
        <f ca="1">AVERAGE(OFFSET($AM$3,0,0,'Données projet'!$E$10+1,1))-AVERAGE(OFFSET($H$3,0,0,'Données projet'!$E$10+1,1))</f>
        <v>349.71285006949597</v>
      </c>
      <c r="AO43" s="59">
        <f t="shared" si="36"/>
        <v>258.51550516456842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9.8249266705959872</v>
      </c>
      <c r="AV43" s="21">
        <f>EXP(-LN(2)/25)*AV42+(1-EXP(-LN(2)/25))/(LN(2)/25)*Calculateur!AQ43*Calculateur!AS43*VLOOKUP('Données projet'!$B$10,Paramètres!$A$1:$I$89,3,0)*0.475*44/12</f>
        <v>13.150302468432365</v>
      </c>
      <c r="AW43" s="21">
        <f>EXP(-LN(2)/2)*AW42+(1-EXP(-LN(2)/2))/(LN(2)/2)*AQ43*AT43*VLOOKUP('Données projet'!$B$10,Paramètres!$A$1:$I$89,3,0)*0.475*44/12</f>
        <v>1.2817907444389689</v>
      </c>
      <c r="AX43" s="21">
        <f t="shared" si="6"/>
        <v>24.257019883467319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107.69230769230768</v>
      </c>
      <c r="BB43" s="12">
        <f>VLOOKUP(A43,'Données projet'!$A$87:$I$107,9,0)</f>
        <v>4.9999999999999973</v>
      </c>
      <c r="BC43" s="12">
        <f t="array" ref="BC43">INDEX(BB:BB,MIN(IF(ISNUMBER(BB43:BB239),ROW(BB43:BB239),"")))</f>
        <v>4.9999999999999973</v>
      </c>
      <c r="BD43" s="12">
        <f>IF('Données projet'!$A$88&gt;35,BD42+BC43-BL42,IF(A43&lt;'Données projet'!$A$88,$BA$205^A43,IF(A43='Données projet'!$A$88,'Données projet'!$B$88,BD42+BC43-BL42)))</f>
        <v>107.69230769230771</v>
      </c>
      <c r="BE43" s="13">
        <f>BD43*VLOOKUP('Données projet'!$B$11,Paramètres!$A$1:$I$89,3,0)*VLOOKUP('Données projet'!$B$11,Paramètres!$A$1:$I$89,5,0)</f>
        <v>112.56000000000003</v>
      </c>
      <c r="BF43" s="13">
        <f t="shared" si="37"/>
        <v>29.933330570949426</v>
      </c>
      <c r="BG43" s="20">
        <f t="shared" si="7"/>
        <v>248.17588407773692</v>
      </c>
      <c r="BH43" s="59">
        <f t="shared" si="8"/>
        <v>541.50921741107027</v>
      </c>
      <c r="BI43" s="59">
        <f ca="1">AVERAGE(OFFSET($BH$3,0,0,'Données projet'!$E$11+1,1))-AVERAGE(OFFSET($H$3,0,0,'Données projet'!$E$11+1,1))</f>
        <v>260.74709892624571</v>
      </c>
      <c r="BJ43" s="59">
        <f t="shared" si="38"/>
        <v>237.17381692184887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14.743589743589743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15.989202528559741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15.989202528559741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13.956249999999997</v>
      </c>
      <c r="BY43" s="12">
        <f>IF('Données projet'!$A$114&gt;35,BY42+BX43-CG42,IF(A43&lt;'Données projet'!$A$114,$BV$205^A43,IF(A43='Données projet'!$A$114,'Données projet'!$B$114,BY42+BX43-CG42)))</f>
        <v>220.09750000000003</v>
      </c>
      <c r="BZ43" s="13">
        <f>BY43*VLOOKUP('Données projet'!$B$12,Paramètres!$A$1:$I$89,3,0)*VLOOKUP('Données projet'!$B$12,Paramètres!$A$1:$I$89,5,0)</f>
        <v>199.14421800000002</v>
      </c>
      <c r="CA43" s="13">
        <f t="shared" si="39"/>
        <v>49.55604583218453</v>
      </c>
      <c r="CB43" s="20">
        <f t="shared" si="10"/>
        <v>433.15295950772139</v>
      </c>
      <c r="CC43" s="59">
        <f t="shared" si="11"/>
        <v>726.48629284105471</v>
      </c>
      <c r="CD43" s="59">
        <f ca="1">AVERAGE(OFFSET($CC$3,0,0,'Données projet'!$E$12+1,1))-AVERAGE(OFFSET($H$3,0,0,'Données projet'!$E$12+1,1))</f>
        <v>695.0879239758051</v>
      </c>
      <c r="CE43" s="59">
        <f t="shared" si="40"/>
        <v>226.22150997227476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10.644540403800445</v>
      </c>
      <c r="CM43" s="21">
        <f>EXP(-LN(2)/2)*CM42+(1-EXP(-LN(2)/2))/(LN(2)/2)*CG43*CJ43*VLOOKUP('Données projet'!$B$12,Paramètres!$A$1:$I$89,3,0)*0.475*44/12</f>
        <v>0.7828457906911539</v>
      </c>
      <c r="CN43" s="22">
        <f t="shared" si="12"/>
        <v>11.427386194491598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13.956249999999997</v>
      </c>
      <c r="CT43" s="12">
        <f>IF('Données projet'!$A$140&gt;35,CT42+CS43-DB42,IF(A43&lt;'Données projet'!$A$140,$CQ$205^A43,IF(A43='Données projet'!$A$140,'Données projet'!$B$140,CT42+CS43-DB42)))</f>
        <v>220.09750000000003</v>
      </c>
      <c r="CU43" s="17">
        <f>CT43*VLOOKUP('Données projet'!$B$13,Paramètres!$A$1:$I$89,3,0)*VLOOKUP('Données projet'!$B$13,Paramètres!$A$1:$I$89,5,0)</f>
        <v>223.17886500000003</v>
      </c>
      <c r="CV43" s="13">
        <f t="shared" si="41"/>
        <v>54.805218398511585</v>
      </c>
      <c r="CW43" s="20">
        <f t="shared" si="13"/>
        <v>484.15561191907437</v>
      </c>
      <c r="CX43" s="59">
        <f t="shared" si="14"/>
        <v>777.48894525240769</v>
      </c>
      <c r="CY43" s="59">
        <f ca="1">AVERAGE(OFFSET($CX$3,0,0,'Données projet'!$E$13+1,1))-AVERAGE(OFFSET($H$3,0,0,'Données projet'!$E$13+1,1))</f>
        <v>773.15074145293738</v>
      </c>
      <c r="CZ43" s="59">
        <f t="shared" si="42"/>
        <v>248.49577986312505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11.929226314603946</v>
      </c>
      <c r="DH43" s="21">
        <f>EXP(-LN(2)/2)*DH42+(1-EXP(-LN(2)/2))/(LN(2)/2)*DB43*DE43*VLOOKUP('Données projet'!$B$13,Paramètres!$A$1:$I$89,3,0)*0.475*44/12</f>
        <v>0.87732717922284487</v>
      </c>
      <c r="DI43" s="22">
        <f t="shared" si="15"/>
        <v>12.806553493826792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6.4429411764705877</v>
      </c>
      <c r="DO43" s="12">
        <f>IF('Données projet'!$A$166&gt;35,DO42+DN43-DW42,IF(A43&lt;'Données projet'!$A$166,$DL$205^A43,IF(A43='Données projet'!$A$166,'Données projet'!$B$166,DO42+DN43-DW42)))</f>
        <v>257.71764705882339</v>
      </c>
      <c r="DP43" s="17">
        <f>DO43*VLOOKUP('Données projet'!$B$14,Paramètres!$A$1:$I$89,3,0)*VLOOKUP('Données projet'!$B$14,Paramètres!$A$1:$I$89,5,0)</f>
        <v>120.61185882352935</v>
      </c>
      <c r="DQ43" s="13">
        <f t="shared" si="43"/>
        <v>31.817663048755449</v>
      </c>
      <c r="DR43" s="20">
        <f t="shared" si="16"/>
        <v>265.48141726089602</v>
      </c>
      <c r="DS43" s="59">
        <f t="shared" si="17"/>
        <v>558.81475059422928</v>
      </c>
      <c r="DT43" s="59">
        <f ca="1">AVERAGE(OFFSET($DS$3,0,0,'Données projet'!$E$14+1,1))-AVERAGE(OFFSET($H$3,0,0,'Données projet'!$E$14+1,1))</f>
        <v>293.15557501692803</v>
      </c>
      <c r="DU43" s="59">
        <f t="shared" si="44"/>
        <v>237.1930412773068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12.984999999999996</v>
      </c>
      <c r="EJ43" s="12">
        <f>IF('Données projet'!$A$192&gt;35,EJ42+EI43-ER42,IF(A43&lt;'Données projet'!$A$192,$EG$205^A43,IF(A43='Données projet'!$A$192,'Données projet'!$B$192,EJ42+EI43-ER42)))</f>
        <v>208.0499999999999</v>
      </c>
      <c r="EK43" s="17">
        <f>EJ43*VLOOKUP('Données projet'!$B$15,Paramètres!$A$1:$I$89,3,0)*VLOOKUP('Données projet'!$B$15,Paramètres!$A$1:$I$89,5,0)</f>
        <v>124.41389999999996</v>
      </c>
      <c r="EL43" s="13">
        <f t="shared" si="45"/>
        <v>32.702294748208082</v>
      </c>
      <c r="EM43" s="20">
        <f t="shared" si="19"/>
        <v>273.64403918646235</v>
      </c>
      <c r="EN43" s="59">
        <f t="shared" si="20"/>
        <v>566.97737251979561</v>
      </c>
      <c r="EO43" s="59">
        <f ca="1">AVERAGE(OFFSET($EN$3,0,0,'Données projet'!$E$15+1,1))-AVERAGE(OFFSET($H$3,0,0,'Données projet'!$E$15+1,1))</f>
        <v>225.86663363047296</v>
      </c>
      <c r="EP43" s="59">
        <f t="shared" si="46"/>
        <v>258.08349727304397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13.968843968785491</v>
      </c>
      <c r="EW43" s="21">
        <f>EXP(-LN(2)/25)*EW42+(1-EXP(-LN(2)/25))/(LN(2)/25)*Calculateur!ER43*Calculateur!ET43*VLOOKUP('Données projet'!$B$15,Paramètres!$A$1:$I$89,3,0)*0.475*44/12</f>
        <v>13.092843886394215</v>
      </c>
      <c r="EX43" s="21">
        <f>EXP(-LN(2)/2)*EX42+(1-EXP(-LN(2)/2))/(LN(2)/2)*ER43*EU43*VLOOKUP('Données projet'!$B$15,Paramètres!$A$1:$I$89,3,0)*0.475*44/12</f>
        <v>4.0530688221784965</v>
      </c>
      <c r="EY43" s="22">
        <f t="shared" si="21"/>
        <v>31.114756677358201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19.548750000000005</v>
      </c>
      <c r="N44" s="13">
        <f>IF('Données projet'!$A$36&gt;35,N43+M44-V43,IF(A44&lt;'Données projet'!$A$36,$K$205^A44,IF(A44='Données projet'!$A$36,'Données projet'!$B$36,N43+M44-V43)))</f>
        <v>402.12874999999997</v>
      </c>
      <c r="O44" s="13">
        <f>N44*VLOOKUP('Données projet'!$B$9,Paramètres!$A$1:$I$89,3,0)*VLOOKUP('Données projet'!$B$9,Paramètres!$A$1:$I$89,5,0)</f>
        <v>240.47299249999998</v>
      </c>
      <c r="P44" s="13">
        <f t="shared" si="33"/>
        <v>58.541285458570243</v>
      </c>
      <c r="Q44" s="20">
        <f t="shared" si="53"/>
        <v>520.78320077784304</v>
      </c>
      <c r="R44" s="59">
        <f t="shared" si="0"/>
        <v>814.11653411117641</v>
      </c>
      <c r="S44" s="59">
        <f ca="1">AVERAGE(OFFSET($R$3,0,0,'Données projet'!$E$9+1,1))-AVERAGE(OFFSET($H$3,0,0,'Données projet'!$E$9+1,1))</f>
        <v>388.12151914648013</v>
      </c>
      <c r="T44" s="59">
        <f t="shared" si="34"/>
        <v>481.43684454382793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50.934818840878727</v>
      </c>
      <c r="AA44" s="21">
        <f>EXP(-LN(2)/25)*AA43+(1-EXP(-LN(2)/25))/(LN(2)/25)*Calculateur!V44*Calculateur!X44*VLOOKUP('Données projet'!$B$9,Paramètres!$A$1:$I$89,3,0)*0.475*44/12</f>
        <v>23.529393621188174</v>
      </c>
      <c r="AB44" s="21">
        <f>EXP(-LN(2)/2)*AB43+(1-EXP(-LN(2)/2))/(LN(2)/2)*V44*Y44*VLOOKUP('Données projet'!$B$9,Paramètres!$A$1:$I$89,3,0)*0.475*44/12</f>
        <v>11.697736372206371</v>
      </c>
      <c r="AC44" s="22">
        <f t="shared" si="3"/>
        <v>86.161948834273261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300.74</v>
      </c>
      <c r="AG44" s="12">
        <f>VLOOKUP(A44,'Données projet'!$A$61:$I$81,9,0)</f>
        <v>16.693750000000001</v>
      </c>
      <c r="AH44" s="12">
        <f t="array" ref="AH44">INDEX(AG:AG,MIN(IF(ISNUMBER(AG44:AG240),ROW(AG44:AG240),"")))</f>
        <v>16.693750000000001</v>
      </c>
      <c r="AI44" s="13">
        <f>IF('Données projet'!$A$62&gt;35,AI43+AH44-AQ43,IF(A44&lt;'Données projet'!$A$62,$AF$205^A44,IF(A44='Données projet'!$A$62,'Données projet'!$B$62,AI43+AH44-AQ43)))</f>
        <v>300.74000000000007</v>
      </c>
      <c r="AJ44" s="13">
        <f>AI44*VLOOKUP('Données projet'!$B$10,Paramètres!$A$1:$I$89,3,0)*VLOOKUP('Données projet'!$B$10,Paramètres!$A$1:$I$89,5,0)</f>
        <v>179.84252000000006</v>
      </c>
      <c r="AK44" s="13">
        <f t="shared" si="35"/>
        <v>45.287147983377729</v>
      </c>
      <c r="AL44" s="20">
        <f t="shared" si="4"/>
        <v>392.10083840438301</v>
      </c>
      <c r="AM44" s="59">
        <f t="shared" si="5"/>
        <v>685.43417173771627</v>
      </c>
      <c r="AN44" s="59">
        <f ca="1">AVERAGE(OFFSET($AM$3,0,0,'Données projet'!$E$10+1,1))-AVERAGE(OFFSET($H$3,0,0,'Données projet'!$E$10+1,1))</f>
        <v>349.71285006949597</v>
      </c>
      <c r="AO44" s="59">
        <f t="shared" si="36"/>
        <v>258.51550516456842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72.16</v>
      </c>
      <c r="AR44" s="16">
        <f>IF(ISNA(VLOOKUP(A44,'Données projet'!$A$61:$I$81,5,0)),0%,VLOOKUP(A44,'Données projet'!$A$61:$I$81,5,0)*VLOOKUP('Données projet'!$B$10,Paramètres!$A$1:$I$89,7,0))</f>
        <v>0.27</v>
      </c>
      <c r="AS44" s="16">
        <f>IF(ISNA(VLOOKUP(A44,'Données projet'!$A$61:$I$81,6,0)),0%,VLOOKUP(A44,'Données projet'!$A$61:$I$81,6,0)*VLOOKUP('Données projet'!$B$10,Paramètres!$A$1:$I$89,7,0))</f>
        <v>9.0000000000000011E-2</v>
      </c>
      <c r="AT44" s="16">
        <f>IF(ISNA(VLOOKUP(A44,'Données projet'!$A$61:$I$81,7,0)),0%,VLOOKUP(A44,'Données projet'!$A$61:$I$81,7,0))</f>
        <v>0.2</v>
      </c>
      <c r="AU44" s="21">
        <f>EXP(-LN(2)/35)*AU43+(1-EXP(-LN(2)/35))/(LN(2)/35)*AQ44*AR44*VLOOKUP('Données projet'!$B$10,Paramètres!$A$1:$I$89,3,0)*0.475*44/12</f>
        <v>25.088006768934498</v>
      </c>
      <c r="AV44" s="21">
        <f>EXP(-LN(2)/25)*AV43+(1-EXP(-LN(2)/25))/(LN(2)/25)*Calculateur!AQ44*Calculateur!AS44*VLOOKUP('Données projet'!$B$10,Paramètres!$A$1:$I$89,3,0)*0.475*44/12</f>
        <v>17.922335348103143</v>
      </c>
      <c r="AW44" s="21">
        <f>EXP(-LN(2)/2)*AW43+(1-EXP(-LN(2)/2))/(LN(2)/2)*AQ44*AT44*VLOOKUP('Données projet'!$B$10,Paramètres!$A$1:$I$89,3,0)*0.475*44/12</f>
        <v>10.677908085160318</v>
      </c>
      <c r="AX44" s="21">
        <f t="shared" si="6"/>
        <v>53.688250202197956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4.487179487179489</v>
      </c>
      <c r="BD44" s="12">
        <f>IF('Données projet'!$A$88&gt;35,BD43+BC44-BL43,IF(A44&lt;'Données projet'!$A$88,$BA$205^A44,IF(A44='Données projet'!$A$88,'Données projet'!$B$88,BD43+BC44-BL43)))</f>
        <v>97.435897435897459</v>
      </c>
      <c r="BE44" s="13">
        <f>BD44*VLOOKUP('Données projet'!$B$11,Paramètres!$A$1:$I$89,3,0)*VLOOKUP('Données projet'!$B$11,Paramètres!$A$1:$I$89,5,0)</f>
        <v>101.84000000000003</v>
      </c>
      <c r="BF44" s="13">
        <f t="shared" si="37"/>
        <v>27.399885933503842</v>
      </c>
      <c r="BG44" s="20">
        <f t="shared" si="7"/>
        <v>225.09280133418588</v>
      </c>
      <c r="BH44" s="59">
        <f t="shared" si="8"/>
        <v>518.42613466751914</v>
      </c>
      <c r="BI44" s="59">
        <f ca="1">AVERAGE(OFFSET($BH$3,0,0,'Données projet'!$E$11+1,1))-AVERAGE(OFFSET($H$3,0,0,'Données projet'!$E$11+1,1))</f>
        <v>260.74709892624571</v>
      </c>
      <c r="BJ44" s="59">
        <f t="shared" si="38"/>
        <v>237.17381692184887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15.551976944580657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15.551976944580657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13.956249999999997</v>
      </c>
      <c r="BY44" s="12">
        <f>IF('Données projet'!$A$114&gt;35,BY43+BX44-CG43,IF(A44&lt;'Données projet'!$A$114,$BV$205^A44,IF(A44='Données projet'!$A$114,'Données projet'!$B$114,BY43+BX44-CG43)))</f>
        <v>234.05375000000004</v>
      </c>
      <c r="BZ44" s="13">
        <f>BY44*VLOOKUP('Données projet'!$B$12,Paramètres!$A$1:$I$89,3,0)*VLOOKUP('Données projet'!$B$12,Paramètres!$A$1:$I$89,5,0)</f>
        <v>211.77183300000004</v>
      </c>
      <c r="CA44" s="13">
        <f t="shared" si="39"/>
        <v>52.322586251762758</v>
      </c>
      <c r="CB44" s="20">
        <f t="shared" si="10"/>
        <v>459.9644468634869</v>
      </c>
      <c r="CC44" s="59">
        <f t="shared" si="11"/>
        <v>753.29778019682021</v>
      </c>
      <c r="CD44" s="59">
        <f ca="1">AVERAGE(OFFSET($CC$3,0,0,'Données projet'!$E$12+1,1))-AVERAGE(OFFSET($H$3,0,0,'Données projet'!$E$12+1,1))</f>
        <v>695.0879239758051</v>
      </c>
      <c r="CE44" s="59">
        <f t="shared" si="40"/>
        <v>226.22150997227476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10.353464886686471</v>
      </c>
      <c r="CM44" s="21">
        <f>EXP(-LN(2)/2)*CM43+(1-EXP(-LN(2)/2))/(LN(2)/2)*CG44*CJ44*VLOOKUP('Données projet'!$B$12,Paramètres!$A$1:$I$89,3,0)*0.475*44/12</f>
        <v>0.55355556722105959</v>
      </c>
      <c r="CN44" s="22">
        <f t="shared" si="12"/>
        <v>10.90702045390753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13.956249999999997</v>
      </c>
      <c r="CT44" s="12">
        <f>IF('Données projet'!$A$140&gt;35,CT43+CS44-DB43,IF(A44&lt;'Données projet'!$A$140,$CQ$205^A44,IF(A44='Données projet'!$A$140,'Données projet'!$B$140,CT43+CS44-DB43)))</f>
        <v>234.05375000000004</v>
      </c>
      <c r="CU44" s="17">
        <f>CT44*VLOOKUP('Données projet'!$B$13,Paramètres!$A$1:$I$89,3,0)*VLOOKUP('Données projet'!$B$13,Paramètres!$A$1:$I$89,5,0)</f>
        <v>237.33050250000005</v>
      </c>
      <c r="CV44" s="13">
        <f t="shared" si="41"/>
        <v>57.864801732031324</v>
      </c>
      <c r="CW44" s="20">
        <f t="shared" si="13"/>
        <v>514.13182153745458</v>
      </c>
      <c r="CX44" s="59">
        <f t="shared" si="14"/>
        <v>807.46515487078796</v>
      </c>
      <c r="CY44" s="59">
        <f ca="1">AVERAGE(OFFSET($CX$3,0,0,'Données projet'!$E$13+1,1))-AVERAGE(OFFSET($H$3,0,0,'Données projet'!$E$13+1,1))</f>
        <v>773.15074145293738</v>
      </c>
      <c r="CZ44" s="59">
        <f t="shared" si="42"/>
        <v>248.49577986312505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11.603020993700355</v>
      </c>
      <c r="DH44" s="21">
        <f>EXP(-LN(2)/2)*DH43+(1-EXP(-LN(2)/2))/(LN(2)/2)*DB44*DE44*VLOOKUP('Données projet'!$B$13,Paramètres!$A$1:$I$89,3,0)*0.475*44/12</f>
        <v>0.6203639977477392</v>
      </c>
      <c r="DI44" s="22">
        <f t="shared" si="15"/>
        <v>12.223384991448095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6.4429411764705877</v>
      </c>
      <c r="DO44" s="12">
        <f>IF('Données projet'!$A$166&gt;35,DO43+DN44-DW43,IF(A44&lt;'Données projet'!$A$166,$DL$205^A44,IF(A44='Données projet'!$A$166,'Données projet'!$B$166,DO43+DN44-DW43)))</f>
        <v>264.16058823529397</v>
      </c>
      <c r="DP44" s="17">
        <f>DO44*VLOOKUP('Données projet'!$B$14,Paramètres!$A$1:$I$89,3,0)*VLOOKUP('Données projet'!$B$14,Paramètres!$A$1:$I$89,5,0)</f>
        <v>123.62715529411757</v>
      </c>
      <c r="DQ44" s="13">
        <f t="shared" si="43"/>
        <v>32.519501965719137</v>
      </c>
      <c r="DR44" s="20">
        <f t="shared" si="16"/>
        <v>271.95542806088224</v>
      </c>
      <c r="DS44" s="59">
        <f t="shared" si="17"/>
        <v>565.2887613942155</v>
      </c>
      <c r="DT44" s="59">
        <f ca="1">AVERAGE(OFFSET($DS$3,0,0,'Données projet'!$E$14+1,1))-AVERAGE(OFFSET($H$3,0,0,'Données projet'!$E$14+1,1))</f>
        <v>293.15557501692803</v>
      </c>
      <c r="DU44" s="59">
        <f t="shared" si="44"/>
        <v>237.1930412773068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12.984999999999996</v>
      </c>
      <c r="EJ44" s="12">
        <f>IF('Données projet'!$A$192&gt;35,EJ43+EI44-ER43,IF(A44&lt;'Données projet'!$A$192,$EG$205^A44,IF(A44='Données projet'!$A$192,'Données projet'!$B$192,EJ43+EI44-ER43)))</f>
        <v>221.03499999999988</v>
      </c>
      <c r="EK44" s="17">
        <f>EJ44*VLOOKUP('Données projet'!$B$15,Paramètres!$A$1:$I$89,3,0)*VLOOKUP('Données projet'!$B$15,Paramètres!$A$1:$I$89,5,0)</f>
        <v>132.17892999999995</v>
      </c>
      <c r="EL44" s="13">
        <f t="shared" si="45"/>
        <v>34.499357970555742</v>
      </c>
      <c r="EM44" s="20">
        <f t="shared" si="19"/>
        <v>290.2980182153845</v>
      </c>
      <c r="EN44" s="59">
        <f t="shared" si="20"/>
        <v>583.63135154871782</v>
      </c>
      <c r="EO44" s="59">
        <f ca="1">AVERAGE(OFFSET($EN$3,0,0,'Données projet'!$E$15+1,1))-AVERAGE(OFFSET($H$3,0,0,'Données projet'!$E$15+1,1))</f>
        <v>225.86663363047296</v>
      </c>
      <c r="EP44" s="59">
        <f t="shared" si="46"/>
        <v>258.08349727304397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13.694923458711132</v>
      </c>
      <c r="EW44" s="21">
        <f>EXP(-LN(2)/25)*EW43+(1-EXP(-LN(2)/25))/(LN(2)/25)*Calculateur!ER44*Calculateur!ET44*VLOOKUP('Données projet'!$B$15,Paramètres!$A$1:$I$89,3,0)*0.475*44/12</f>
        <v>12.73481938179803</v>
      </c>
      <c r="EX44" s="21">
        <f>EXP(-LN(2)/2)*EX43+(1-EXP(-LN(2)/2))/(LN(2)/2)*ER44*EU44*VLOOKUP('Données projet'!$B$15,Paramètres!$A$1:$I$89,3,0)*0.475*44/12</f>
        <v>2.8659524487781884</v>
      </c>
      <c r="EY44" s="22">
        <f t="shared" si="21"/>
        <v>29.295695289287352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19.548750000000005</v>
      </c>
      <c r="N45" s="13">
        <f>IF('Données projet'!$A$36&gt;35,N44+M45-V44,IF(A45&lt;'Données projet'!$A$36,$K$205^A45,IF(A45='Données projet'!$A$36,'Données projet'!$B$36,N44+M45-V44)))</f>
        <v>421.67749999999995</v>
      </c>
      <c r="O45" s="13">
        <f>N45*VLOOKUP('Données projet'!$B$9,Paramètres!$A$1:$I$89,3,0)*VLOOKUP('Données projet'!$B$9,Paramètres!$A$1:$I$89,5,0)</f>
        <v>252.16314499999999</v>
      </c>
      <c r="P45" s="13">
        <f t="shared" si="33"/>
        <v>61.048913284194377</v>
      </c>
      <c r="Q45" s="20">
        <f t="shared" si="53"/>
        <v>545.51100151163848</v>
      </c>
      <c r="R45" s="59">
        <f t="shared" si="0"/>
        <v>838.84433484497185</v>
      </c>
      <c r="S45" s="59">
        <f ca="1">AVERAGE(OFFSET($R$3,0,0,'Données projet'!$E$9+1,1))-AVERAGE(OFFSET($H$3,0,0,'Données projet'!$E$9+1,1))</f>
        <v>388.12151914648013</v>
      </c>
      <c r="T45" s="59">
        <f t="shared" si="34"/>
        <v>481.43684454382793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49.93601811058096</v>
      </c>
      <c r="AA45" s="21">
        <f>EXP(-LN(2)/25)*AA44+(1-EXP(-LN(2)/25))/(LN(2)/25)*Calculateur!V45*Calculateur!X45*VLOOKUP('Données projet'!$B$9,Paramètres!$A$1:$I$89,3,0)*0.475*44/12</f>
        <v>22.885981115259749</v>
      </c>
      <c r="AB45" s="21">
        <f>EXP(-LN(2)/2)*AB44+(1-EXP(-LN(2)/2))/(LN(2)/2)*V45*Y45*VLOOKUP('Données projet'!$B$9,Paramètres!$A$1:$I$89,3,0)*0.475*44/12</f>
        <v>8.2715487133196497</v>
      </c>
      <c r="AC45" s="22">
        <f t="shared" si="3"/>
        <v>81.093547939160359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15.714444444444442</v>
      </c>
      <c r="AI45" s="13">
        <f>IF('Données projet'!$A$62&gt;35,AI44+AH45-AQ44,IF(A45&lt;'Données projet'!$A$62,$AF$205^A45,IF(A45='Données projet'!$A$62,'Données projet'!$B$62,AI44+AH45-AQ44)))</f>
        <v>244.29444444444451</v>
      </c>
      <c r="AJ45" s="13">
        <f>AI45*VLOOKUP('Données projet'!$B$10,Paramètres!$A$1:$I$89,3,0)*VLOOKUP('Données projet'!$B$10,Paramètres!$A$1:$I$89,5,0)</f>
        <v>146.08807777777784</v>
      </c>
      <c r="AK45" s="13">
        <f t="shared" si="35"/>
        <v>37.688224634642516</v>
      </c>
      <c r="AL45" s="20">
        <f t="shared" si="4"/>
        <v>320.07706003496543</v>
      </c>
      <c r="AM45" s="59">
        <f t="shared" si="5"/>
        <v>613.41039336829874</v>
      </c>
      <c r="AN45" s="59">
        <f ca="1">AVERAGE(OFFSET($AM$3,0,0,'Données projet'!$E$10+1,1))-AVERAGE(OFFSET($H$3,0,0,'Données projet'!$E$10+1,1))</f>
        <v>349.71285006949597</v>
      </c>
      <c r="AO45" s="59">
        <f t="shared" si="36"/>
        <v>258.51550516456842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24.596046258368858</v>
      </c>
      <c r="AV45" s="21">
        <f>EXP(-LN(2)/25)*AV44+(1-EXP(-LN(2)/25))/(LN(2)/25)*Calculateur!AQ45*Calculateur!AS45*VLOOKUP('Données projet'!$B$10,Paramètres!$A$1:$I$89,3,0)*0.475*44/12</f>
        <v>17.43224814551461</v>
      </c>
      <c r="AW45" s="21">
        <f>EXP(-LN(2)/2)*AW44+(1-EXP(-LN(2)/2))/(LN(2)/2)*AQ45*AT45*VLOOKUP('Données projet'!$B$10,Paramètres!$A$1:$I$89,3,0)*0.475*44/12</f>
        <v>7.5504212159035244</v>
      </c>
      <c r="AX45" s="21">
        <f t="shared" si="6"/>
        <v>49.57871561978699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4.487179487179489</v>
      </c>
      <c r="BD45" s="12">
        <f>IF('Données projet'!$A$88&gt;35,BD44+BC45-BL44,IF(A45&lt;'Données projet'!$A$88,$BA$205^A45,IF(A45='Données projet'!$A$88,'Données projet'!$B$88,BD44+BC45-BL44)))</f>
        <v>101.92307692307695</v>
      </c>
      <c r="BE45" s="13">
        <f>BD45*VLOOKUP('Données projet'!$B$11,Paramètres!$A$1:$I$89,3,0)*VLOOKUP('Données projet'!$B$11,Paramètres!$A$1:$I$89,5,0)</f>
        <v>106.53000000000004</v>
      </c>
      <c r="BF45" s="13">
        <f t="shared" si="37"/>
        <v>28.511906593363467</v>
      </c>
      <c r="BG45" s="20">
        <f t="shared" si="7"/>
        <v>235.19798731677477</v>
      </c>
      <c r="BH45" s="59">
        <f t="shared" si="8"/>
        <v>528.53132065010811</v>
      </c>
      <c r="BI45" s="59">
        <f ca="1">AVERAGE(OFFSET($BH$3,0,0,'Données projet'!$E$11+1,1))-AVERAGE(OFFSET($H$3,0,0,'Données projet'!$E$11+1,1))</f>
        <v>260.74709892624571</v>
      </c>
      <c r="BJ45" s="59">
        <f t="shared" si="38"/>
        <v>237.17381692184887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15.126707317188176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15.126707317188176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248.01</v>
      </c>
      <c r="BW45" s="12">
        <f>VLOOKUP(A45,'Données projet'!$A$113:$I$133,9,0)</f>
        <v>13.956249999999997</v>
      </c>
      <c r="BX45" s="12">
        <f t="array" ref="BX45">INDEX(BW:BW,MIN(IF(ISNUMBER(BW45:BW241),ROW(BW45:BW241),"")))</f>
        <v>13.956249999999997</v>
      </c>
      <c r="BY45" s="12">
        <f>IF('Données projet'!$A$114&gt;35,BY44+BX45-CG44,IF(A45&lt;'Données projet'!$A$114,$BV$205^A45,IF(A45='Données projet'!$A$114,'Données projet'!$B$114,BY44+BX45-CG44)))</f>
        <v>248.01000000000005</v>
      </c>
      <c r="BZ45" s="13">
        <f>BY45*VLOOKUP('Données projet'!$B$12,Paramètres!$A$1:$I$89,3,0)*VLOOKUP('Données projet'!$B$12,Paramètres!$A$1:$I$89,5,0)</f>
        <v>224.39944800000004</v>
      </c>
      <c r="CA45" s="13">
        <f t="shared" si="39"/>
        <v>55.06997932657665</v>
      </c>
      <c r="CB45" s="20">
        <f t="shared" si="10"/>
        <v>486.74258592712107</v>
      </c>
      <c r="CC45" s="59">
        <f t="shared" si="11"/>
        <v>780.07591926045438</v>
      </c>
      <c r="CD45" s="59">
        <f ca="1">AVERAGE(OFFSET($CC$3,0,0,'Données projet'!$E$12+1,1))-AVERAGE(OFFSET($H$3,0,0,'Données projet'!$E$12+1,1))</f>
        <v>695.0879239758051</v>
      </c>
      <c r="CE45" s="59">
        <f t="shared" si="40"/>
        <v>226.22150997227476</v>
      </c>
      <c r="CF45" s="15">
        <f>IF(ISNA(VLOOKUP(A45,'Données projet'!$A$113:$I$133,3,0)),0,VLOOKUP(A45,'Données projet'!$A$113:$I$133,3,0))</f>
        <v>2</v>
      </c>
      <c r="CG45" s="15">
        <f>IF(ISNA(VLOOKUP(A45,'Données projet'!$A$113:$I$133,4,0)),0,VLOOKUP(A45,'Données projet'!$A$113:$I$133,4,0))</f>
        <v>58.099999999999994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0.34400000000000003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29.982625570044064</v>
      </c>
      <c r="CM45" s="21">
        <f>EXP(-LN(2)/2)*CM44+(1-EXP(-LN(2)/2))/(LN(2)/2)*CG45*CJ45*VLOOKUP('Données projet'!$B$12,Paramètres!$A$1:$I$89,3,0)*0.475*44/12</f>
        <v>10.311453525477758</v>
      </c>
      <c r="CN45" s="22">
        <f t="shared" si="12"/>
        <v>40.294079095521823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248.01</v>
      </c>
      <c r="CR45" s="12">
        <f>VLOOKUP(A45,'Données projet'!$A$139:$I$159,9,0)</f>
        <v>13.956249999999997</v>
      </c>
      <c r="CS45" s="12">
        <f t="array" ref="CS45">INDEX(CR:CR,MIN(IF(ISNUMBER(CR45:CR241),ROW(CR45:CR241),"")))</f>
        <v>13.956249999999997</v>
      </c>
      <c r="CT45" s="12">
        <f>IF('Données projet'!$A$140&gt;35,CT44+CS45-DB44,IF(A45&lt;'Données projet'!$A$140,$CQ$205^A45,IF(A45='Données projet'!$A$140,'Données projet'!$B$140,CT44+CS45-DB44)))</f>
        <v>248.01000000000005</v>
      </c>
      <c r="CU45" s="17">
        <f>CT45*VLOOKUP('Données projet'!$B$13,Paramètres!$A$1:$I$89,3,0)*VLOOKUP('Données projet'!$B$13,Paramètres!$A$1:$I$89,5,0)</f>
        <v>251.48214000000007</v>
      </c>
      <c r="CV45" s="13">
        <f t="shared" si="41"/>
        <v>60.903209558225292</v>
      </c>
      <c r="CW45" s="20">
        <f t="shared" si="13"/>
        <v>544.07115048057574</v>
      </c>
      <c r="CX45" s="59">
        <f t="shared" si="14"/>
        <v>837.40448381390911</v>
      </c>
      <c r="CY45" s="59">
        <f ca="1">AVERAGE(OFFSET($CX$3,0,0,'Données projet'!$E$13+1,1))-AVERAGE(OFFSET($H$3,0,0,'Données projet'!$E$13+1,1))</f>
        <v>773.15074145293738</v>
      </c>
      <c r="CZ45" s="59">
        <f t="shared" si="42"/>
        <v>248.49577986312505</v>
      </c>
      <c r="DA45" s="15">
        <f>IF(ISNA(VLOOKUP(A45,'Données projet'!$A$139:$I$159,3,0)),0,VLOOKUP(A45,'Données projet'!$A$139:$I$159,3,0))</f>
        <v>2</v>
      </c>
      <c r="DB45" s="15">
        <f>IF(ISNA(VLOOKUP(A45,'Données projet'!$A$139:$I$159,4,0)),0,VLOOKUP(A45,'Données projet'!$A$139:$I$159,4,0))</f>
        <v>58.099999999999994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0.34400000000000003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33.601218311256282</v>
      </c>
      <c r="DH45" s="21">
        <f>EXP(-LN(2)/2)*DH44+(1-EXP(-LN(2)/2))/(LN(2)/2)*DB45*DE45*VLOOKUP('Données projet'!$B$13,Paramètres!$A$1:$I$89,3,0)*0.475*44/12</f>
        <v>11.55593929579404</v>
      </c>
      <c r="DI45" s="22">
        <f t="shared" si="15"/>
        <v>45.157157607050323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6.4429411764705877</v>
      </c>
      <c r="DO45" s="12">
        <f>IF('Données projet'!$A$166&gt;35,DO44+DN45-DW44,IF(A45&lt;'Données projet'!$A$166,$DL$205^A45,IF(A45='Données projet'!$A$166,'Données projet'!$B$166,DO44+DN45-DW44)))</f>
        <v>270.60352941176455</v>
      </c>
      <c r="DP45" s="17">
        <f>DO45*VLOOKUP('Données projet'!$B$14,Paramètres!$A$1:$I$89,3,0)*VLOOKUP('Données projet'!$B$14,Paramètres!$A$1:$I$89,5,0)</f>
        <v>126.64245176470581</v>
      </c>
      <c r="DQ45" s="13">
        <f t="shared" si="43"/>
        <v>33.219350962124722</v>
      </c>
      <c r="DR45" s="20">
        <f t="shared" si="16"/>
        <v>278.42597308256319</v>
      </c>
      <c r="DS45" s="59">
        <f t="shared" si="17"/>
        <v>571.7593064158965</v>
      </c>
      <c r="DT45" s="59">
        <f ca="1">AVERAGE(OFFSET($DS$3,0,0,'Données projet'!$E$14+1,1))-AVERAGE(OFFSET($H$3,0,0,'Données projet'!$E$14+1,1))</f>
        <v>293.15557501692803</v>
      </c>
      <c r="DU45" s="59">
        <f t="shared" si="44"/>
        <v>237.1930412773068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12.984999999999996</v>
      </c>
      <c r="EJ45" s="12">
        <f>IF('Données projet'!$A$192&gt;35,EJ44+EI45-ER44,IF(A45&lt;'Données projet'!$A$192,$EG$205^A45,IF(A45='Données projet'!$A$192,'Données projet'!$B$192,EJ44+EI45-ER44)))</f>
        <v>234.01999999999987</v>
      </c>
      <c r="EK45" s="17">
        <f>EJ45*VLOOKUP('Données projet'!$B$15,Paramètres!$A$1:$I$89,3,0)*VLOOKUP('Données projet'!$B$15,Paramètres!$A$1:$I$89,5,0)</f>
        <v>139.94395999999995</v>
      </c>
      <c r="EL45" s="13">
        <f t="shared" si="45"/>
        <v>36.284167218821395</v>
      </c>
      <c r="EM45" s="20">
        <f t="shared" si="19"/>
        <v>306.93065490611383</v>
      </c>
      <c r="EN45" s="59">
        <f t="shared" si="20"/>
        <v>600.26398823944714</v>
      </c>
      <c r="EO45" s="59">
        <f ca="1">AVERAGE(OFFSET($EN$3,0,0,'Données projet'!$E$15+1,1))-AVERAGE(OFFSET($H$3,0,0,'Données projet'!$E$15+1,1))</f>
        <v>225.86663363047296</v>
      </c>
      <c r="EP45" s="59">
        <f t="shared" si="46"/>
        <v>258.08349727304397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13.426374362764319</v>
      </c>
      <c r="EW45" s="21">
        <f>EXP(-LN(2)/25)*EW44+(1-EXP(-LN(2)/25))/(LN(2)/25)*Calculateur!ER45*Calculateur!ET45*VLOOKUP('Données projet'!$B$15,Paramètres!$A$1:$I$89,3,0)*0.475*44/12</f>
        <v>12.386585076107718</v>
      </c>
      <c r="EX45" s="21">
        <f>EXP(-LN(2)/2)*EX44+(1-EXP(-LN(2)/2))/(LN(2)/2)*ER45*EU45*VLOOKUP('Données projet'!$B$15,Paramètres!$A$1:$I$89,3,0)*0.475*44/12</f>
        <v>2.0265344110892487</v>
      </c>
      <c r="EY45" s="22">
        <f t="shared" si="21"/>
        <v>27.839493849961283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19.548750000000005</v>
      </c>
      <c r="N46" s="13">
        <f>IF('Données projet'!$A$36&gt;35,N45+M46-V45,IF(A46&lt;'Données projet'!$A$36,$K$205^A46,IF(A46='Données projet'!$A$36,'Données projet'!$B$36,N45+M46-V45)))</f>
        <v>441.22624999999994</v>
      </c>
      <c r="O46" s="13">
        <f>N46*VLOOKUP('Données projet'!$B$9,Paramètres!$A$1:$I$89,3,0)*VLOOKUP('Données projet'!$B$9,Paramètres!$A$1:$I$89,5,0)</f>
        <v>263.8532975</v>
      </c>
      <c r="P46" s="13">
        <f t="shared" si="33"/>
        <v>63.543040677885536</v>
      </c>
      <c r="Q46" s="20">
        <f t="shared" si="53"/>
        <v>570.21528899315069</v>
      </c>
      <c r="R46" s="59">
        <f t="shared" si="0"/>
        <v>863.54862232648406</v>
      </c>
      <c r="S46" s="59">
        <f ca="1">AVERAGE(OFFSET($R$3,0,0,'Données projet'!$E$9+1,1))-AVERAGE(OFFSET($H$3,0,0,'Données projet'!$E$9+1,1))</f>
        <v>388.12151914648013</v>
      </c>
      <c r="T46" s="59">
        <f t="shared" si="34"/>
        <v>481.43684454382793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48.956803253396039</v>
      </c>
      <c r="AA46" s="21">
        <f>EXP(-LN(2)/25)*AA45+(1-EXP(-LN(2)/25))/(LN(2)/25)*Calculateur!V46*Calculateur!X46*VLOOKUP('Données projet'!$B$9,Paramètres!$A$1:$I$89,3,0)*0.475*44/12</f>
        <v>22.260162758141533</v>
      </c>
      <c r="AB46" s="21">
        <f>EXP(-LN(2)/2)*AB45+(1-EXP(-LN(2)/2))/(LN(2)/2)*V46*Y46*VLOOKUP('Données projet'!$B$9,Paramètres!$A$1:$I$89,3,0)*0.475*44/12</f>
        <v>5.8488681861031866</v>
      </c>
      <c r="AC46" s="22">
        <f t="shared" si="3"/>
        <v>77.065834197640768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15.714444444444442</v>
      </c>
      <c r="AI46" s="13">
        <f>IF('Données projet'!$A$62&gt;35,AI45+AH46-AQ45,IF(A46&lt;'Données projet'!$A$62,$AF$205^A46,IF(A46='Données projet'!$A$62,'Données projet'!$B$62,AI45+AH46-AQ45)))</f>
        <v>260.00888888888898</v>
      </c>
      <c r="AJ46" s="13">
        <f>AI46*VLOOKUP('Données projet'!$B$10,Paramètres!$A$1:$I$89,3,0)*VLOOKUP('Données projet'!$B$10,Paramètres!$A$1:$I$89,5,0)</f>
        <v>155.48531555555562</v>
      </c>
      <c r="AK46" s="13">
        <f t="shared" si="35"/>
        <v>39.822525633411466</v>
      </c>
      <c r="AL46" s="20">
        <f t="shared" si="4"/>
        <v>340.16115673745094</v>
      </c>
      <c r="AM46" s="59">
        <f t="shared" si="5"/>
        <v>633.4944900707842</v>
      </c>
      <c r="AN46" s="59">
        <f ca="1">AVERAGE(OFFSET($AM$3,0,0,'Données projet'!$E$10+1,1))-AVERAGE(OFFSET($H$3,0,0,'Données projet'!$E$10+1,1))</f>
        <v>349.71285006949597</v>
      </c>
      <c r="AO46" s="59">
        <f t="shared" si="36"/>
        <v>258.51550516456842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24.113732793349126</v>
      </c>
      <c r="AV46" s="21">
        <f>EXP(-LN(2)/25)*AV45+(1-EXP(-LN(2)/25))/(LN(2)/25)*Calculateur!AQ46*Calculateur!AS46*VLOOKUP('Données projet'!$B$10,Paramètres!$A$1:$I$89,3,0)*0.475*44/12</f>
        <v>16.955562403253424</v>
      </c>
      <c r="AW46" s="21">
        <f>EXP(-LN(2)/2)*AW45+(1-EXP(-LN(2)/2))/(LN(2)/2)*AQ46*AT46*VLOOKUP('Données projet'!$B$10,Paramètres!$A$1:$I$89,3,0)*0.475*44/12</f>
        <v>5.33895404258016</v>
      </c>
      <c r="AX46" s="21">
        <f t="shared" si="6"/>
        <v>46.408249239182716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4.487179487179489</v>
      </c>
      <c r="BD46" s="12">
        <f>IF('Données projet'!$A$88&gt;35,BD45+BC46-BL45,IF(A46&lt;'Données projet'!$A$88,$BA$205^A46,IF(A46='Données projet'!$A$88,'Données projet'!$B$88,BD45+BC46-BL45)))</f>
        <v>106.41025641025644</v>
      </c>
      <c r="BE46" s="13">
        <f>BD46*VLOOKUP('Données projet'!$B$11,Paramètres!$A$1:$I$89,3,0)*VLOOKUP('Données projet'!$B$11,Paramètres!$A$1:$I$89,5,0)</f>
        <v>111.22000000000006</v>
      </c>
      <c r="BF46" s="13">
        <f t="shared" si="37"/>
        <v>29.618241308641757</v>
      </c>
      <c r="BG46" s="20">
        <f t="shared" si="7"/>
        <v>245.29327027921784</v>
      </c>
      <c r="BH46" s="59">
        <f t="shared" si="8"/>
        <v>538.62660361255121</v>
      </c>
      <c r="BI46" s="59">
        <f ca="1">AVERAGE(OFFSET($BH$3,0,0,'Données projet'!$E$11+1,1))-AVERAGE(OFFSET($H$3,0,0,'Données projet'!$E$11+1,1))</f>
        <v>260.74709892624571</v>
      </c>
      <c r="BJ46" s="59">
        <f t="shared" si="38"/>
        <v>237.17381692184887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14.7130667101207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14.7130667101207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14.351250000000004</v>
      </c>
      <c r="BY46" s="12">
        <f>IF('Données projet'!$A$114&gt;35,BY45+BX46-CG45,IF(A46&lt;'Données projet'!$A$114,$BV$205^A46,IF(A46='Données projet'!$A$114,'Données projet'!$B$114,BY45+BX46-CG45)))</f>
        <v>204.26125000000005</v>
      </c>
      <c r="BZ46" s="13">
        <f>BY46*VLOOKUP('Données projet'!$B$12,Paramètres!$A$1:$I$89,3,0)*VLOOKUP('Données projet'!$B$12,Paramètres!$A$1:$I$89,5,0)</f>
        <v>184.81557900000004</v>
      </c>
      <c r="CA46" s="13">
        <f t="shared" si="39"/>
        <v>46.391911974203119</v>
      </c>
      <c r="CB46" s="20">
        <f t="shared" si="10"/>
        <v>402.6863801134038</v>
      </c>
      <c r="CC46" s="59">
        <f t="shared" si="11"/>
        <v>696.01971344673711</v>
      </c>
      <c r="CD46" s="59">
        <f ca="1">AVERAGE(OFFSET($CC$3,0,0,'Données projet'!$E$12+1,1))-AVERAGE(OFFSET($H$3,0,0,'Données projet'!$E$12+1,1))</f>
        <v>695.0879239758051</v>
      </c>
      <c r="CE46" s="59">
        <f t="shared" si="40"/>
        <v>226.22150997227476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29.162749097113455</v>
      </c>
      <c r="CM46" s="21">
        <f>EXP(-LN(2)/2)*CM45+(1-EXP(-LN(2)/2))/(LN(2)/2)*CG46*CJ46*VLOOKUP('Données projet'!$B$12,Paramètres!$A$1:$I$89,3,0)*0.475*44/12</f>
        <v>7.291298711755255</v>
      </c>
      <c r="CN46" s="22">
        <f t="shared" si="12"/>
        <v>36.454047808868708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14.351250000000004</v>
      </c>
      <c r="CT46" s="12">
        <f>IF('Données projet'!$A$140&gt;35,CT45+CS46-DB45,IF(A46&lt;'Données projet'!$A$140,$CQ$205^A46,IF(A46='Données projet'!$A$140,'Données projet'!$B$140,CT45+CS46-DB45)))</f>
        <v>204.26125000000005</v>
      </c>
      <c r="CU46" s="17">
        <f>CT46*VLOOKUP('Données projet'!$B$13,Paramètres!$A$1:$I$89,3,0)*VLOOKUP('Données projet'!$B$13,Paramètres!$A$1:$I$89,5,0)</f>
        <v>207.12090750000004</v>
      </c>
      <c r="CV46" s="13">
        <f t="shared" si="41"/>
        <v>51.305926955525372</v>
      </c>
      <c r="CW46" s="20">
        <f t="shared" si="13"/>
        <v>450.09340334337344</v>
      </c>
      <c r="CX46" s="59">
        <f t="shared" si="14"/>
        <v>743.4267366767067</v>
      </c>
      <c r="CY46" s="59">
        <f ca="1">AVERAGE(OFFSET($CX$3,0,0,'Données projet'!$E$13+1,1))-AVERAGE(OFFSET($H$3,0,0,'Données projet'!$E$13+1,1))</f>
        <v>773.15074145293738</v>
      </c>
      <c r="CZ46" s="59">
        <f t="shared" si="42"/>
        <v>248.49577986312505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32.682391229523702</v>
      </c>
      <c r="DH46" s="21">
        <f>EXP(-LN(2)/2)*DH45+(1-EXP(-LN(2)/2))/(LN(2)/2)*DB46*DE46*VLOOKUP('Données projet'!$B$13,Paramètres!$A$1:$I$89,3,0)*0.475*44/12</f>
        <v>8.171283039036064</v>
      </c>
      <c r="DI46" s="22">
        <f t="shared" si="15"/>
        <v>40.853674268559764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6.4429411764705877</v>
      </c>
      <c r="DO46" s="12">
        <f>IF('Données projet'!$A$166&gt;35,DO45+DN46-DW45,IF(A46&lt;'Données projet'!$A$166,$DL$205^A46,IF(A46='Données projet'!$A$166,'Données projet'!$B$166,DO45+DN46-DW45)))</f>
        <v>277.04647058823514</v>
      </c>
      <c r="DP46" s="17">
        <f>DO46*VLOOKUP('Données projet'!$B$14,Paramètres!$A$1:$I$89,3,0)*VLOOKUP('Données projet'!$B$14,Paramètres!$A$1:$I$89,5,0)</f>
        <v>129.65774823529404</v>
      </c>
      <c r="DQ46" s="13">
        <f t="shared" si="43"/>
        <v>33.917262868819897</v>
      </c>
      <c r="DR46" s="20">
        <f t="shared" si="16"/>
        <v>284.89314433966507</v>
      </c>
      <c r="DS46" s="59">
        <f t="shared" si="17"/>
        <v>578.22647767299839</v>
      </c>
      <c r="DT46" s="59">
        <f ca="1">AVERAGE(OFFSET($DS$3,0,0,'Données projet'!$E$14+1,1))-AVERAGE(OFFSET($H$3,0,0,'Données projet'!$E$14+1,1))</f>
        <v>293.15557501692803</v>
      </c>
      <c r="DU46" s="59">
        <f t="shared" si="44"/>
        <v>237.1930412773068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12.984999999999996</v>
      </c>
      <c r="EJ46" s="12">
        <f>IF('Données projet'!$A$192&gt;35,EJ45+EI46-ER45,IF(A46&lt;'Données projet'!$A$192,$EG$205^A46,IF(A46='Données projet'!$A$192,'Données projet'!$B$192,EJ45+EI46-ER45)))</f>
        <v>247.00499999999985</v>
      </c>
      <c r="EK46" s="17">
        <f>EJ46*VLOOKUP('Données projet'!$B$15,Paramètres!$A$1:$I$89,3,0)*VLOOKUP('Données projet'!$B$15,Paramètres!$A$1:$I$89,5,0)</f>
        <v>147.70898999999991</v>
      </c>
      <c r="EL46" s="13">
        <f t="shared" si="45"/>
        <v>38.057479922162621</v>
      </c>
      <c r="EM46" s="20">
        <f t="shared" si="19"/>
        <v>323.54326844776637</v>
      </c>
      <c r="EN46" s="59">
        <f t="shared" si="20"/>
        <v>616.87660178109968</v>
      </c>
      <c r="EO46" s="59">
        <f ca="1">AVERAGE(OFFSET($EN$3,0,0,'Données projet'!$E$15+1,1))-AVERAGE(OFFSET($H$3,0,0,'Données projet'!$E$15+1,1))</f>
        <v>225.86663363047296</v>
      </c>
      <c r="EP46" s="59">
        <f t="shared" si="46"/>
        <v>258.08349727304397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13.163091350790248</v>
      </c>
      <c r="EW46" s="21">
        <f>EXP(-LN(2)/25)*EW45+(1-EXP(-LN(2)/25))/(LN(2)/25)*Calculateur!ER46*Calculateur!ET46*VLOOKUP('Données projet'!$B$15,Paramètres!$A$1:$I$89,3,0)*0.475*44/12</f>
        <v>12.047873255819352</v>
      </c>
      <c r="EX46" s="21">
        <f>EXP(-LN(2)/2)*EX45+(1-EXP(-LN(2)/2))/(LN(2)/2)*ER46*EU46*VLOOKUP('Données projet'!$B$15,Paramètres!$A$1:$I$89,3,0)*0.475*44/12</f>
        <v>1.4329762243890944</v>
      </c>
      <c r="EY46" s="22">
        <f t="shared" si="21"/>
        <v>26.643940830998694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19.548750000000005</v>
      </c>
      <c r="N47" s="13">
        <f>IF('Données projet'!$A$36&gt;35,N46+M47-V46,IF(A47&lt;'Données projet'!$A$36,$K$205^A47,IF(A47='Données projet'!$A$36,'Données projet'!$B$36,N46+M47-V46)))</f>
        <v>460.77499999999992</v>
      </c>
      <c r="O47" s="13">
        <f>N47*VLOOKUP('Données projet'!$B$9,Paramètres!$A$1:$I$89,3,0)*VLOOKUP('Données projet'!$B$9,Paramètres!$A$1:$I$89,5,0)</f>
        <v>275.54345000000001</v>
      </c>
      <c r="P47" s="13">
        <f t="shared" si="33"/>
        <v>66.024334133316685</v>
      </c>
      <c r="Q47" s="20">
        <f t="shared" si="53"/>
        <v>594.89722403219321</v>
      </c>
      <c r="R47" s="59">
        <f t="shared" si="0"/>
        <v>888.23055736552647</v>
      </c>
      <c r="S47" s="59">
        <f ca="1">AVERAGE(OFFSET($R$3,0,0,'Données projet'!$E$9+1,1))-AVERAGE(OFFSET($H$3,0,0,'Données projet'!$E$9+1,1))</f>
        <v>388.12151914648013</v>
      </c>
      <c r="T47" s="59">
        <f t="shared" si="34"/>
        <v>481.43684454382793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47.996790202298428</v>
      </c>
      <c r="AA47" s="21">
        <f>EXP(-LN(2)/25)*AA46+(1-EXP(-LN(2)/25))/(LN(2)/25)*Calculateur!V47*Calculateur!X47*VLOOKUP('Données projet'!$B$9,Paramètres!$A$1:$I$89,3,0)*0.475*44/12</f>
        <v>21.65145743690907</v>
      </c>
      <c r="AB47" s="21">
        <f>EXP(-LN(2)/2)*AB46+(1-EXP(-LN(2)/2))/(LN(2)/2)*V47*Y47*VLOOKUP('Données projet'!$B$9,Paramètres!$A$1:$I$89,3,0)*0.475*44/12</f>
        <v>4.1357743566598257</v>
      </c>
      <c r="AC47" s="22">
        <f t="shared" si="3"/>
        <v>73.78402199586732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15.714444444444442</v>
      </c>
      <c r="AI47" s="13">
        <f>IF('Données projet'!$A$62&gt;35,AI46+AH47-AQ46,IF(A47&lt;'Données projet'!$A$62,$AF$205^A47,IF(A47='Données projet'!$A$62,'Données projet'!$B$62,AI46+AH47-AQ46)))</f>
        <v>275.72333333333341</v>
      </c>
      <c r="AJ47" s="13">
        <f>AI47*VLOOKUP('Données projet'!$B$10,Paramètres!$A$1:$I$89,3,0)*VLOOKUP('Données projet'!$B$10,Paramètres!$A$1:$I$89,5,0)</f>
        <v>164.88255333333339</v>
      </c>
      <c r="AK47" s="13">
        <f t="shared" si="35"/>
        <v>41.941854905576896</v>
      </c>
      <c r="AL47" s="20">
        <f t="shared" si="4"/>
        <v>360.2191776827687</v>
      </c>
      <c r="AM47" s="59">
        <f t="shared" si="5"/>
        <v>653.55251101610202</v>
      </c>
      <c r="AN47" s="59">
        <f ca="1">AVERAGE(OFFSET($AM$3,0,0,'Données projet'!$E$10+1,1))-AVERAGE(OFFSET($H$3,0,0,'Données projet'!$E$10+1,1))</f>
        <v>349.71285006949597</v>
      </c>
      <c r="AO47" s="59">
        <f t="shared" si="36"/>
        <v>258.51550516456842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23.640877201196265</v>
      </c>
      <c r="AV47" s="21">
        <f>EXP(-LN(2)/25)*AV46+(1-EXP(-LN(2)/25))/(LN(2)/25)*Calculateur!AQ47*Calculateur!AS47*VLOOKUP('Données projet'!$B$10,Paramètres!$A$1:$I$89,3,0)*0.475*44/12</f>
        <v>16.491911657682184</v>
      </c>
      <c r="AW47" s="21">
        <f>EXP(-LN(2)/2)*AW46+(1-EXP(-LN(2)/2))/(LN(2)/2)*AQ47*AT47*VLOOKUP('Données projet'!$B$10,Paramètres!$A$1:$I$89,3,0)*0.475*44/12</f>
        <v>3.7752106079517627</v>
      </c>
      <c r="AX47" s="21">
        <f t="shared" si="6"/>
        <v>43.907999466830212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4.487179487179489</v>
      </c>
      <c r="BD47" s="12">
        <f>IF('Données projet'!$A$88&gt;35,BD46+BC47-BL46,IF(A47&lt;'Données projet'!$A$88,$BA$205^A47,IF(A47='Données projet'!$A$88,'Données projet'!$B$88,BD46+BC47-BL46)))</f>
        <v>110.89743589743593</v>
      </c>
      <c r="BE47" s="13">
        <f>BD47*VLOOKUP('Données projet'!$B$11,Paramètres!$A$1:$I$89,3,0)*VLOOKUP('Données projet'!$B$11,Paramètres!$A$1:$I$89,5,0)</f>
        <v>115.91000000000004</v>
      </c>
      <c r="BF47" s="13">
        <f t="shared" si="37"/>
        <v>30.719157262842909</v>
      </c>
      <c r="BG47" s="20">
        <f t="shared" si="7"/>
        <v>255.37911556611809</v>
      </c>
      <c r="BH47" s="59">
        <f t="shared" si="8"/>
        <v>548.71244889945137</v>
      </c>
      <c r="BI47" s="59">
        <f ca="1">AVERAGE(OFFSET($BH$3,0,0,'Données projet'!$E$11+1,1))-AVERAGE(OFFSET($H$3,0,0,'Données projet'!$E$11+1,1))</f>
        <v>260.74709892624571</v>
      </c>
      <c r="BJ47" s="59">
        <f t="shared" si="38"/>
        <v>237.17381692184887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14.310737127205899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14.310737127205899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14.351250000000004</v>
      </c>
      <c r="BY47" s="12">
        <f>IF('Données projet'!$A$114&gt;35,BY46+BX47-CG46,IF(A47&lt;'Données projet'!$A$114,$BV$205^A47,IF(A47='Données projet'!$A$114,'Données projet'!$B$114,BY46+BX47-CG46)))</f>
        <v>218.61250000000004</v>
      </c>
      <c r="BZ47" s="13">
        <f>BY47*VLOOKUP('Données projet'!$B$12,Paramètres!$A$1:$I$89,3,0)*VLOOKUP('Données projet'!$B$12,Paramètres!$A$1:$I$89,5,0)</f>
        <v>197.80059000000003</v>
      </c>
      <c r="CA47" s="13">
        <f t="shared" si="39"/>
        <v>49.260493336959819</v>
      </c>
      <c r="CB47" s="20">
        <f t="shared" si="10"/>
        <v>430.29805347853835</v>
      </c>
      <c r="CC47" s="59">
        <f t="shared" si="11"/>
        <v>723.63138681187161</v>
      </c>
      <c r="CD47" s="59">
        <f ca="1">AVERAGE(OFFSET($CC$3,0,0,'Données projet'!$E$12+1,1))-AVERAGE(OFFSET($H$3,0,0,'Données projet'!$E$12+1,1))</f>
        <v>695.0879239758051</v>
      </c>
      <c r="CE47" s="59">
        <f t="shared" si="40"/>
        <v>226.22150997227476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28.365292189450564</v>
      </c>
      <c r="CM47" s="21">
        <f>EXP(-LN(2)/2)*CM46+(1-EXP(-LN(2)/2))/(LN(2)/2)*CG47*CJ47*VLOOKUP('Données projet'!$B$12,Paramètres!$A$1:$I$89,3,0)*0.475*44/12</f>
        <v>5.1557267627388796</v>
      </c>
      <c r="CN47" s="22">
        <f t="shared" si="12"/>
        <v>33.521018952189443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14.351250000000004</v>
      </c>
      <c r="CT47" s="12">
        <f>IF('Données projet'!$A$140&gt;35,CT46+CS47-DB46,IF(A47&lt;'Données projet'!$A$140,$CQ$205^A47,IF(A47='Données projet'!$A$140,'Données projet'!$B$140,CT46+CS47-DB46)))</f>
        <v>218.61250000000004</v>
      </c>
      <c r="CU47" s="17">
        <f>CT47*VLOOKUP('Données projet'!$B$13,Paramètres!$A$1:$I$89,3,0)*VLOOKUP('Données projet'!$B$13,Paramètres!$A$1:$I$89,5,0)</f>
        <v>221.67307500000007</v>
      </c>
      <c r="CV47" s="13">
        <f t="shared" si="41"/>
        <v>54.478359812903946</v>
      </c>
      <c r="CW47" s="20">
        <f t="shared" si="13"/>
        <v>480.96374896580784</v>
      </c>
      <c r="CX47" s="59">
        <f t="shared" si="14"/>
        <v>774.29708229914115</v>
      </c>
      <c r="CY47" s="59">
        <f ca="1">AVERAGE(OFFSET($CX$3,0,0,'Données projet'!$E$13+1,1))-AVERAGE(OFFSET($H$3,0,0,'Données projet'!$E$13+1,1))</f>
        <v>773.15074145293738</v>
      </c>
      <c r="CZ47" s="59">
        <f t="shared" si="42"/>
        <v>248.49577986312505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31.788689522660118</v>
      </c>
      <c r="DH47" s="21">
        <f>EXP(-LN(2)/2)*DH46+(1-EXP(-LN(2)/2))/(LN(2)/2)*DB47*DE47*VLOOKUP('Données projet'!$B$13,Paramètres!$A$1:$I$89,3,0)*0.475*44/12</f>
        <v>5.7779696478970219</v>
      </c>
      <c r="DI47" s="22">
        <f t="shared" si="15"/>
        <v>37.566659170557138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6.4429411764705877</v>
      </c>
      <c r="DO47" s="12">
        <f>IF('Données projet'!$A$166&gt;35,DO46+DN47-DW46,IF(A47&lt;'Données projet'!$A$166,$DL$205^A47,IF(A47='Données projet'!$A$166,'Données projet'!$B$166,DO46+DN47-DW46)))</f>
        <v>283.48941176470572</v>
      </c>
      <c r="DP47" s="17">
        <f>DO47*VLOOKUP('Données projet'!$B$14,Paramètres!$A$1:$I$89,3,0)*VLOOKUP('Données projet'!$B$14,Paramètres!$A$1:$I$89,5,0)</f>
        <v>132.67304470588229</v>
      </c>
      <c r="DQ47" s="13">
        <f t="shared" si="43"/>
        <v>34.613287919203351</v>
      </c>
      <c r="DR47" s="20">
        <f t="shared" si="16"/>
        <v>291.35702932202412</v>
      </c>
      <c r="DS47" s="59">
        <f t="shared" si="17"/>
        <v>584.69036265535738</v>
      </c>
      <c r="DT47" s="59">
        <f ca="1">AVERAGE(OFFSET($DS$3,0,0,'Données projet'!$E$14+1,1))-AVERAGE(OFFSET($H$3,0,0,'Données projet'!$E$14+1,1))</f>
        <v>293.15557501692803</v>
      </c>
      <c r="DU47" s="59">
        <f t="shared" si="44"/>
        <v>237.1930412773068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12.984999999999996</v>
      </c>
      <c r="EJ47" s="12">
        <f>IF('Données projet'!$A$192&gt;35,EJ46+EI47-ER46,IF(A47&lt;'Données projet'!$A$192,$EG$205^A47,IF(A47='Données projet'!$A$192,'Données projet'!$B$192,EJ46+EI47-ER46)))</f>
        <v>259.98999999999984</v>
      </c>
      <c r="EK47" s="17">
        <f>EJ47*VLOOKUP('Données projet'!$B$15,Paramètres!$A$1:$I$89,3,0)*VLOOKUP('Données projet'!$B$15,Paramètres!$A$1:$I$89,5,0)</f>
        <v>155.47401999999991</v>
      </c>
      <c r="EL47" s="13">
        <f t="shared" si="45"/>
        <v>39.819969376141302</v>
      </c>
      <c r="EM47" s="20">
        <f t="shared" si="19"/>
        <v>340.13703149677923</v>
      </c>
      <c r="EN47" s="59">
        <f t="shared" si="20"/>
        <v>633.47036483011254</v>
      </c>
      <c r="EO47" s="59">
        <f ca="1">AVERAGE(OFFSET($EN$3,0,0,'Données projet'!$E$15+1,1))-AVERAGE(OFFSET($H$3,0,0,'Données projet'!$E$15+1,1))</f>
        <v>225.86663363047296</v>
      </c>
      <c r="EP47" s="59">
        <f t="shared" si="46"/>
        <v>258.08349727304397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12.904971158094208</v>
      </c>
      <c r="EW47" s="21">
        <f>EXP(-LN(2)/25)*EW46+(1-EXP(-LN(2)/25))/(LN(2)/25)*Calculateur!ER47*Calculateur!ET47*VLOOKUP('Données projet'!$B$15,Paramètres!$A$1:$I$89,3,0)*0.475*44/12</f>
        <v>11.718423528068854</v>
      </c>
      <c r="EX47" s="21">
        <f>EXP(-LN(2)/2)*EX46+(1-EXP(-LN(2)/2))/(LN(2)/2)*ER47*EU47*VLOOKUP('Données projet'!$B$15,Paramètres!$A$1:$I$89,3,0)*0.475*44/12</f>
        <v>1.0132672055446246</v>
      </c>
      <c r="EY47" s="22">
        <f t="shared" si="21"/>
        <v>25.636661891707686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19.548750000000005</v>
      </c>
      <c r="N48" s="13">
        <f>IF('Données projet'!$A$36&gt;35,N47+M48-V47,IF(A48&lt;'Données projet'!$A$36,$K$205^A48,IF(A48='Données projet'!$A$36,'Données projet'!$B$36,N47+M48-V47)))</f>
        <v>480.3237499999999</v>
      </c>
      <c r="O48" s="13">
        <f>N48*VLOOKUP('Données projet'!$B$9,Paramètres!$A$1:$I$89,3,0)*VLOOKUP('Données projet'!$B$9,Paramètres!$A$1:$I$89,5,0)</f>
        <v>287.23360249999996</v>
      </c>
      <c r="P48" s="13">
        <f t="shared" si="33"/>
        <v>68.493400392198751</v>
      </c>
      <c r="Q48" s="20">
        <f t="shared" si="53"/>
        <v>619.55786337057941</v>
      </c>
      <c r="R48" s="59">
        <f t="shared" si="0"/>
        <v>912.89119670391278</v>
      </c>
      <c r="S48" s="59">
        <f ca="1">AVERAGE(OFFSET($R$3,0,0,'Données projet'!$E$9+1,1))-AVERAGE(OFFSET($H$3,0,0,'Données projet'!$E$9+1,1))</f>
        <v>388.12151914648013</v>
      </c>
      <c r="T48" s="59">
        <f t="shared" si="34"/>
        <v>481.43684454382793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47.055602421582698</v>
      </c>
      <c r="AA48" s="21">
        <f>EXP(-LN(2)/25)*AA47+(1-EXP(-LN(2)/25))/(LN(2)/25)*Calculateur!V48*Calculateur!X48*VLOOKUP('Données projet'!$B$9,Paramètres!$A$1:$I$89,3,0)*0.475*44/12</f>
        <v>21.059397194696128</v>
      </c>
      <c r="AB48" s="21">
        <f>EXP(-LN(2)/2)*AB47+(1-EXP(-LN(2)/2))/(LN(2)/2)*V48*Y48*VLOOKUP('Données projet'!$B$9,Paramètres!$A$1:$I$89,3,0)*0.475*44/12</f>
        <v>2.9244340930515937</v>
      </c>
      <c r="AC48" s="22">
        <f t="shared" si="3"/>
        <v>71.03943370933041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15.714444444444442</v>
      </c>
      <c r="AI48" s="13">
        <f>IF('Données projet'!$A$62&gt;35,AI47+AH48-AQ47,IF(A48&lt;'Données projet'!$A$62,$AF$205^A48,IF(A48='Données projet'!$A$62,'Données projet'!$B$62,AI47+AH48-AQ47)))</f>
        <v>291.43777777777785</v>
      </c>
      <c r="AJ48" s="13">
        <f>AI48*VLOOKUP('Données projet'!$B$10,Paramètres!$A$1:$I$89,3,0)*VLOOKUP('Données projet'!$B$10,Paramètres!$A$1:$I$89,5,0)</f>
        <v>174.27979111111117</v>
      </c>
      <c r="AK48" s="13">
        <f t="shared" si="35"/>
        <v>44.047162970671543</v>
      </c>
      <c r="AL48" s="20">
        <f t="shared" si="4"/>
        <v>380.25277835910487</v>
      </c>
      <c r="AM48" s="59">
        <f t="shared" si="5"/>
        <v>673.58611169243818</v>
      </c>
      <c r="AN48" s="59">
        <f ca="1">AVERAGE(OFFSET($AM$3,0,0,'Données projet'!$E$10+1,1))-AVERAGE(OFFSET($H$3,0,0,'Données projet'!$E$10+1,1))</f>
        <v>349.71285006949597</v>
      </c>
      <c r="AO48" s="59">
        <f t="shared" si="36"/>
        <v>258.51550516456842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23.17729401879209</v>
      </c>
      <c r="AV48" s="21">
        <f>EXP(-LN(2)/25)*AV47+(1-EXP(-LN(2)/25))/(LN(2)/25)*Calculateur!AQ48*Calculateur!AS48*VLOOKUP('Données projet'!$B$10,Paramètres!$A$1:$I$89,3,0)*0.475*44/12</f>
        <v>16.040939466130922</v>
      </c>
      <c r="AW48" s="21">
        <f>EXP(-LN(2)/2)*AW47+(1-EXP(-LN(2)/2))/(LN(2)/2)*AQ48*AT48*VLOOKUP('Données projet'!$B$10,Paramètres!$A$1:$I$89,3,0)*0.475*44/12</f>
        <v>2.6694770212900805</v>
      </c>
      <c r="AX48" s="21">
        <f t="shared" si="6"/>
        <v>41.887710506213089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115.38461538461539</v>
      </c>
      <c r="BB48" s="12">
        <f>VLOOKUP(A48,'Données projet'!$A$87:$I$107,9,0)</f>
        <v>4.487179487179489</v>
      </c>
      <c r="BC48" s="12">
        <f t="array" ref="BC48">INDEX(BB:BB,MIN(IF(ISNUMBER(BB48:BB244),ROW(BB48:BB244),"")))</f>
        <v>4.487179487179489</v>
      </c>
      <c r="BD48" s="12">
        <f>IF('Données projet'!$A$88&gt;35,BD47+BC48-BL47,IF(A48&lt;'Données projet'!$A$88,$BA$205^A48,IF(A48='Données projet'!$A$88,'Données projet'!$B$88,BD47+BC48-BL47)))</f>
        <v>115.38461538461542</v>
      </c>
      <c r="BE48" s="13">
        <f>BD48*VLOOKUP('Données projet'!$B$11,Paramètres!$A$1:$I$89,3,0)*VLOOKUP('Données projet'!$B$11,Paramètres!$A$1:$I$89,5,0)</f>
        <v>120.60000000000005</v>
      </c>
      <c r="BF48" s="13">
        <f t="shared" si="37"/>
        <v>31.814898793993059</v>
      </c>
      <c r="BG48" s="20">
        <f t="shared" si="7"/>
        <v>265.45594873287132</v>
      </c>
      <c r="BH48" s="59">
        <f t="shared" si="8"/>
        <v>558.78928206620458</v>
      </c>
      <c r="BI48" s="59">
        <f ca="1">AVERAGE(OFFSET($BH$3,0,0,'Données projet'!$E$11+1,1))-AVERAGE(OFFSET($H$3,0,0,'Données projet'!$E$11+1,1))</f>
        <v>260.74709892624571</v>
      </c>
      <c r="BJ48" s="59">
        <f t="shared" si="38"/>
        <v>237.17381692184887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14.102564102564102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17.408961438882034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17.408961438882034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14.351250000000004</v>
      </c>
      <c r="BY48" s="12">
        <f>IF('Données projet'!$A$114&gt;35,BY47+BX48-CG47,IF(A48&lt;'Données projet'!$A$114,$BV$205^A48,IF(A48='Données projet'!$A$114,'Données projet'!$B$114,BY47+BX48-CG47)))</f>
        <v>232.96375000000003</v>
      </c>
      <c r="BZ48" s="13">
        <f>BY48*VLOOKUP('Données projet'!$B$12,Paramètres!$A$1:$I$89,3,0)*VLOOKUP('Données projet'!$B$12,Paramètres!$A$1:$I$89,5,0)</f>
        <v>210.78560100000001</v>
      </c>
      <c r="CA48" s="13">
        <f t="shared" si="39"/>
        <v>52.107221956756902</v>
      </c>
      <c r="CB48" s="20">
        <f t="shared" si="10"/>
        <v>457.87166664968487</v>
      </c>
      <c r="CC48" s="59">
        <f t="shared" si="11"/>
        <v>751.20499998301818</v>
      </c>
      <c r="CD48" s="59">
        <f ca="1">AVERAGE(OFFSET($CC$3,0,0,'Données projet'!$E$12+1,1))-AVERAGE(OFFSET($H$3,0,0,'Données projet'!$E$12+1,1))</f>
        <v>695.0879239758051</v>
      </c>
      <c r="CE48" s="59">
        <f t="shared" si="40"/>
        <v>226.22150997227476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27.589641782864152</v>
      </c>
      <c r="CM48" s="21">
        <f>EXP(-LN(2)/2)*CM47+(1-EXP(-LN(2)/2))/(LN(2)/2)*CG48*CJ48*VLOOKUP('Données projet'!$B$12,Paramètres!$A$1:$I$89,3,0)*0.475*44/12</f>
        <v>3.6456493558776284</v>
      </c>
      <c r="CN48" s="22">
        <f t="shared" si="12"/>
        <v>31.235291138741779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14.351250000000004</v>
      </c>
      <c r="CT48" s="12">
        <f>IF('Données projet'!$A$140&gt;35,CT47+CS48-DB47,IF(A48&lt;'Données projet'!$A$140,$CQ$205^A48,IF(A48='Données projet'!$A$140,'Données projet'!$B$140,CT47+CS48-DB47)))</f>
        <v>232.96375000000003</v>
      </c>
      <c r="CU48" s="17">
        <f>CT48*VLOOKUP('Données projet'!$B$13,Paramètres!$A$1:$I$89,3,0)*VLOOKUP('Données projet'!$B$13,Paramètres!$A$1:$I$89,5,0)</f>
        <v>236.22524250000004</v>
      </c>
      <c r="CV48" s="13">
        <f t="shared" si="41"/>
        <v>57.626625198273828</v>
      </c>
      <c r="CW48" s="20">
        <f t="shared" si="13"/>
        <v>511.79200290782688</v>
      </c>
      <c r="CX48" s="59">
        <f t="shared" si="14"/>
        <v>805.1253362411602</v>
      </c>
      <c r="CY48" s="59">
        <f ca="1">AVERAGE(OFFSET($CX$3,0,0,'Données projet'!$E$13+1,1))-AVERAGE(OFFSET($H$3,0,0,'Données projet'!$E$13+1,1))</f>
        <v>773.15074145293738</v>
      </c>
      <c r="CZ48" s="59">
        <f t="shared" si="42"/>
        <v>248.49577986312505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30.91942613596845</v>
      </c>
      <c r="DH48" s="21">
        <f>EXP(-LN(2)/2)*DH47+(1-EXP(-LN(2)/2))/(LN(2)/2)*DB48*DE48*VLOOKUP('Données projet'!$B$13,Paramètres!$A$1:$I$89,3,0)*0.475*44/12</f>
        <v>4.0856415195180329</v>
      </c>
      <c r="DI48" s="22">
        <f t="shared" si="15"/>
        <v>35.005067655486485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6.4429411764705877</v>
      </c>
      <c r="DO48" s="12">
        <f>IF('Données projet'!$A$166&gt;35,DO47+DN48-DW47,IF(A48&lt;'Données projet'!$A$166,$DL$205^A48,IF(A48='Données projet'!$A$166,'Données projet'!$B$166,DO47+DN48-DW47)))</f>
        <v>289.9323529411763</v>
      </c>
      <c r="DP48" s="17">
        <f>DO48*VLOOKUP('Données projet'!$B$14,Paramètres!$A$1:$I$89,3,0)*VLOOKUP('Données projet'!$B$14,Paramètres!$A$1:$I$89,5,0)</f>
        <v>135.68834117647052</v>
      </c>
      <c r="DQ48" s="13">
        <f t="shared" si="43"/>
        <v>35.307473933015544</v>
      </c>
      <c r="DR48" s="20">
        <f t="shared" si="16"/>
        <v>297.8177113156882</v>
      </c>
      <c r="DS48" s="59">
        <f t="shared" si="17"/>
        <v>591.15104464902151</v>
      </c>
      <c r="DT48" s="59">
        <f ca="1">AVERAGE(OFFSET($DS$3,0,0,'Données projet'!$E$14+1,1))-AVERAGE(OFFSET($H$3,0,0,'Données projet'!$E$14+1,1))</f>
        <v>293.15557501692803</v>
      </c>
      <c r="DU48" s="59">
        <f t="shared" si="44"/>
        <v>237.1930412773068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12.984999999999996</v>
      </c>
      <c r="EJ48" s="12">
        <f>IF('Données projet'!$A$192&gt;35,EJ47+EI48-ER47,IF(A48&lt;'Données projet'!$A$192,$EG$205^A48,IF(A48='Données projet'!$A$192,'Données projet'!$B$192,EJ47+EI48-ER47)))</f>
        <v>272.97499999999985</v>
      </c>
      <c r="EK48" s="17">
        <f>EJ48*VLOOKUP('Données projet'!$B$15,Paramètres!$A$1:$I$89,3,0)*VLOOKUP('Données projet'!$B$15,Paramètres!$A$1:$I$89,5,0)</f>
        <v>163.23904999999993</v>
      </c>
      <c r="EL48" s="13">
        <f t="shared" si="45"/>
        <v>41.572237822674161</v>
      </c>
      <c r="EM48" s="20">
        <f t="shared" si="19"/>
        <v>356.71299295782404</v>
      </c>
      <c r="EN48" s="59">
        <f t="shared" si="20"/>
        <v>650.04632629115736</v>
      </c>
      <c r="EO48" s="59">
        <f ca="1">AVERAGE(OFFSET($EN$3,0,0,'Données projet'!$E$15+1,1))-AVERAGE(OFFSET($H$3,0,0,'Données projet'!$E$15+1,1))</f>
        <v>225.86663363047296</v>
      </c>
      <c r="EP48" s="59">
        <f t="shared" si="46"/>
        <v>258.08349727304397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12.651912544939165</v>
      </c>
      <c r="EW48" s="21">
        <f>EXP(-LN(2)/25)*EW47+(1-EXP(-LN(2)/25))/(LN(2)/25)*Calculateur!ER48*Calculateur!ET48*VLOOKUP('Données projet'!$B$15,Paramètres!$A$1:$I$89,3,0)*0.475*44/12</f>
        <v>11.397982620448701</v>
      </c>
      <c r="EX48" s="21">
        <f>EXP(-LN(2)/2)*EX47+(1-EXP(-LN(2)/2))/(LN(2)/2)*ER48*EU48*VLOOKUP('Données projet'!$B$15,Paramètres!$A$1:$I$89,3,0)*0.475*44/12</f>
        <v>0.71648811219454733</v>
      </c>
      <c r="EY48" s="22">
        <f t="shared" si="21"/>
        <v>24.766383277582413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19.548750000000005</v>
      </c>
      <c r="N49" s="13">
        <f>IF('Données projet'!$A$36&gt;35,N48+M49-V48,IF(A49&lt;'Données projet'!$A$36,$K$205^A49,IF(A49='Données projet'!$A$36,'Données projet'!$B$36,N48+M49-V48)))</f>
        <v>499.87249999999989</v>
      </c>
      <c r="O49" s="13">
        <f>N49*VLOOKUP('Données projet'!$B$9,Paramètres!$A$1:$I$89,3,0)*VLOOKUP('Données projet'!$B$9,Paramètres!$A$1:$I$89,5,0)</f>
        <v>298.92375499999997</v>
      </c>
      <c r="P49" s="13">
        <f t="shared" si="33"/>
        <v>70.950794013628567</v>
      </c>
      <c r="Q49" s="20">
        <f t="shared" si="53"/>
        <v>644.19817286540308</v>
      </c>
      <c r="R49" s="59">
        <f t="shared" si="0"/>
        <v>937.53150619873645</v>
      </c>
      <c r="S49" s="59">
        <f ca="1">AVERAGE(OFFSET($R$3,0,0,'Données projet'!$E$9+1,1))-AVERAGE(OFFSET($H$3,0,0,'Données projet'!$E$9+1,1))</f>
        <v>388.12151914648013</v>
      </c>
      <c r="T49" s="59">
        <f t="shared" si="34"/>
        <v>481.43684454382793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46.132870759178942</v>
      </c>
      <c r="AA49" s="21">
        <f>EXP(-LN(2)/25)*AA48+(1-EXP(-LN(2)/25))/(LN(2)/25)*Calculateur!V49*Calculateur!X49*VLOOKUP('Données projet'!$B$9,Paramètres!$A$1:$I$89,3,0)*0.475*44/12</f>
        <v>20.483526870941596</v>
      </c>
      <c r="AB49" s="21">
        <f>EXP(-LN(2)/2)*AB48+(1-EXP(-LN(2)/2))/(LN(2)/2)*V49*Y49*VLOOKUP('Données projet'!$B$9,Paramètres!$A$1:$I$89,3,0)*0.475*44/12</f>
        <v>2.0678871783299129</v>
      </c>
      <c r="AC49" s="22">
        <f t="shared" si="3"/>
        <v>68.684284808450442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15.714444444444442</v>
      </c>
      <c r="AI49" s="13">
        <f>IF('Données projet'!$A$62&gt;35,AI48+AH49-AQ48,IF(A49&lt;'Données projet'!$A$62,$AF$205^A49,IF(A49='Données projet'!$A$62,'Données projet'!$B$62,AI48+AH49-AQ48)))</f>
        <v>307.15222222222229</v>
      </c>
      <c r="AJ49" s="13">
        <f>AI49*VLOOKUP('Données projet'!$B$10,Paramètres!$A$1:$I$89,3,0)*VLOOKUP('Données projet'!$B$10,Paramètres!$A$1:$I$89,5,0)</f>
        <v>183.67702888888894</v>
      </c>
      <c r="AK49" s="13">
        <f t="shared" si="35"/>
        <v>46.139292054148385</v>
      </c>
      <c r="AL49" s="20">
        <f t="shared" si="4"/>
        <v>400.2634256424567</v>
      </c>
      <c r="AM49" s="59">
        <f t="shared" si="5"/>
        <v>693.59675897578995</v>
      </c>
      <c r="AN49" s="59">
        <f ca="1">AVERAGE(OFFSET($AM$3,0,0,'Données projet'!$E$10+1,1))-AVERAGE(OFFSET($H$3,0,0,'Données projet'!$E$10+1,1))</f>
        <v>349.71285006949597</v>
      </c>
      <c r="AO49" s="59">
        <f t="shared" si="36"/>
        <v>258.51550516456842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22.72280141983704</v>
      </c>
      <c r="AV49" s="21">
        <f>EXP(-LN(2)/25)*AV48+(1-EXP(-LN(2)/25))/(LN(2)/25)*Calculateur!AQ49*Calculateur!AS49*VLOOKUP('Données projet'!$B$10,Paramètres!$A$1:$I$89,3,0)*0.475*44/12</f>
        <v>15.602299132873227</v>
      </c>
      <c r="AW49" s="21">
        <f>EXP(-LN(2)/2)*AW48+(1-EXP(-LN(2)/2))/(LN(2)/2)*AQ49*AT49*VLOOKUP('Données projet'!$B$10,Paramètres!$A$1:$I$89,3,0)*0.475*44/12</f>
        <v>1.8876053039758818</v>
      </c>
      <c r="AX49" s="21">
        <f t="shared" si="6"/>
        <v>40.212705856686149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4.2307692307692291</v>
      </c>
      <c r="BD49" s="12">
        <f>IF('Données projet'!$A$88&gt;35,BD48+BC49-BL48,IF(A49&lt;'Données projet'!$A$88,$BA$205^A49,IF(A49='Données projet'!$A$88,'Données projet'!$B$88,BD48+BC49-BL48)))</f>
        <v>105.51282051282054</v>
      </c>
      <c r="BE49" s="13">
        <f>BD49*VLOOKUP('Données projet'!$B$11,Paramètres!$A$1:$I$89,3,0)*VLOOKUP('Données projet'!$B$11,Paramètres!$A$1:$I$89,5,0)</f>
        <v>110.28200000000004</v>
      </c>
      <c r="BF49" s="13">
        <f t="shared" si="37"/>
        <v>29.397416068224018</v>
      </c>
      <c r="BG49" s="20">
        <f t="shared" si="7"/>
        <v>243.2749829854902</v>
      </c>
      <c r="BH49" s="59">
        <f t="shared" si="8"/>
        <v>536.60831631882354</v>
      </c>
      <c r="BI49" s="59">
        <f ca="1">AVERAGE(OFFSET($BH$3,0,0,'Données projet'!$E$11+1,1))-AVERAGE(OFFSET($H$3,0,0,'Données projet'!$E$11+1,1))</f>
        <v>260.74709892624571</v>
      </c>
      <c r="BJ49" s="59">
        <f t="shared" si="38"/>
        <v>237.17381692184887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16.932912472838311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16.932912472838311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14.351250000000004</v>
      </c>
      <c r="BY49" s="12">
        <f>IF('Données projet'!$A$114&gt;35,BY48+BX49-CG48,IF(A49&lt;'Données projet'!$A$114,$BV$205^A49,IF(A49='Données projet'!$A$114,'Données projet'!$B$114,BY48+BX49-CG48)))</f>
        <v>247.31500000000003</v>
      </c>
      <c r="BZ49" s="13">
        <f>BY49*VLOOKUP('Données projet'!$B$12,Paramètres!$A$1:$I$89,3,0)*VLOOKUP('Données projet'!$B$12,Paramètres!$A$1:$I$89,5,0)</f>
        <v>223.770612</v>
      </c>
      <c r="CA49" s="13">
        <f t="shared" si="39"/>
        <v>54.933597302380846</v>
      </c>
      <c r="CB49" s="20">
        <f t="shared" si="10"/>
        <v>485.40983120164657</v>
      </c>
      <c r="CC49" s="59">
        <f t="shared" si="11"/>
        <v>778.74316453497988</v>
      </c>
      <c r="CD49" s="59">
        <f ca="1">AVERAGE(OFFSET($CC$3,0,0,'Données projet'!$E$12+1,1))-AVERAGE(OFFSET($H$3,0,0,'Données projet'!$E$12+1,1))</f>
        <v>695.0879239758051</v>
      </c>
      <c r="CE49" s="59">
        <f t="shared" si="40"/>
        <v>226.22150997227476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26.835201577435527</v>
      </c>
      <c r="CM49" s="21">
        <f>EXP(-LN(2)/2)*CM48+(1-EXP(-LN(2)/2))/(LN(2)/2)*CG49*CJ49*VLOOKUP('Données projet'!$B$12,Paramètres!$A$1:$I$89,3,0)*0.475*44/12</f>
        <v>2.5778633813694403</v>
      </c>
      <c r="CN49" s="22">
        <f t="shared" si="12"/>
        <v>29.413064958804966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14.351250000000004</v>
      </c>
      <c r="CT49" s="12">
        <f>IF('Données projet'!$A$140&gt;35,CT48+CS49-DB48,IF(A49&lt;'Données projet'!$A$140,$CQ$205^A49,IF(A49='Données projet'!$A$140,'Données projet'!$B$140,CT48+CS49-DB48)))</f>
        <v>247.31500000000003</v>
      </c>
      <c r="CU49" s="17">
        <f>CT49*VLOOKUP('Données projet'!$B$13,Paramètres!$A$1:$I$89,3,0)*VLOOKUP('Données projet'!$B$13,Paramètres!$A$1:$I$89,5,0)</f>
        <v>250.77741000000006</v>
      </c>
      <c r="CV49" s="13">
        <f t="shared" si="41"/>
        <v>60.752381410091843</v>
      </c>
      <c r="CW49" s="20">
        <f t="shared" si="13"/>
        <v>542.58105337257666</v>
      </c>
      <c r="CX49" s="59">
        <f t="shared" si="14"/>
        <v>835.91438670590992</v>
      </c>
      <c r="CY49" s="59">
        <f ca="1">AVERAGE(OFFSET($CX$3,0,0,'Données projet'!$E$13+1,1))-AVERAGE(OFFSET($H$3,0,0,'Données projet'!$E$13+1,1))</f>
        <v>773.15074145293738</v>
      </c>
      <c r="CZ49" s="59">
        <f t="shared" si="42"/>
        <v>248.49577986312505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30.07393280229844</v>
      </c>
      <c r="DH49" s="21">
        <f>EXP(-LN(2)/2)*DH48+(1-EXP(-LN(2)/2))/(LN(2)/2)*DB49*DE49*VLOOKUP('Données projet'!$B$13,Paramètres!$A$1:$I$89,3,0)*0.475*44/12</f>
        <v>2.8889848239485114</v>
      </c>
      <c r="DI49" s="22">
        <f t="shared" si="15"/>
        <v>32.962917626246949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6.4429411764705877</v>
      </c>
      <c r="DO49" s="12">
        <f>IF('Données projet'!$A$166&gt;35,DO48+DN49-DW48,IF(A49&lt;'Données projet'!$A$166,$DL$205^A49,IF(A49='Données projet'!$A$166,'Données projet'!$B$166,DO48+DN49-DW48)))</f>
        <v>296.37529411764689</v>
      </c>
      <c r="DP49" s="17">
        <f>DO49*VLOOKUP('Données projet'!$B$14,Paramètres!$A$1:$I$89,3,0)*VLOOKUP('Données projet'!$B$14,Paramètres!$A$1:$I$89,5,0)</f>
        <v>138.70363764705874</v>
      </c>
      <c r="DQ49" s="13">
        <f t="shared" si="43"/>
        <v>35.999866483331765</v>
      </c>
      <c r="DR49" s="20">
        <f t="shared" si="16"/>
        <v>304.27526969376351</v>
      </c>
      <c r="DS49" s="59">
        <f t="shared" si="17"/>
        <v>597.60860302709682</v>
      </c>
      <c r="DT49" s="59">
        <f ca="1">AVERAGE(OFFSET($DS$3,0,0,'Données projet'!$E$14+1,1))-AVERAGE(OFFSET($H$3,0,0,'Données projet'!$E$14+1,1))</f>
        <v>293.15557501692803</v>
      </c>
      <c r="DU49" s="59">
        <f t="shared" si="44"/>
        <v>237.1930412773068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285.95999999999998</v>
      </c>
      <c r="EH49" s="12">
        <f>VLOOKUP(A49,'Données projet'!$A$191:$I$211,9,0)</f>
        <v>12.984999999999996</v>
      </c>
      <c r="EI49" s="12">
        <f t="array" ref="EI49">INDEX(EH:EH,MIN(IF(ISNUMBER(EH49:EH245),ROW(EH49:EH245),"")))</f>
        <v>12.984999999999996</v>
      </c>
      <c r="EJ49" s="12">
        <f>IF('Données projet'!$A$192&gt;35,EJ48+EI49-ER48,IF(A49&lt;'Données projet'!$A$192,$EG$205^A49,IF(A49='Données projet'!$A$192,'Données projet'!$B$192,EJ48+EI49-ER48)))</f>
        <v>285.95999999999987</v>
      </c>
      <c r="EK49" s="17">
        <f>EJ49*VLOOKUP('Données projet'!$B$15,Paramètres!$A$1:$I$89,3,0)*VLOOKUP('Données projet'!$B$15,Paramètres!$A$1:$I$89,5,0)</f>
        <v>171.00407999999993</v>
      </c>
      <c r="EL49" s="13">
        <f t="shared" si="45"/>
        <v>43.31482697069935</v>
      </c>
      <c r="EM49" s="20">
        <f t="shared" si="19"/>
        <v>373.2720963073013</v>
      </c>
      <c r="EN49" s="59">
        <f t="shared" si="20"/>
        <v>666.60542964063461</v>
      </c>
      <c r="EO49" s="59">
        <f ca="1">AVERAGE(OFFSET($EN$3,0,0,'Données projet'!$E$15+1,1))-AVERAGE(OFFSET($H$3,0,0,'Données projet'!$E$15+1,1))</f>
        <v>225.86663363047296</v>
      </c>
      <c r="EP49" s="59">
        <f t="shared" si="46"/>
        <v>258.08349727304397</v>
      </c>
      <c r="EQ49" s="15">
        <f>IF(ISNA(VLOOKUP(A49,'Données projet'!$A$191:$I$211,3,0)),0,VLOOKUP(A49,'Données projet'!$A$191:$I$211,3,0))</f>
        <v>4</v>
      </c>
      <c r="ER49" s="15">
        <f>IF(ISNA(VLOOKUP(A49,'Données projet'!$A$191:$I$211,4,0)),0,VLOOKUP(A49,'Données projet'!$A$191:$I$211,4,0))</f>
        <v>65.679999999999978</v>
      </c>
      <c r="ES49" s="16">
        <f>IF(ISNA(VLOOKUP(A49,'Données projet'!$A$191:$I$211,5,0)),0%,VLOOKUP(A49,'Données projet'!$A$191:$I$211,5,0)*VLOOKUP('Données projet'!$B$15,Paramètres!$A$1:$I$89,7,0))</f>
        <v>0.27</v>
      </c>
      <c r="ET49" s="16">
        <f>IF(ISNA(VLOOKUP(A49,'Données projet'!$A$191:$I$211,6,0)),0%,VLOOKUP(A49,'Données projet'!$A$191:$I$211,6,0)*VLOOKUP('Données projet'!$B$15,Paramètres!$A$1:$I$89,7,0))</f>
        <v>9.0000000000000011E-2</v>
      </c>
      <c r="EU49" s="16">
        <f>IF(ISNA(VLOOKUP(A49,'Données projet'!$A$191:$I$211,7,0)),0%,VLOOKUP(A49,'Données projet'!$A$191:$I$211,7,0))</f>
        <v>0.2</v>
      </c>
      <c r="EV49" s="21">
        <f>EXP(-LN(2)/35)*EV48+(1-EXP(-LN(2)/35))/(LN(2)/35)*ER49*ES49*VLOOKUP('Données projet'!$B$15,Paramètres!$A$1:$I$89,3,0)*0.475*44/12</f>
        <v>26.471624786173187</v>
      </c>
      <c r="EW49" s="21">
        <f>EXP(-LN(2)/25)*EW48+(1-EXP(-LN(2)/25))/(LN(2)/25)*Calculateur!ER49*Calculateur!ET49*VLOOKUP('Données projet'!$B$15,Paramètres!$A$1:$I$89,3,0)*0.475*44/12</f>
        <v>15.757110255265452</v>
      </c>
      <c r="EX49" s="21">
        <f>EXP(-LN(2)/2)*EX48+(1-EXP(-LN(2)/2))/(LN(2)/2)*ER49*EU49*VLOOKUP('Données projet'!$B$15,Paramètres!$A$1:$I$89,3,0)*0.475*44/12</f>
        <v>9.4006896720362878</v>
      </c>
      <c r="EY49" s="22">
        <f t="shared" si="21"/>
        <v>51.629424713474926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19.548750000000005</v>
      </c>
      <c r="N50" s="13">
        <f>IF('Données projet'!$A$36&gt;35,N49+M50-V49,IF(A50&lt;'Données projet'!$A$36,$K$205^A50,IF(A50='Données projet'!$A$36,'Données projet'!$B$36,N49+M50-V49)))</f>
        <v>519.42124999999987</v>
      </c>
      <c r="O50" s="13">
        <f>N50*VLOOKUP('Données projet'!$B$9,Paramètres!$A$1:$I$89,3,0)*VLOOKUP('Données projet'!$B$9,Paramètres!$A$1:$I$89,5,0)</f>
        <v>310.61390749999993</v>
      </c>
      <c r="P50" s="13">
        <f t="shared" si="33"/>
        <v>73.397023726049056</v>
      </c>
      <c r="Q50" s="20">
        <f t="shared" si="53"/>
        <v>668.81903855203529</v>
      </c>
      <c r="R50" s="59">
        <f t="shared" si="0"/>
        <v>962.15237188536867</v>
      </c>
      <c r="S50" s="59">
        <f ca="1">AVERAGE(OFFSET($R$3,0,0,'Données projet'!$E$9+1,1))-AVERAGE(OFFSET($H$3,0,0,'Données projet'!$E$9+1,1))</f>
        <v>388.12151914648013</v>
      </c>
      <c r="T50" s="59">
        <f t="shared" si="34"/>
        <v>481.43684454382793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45.228233301864179</v>
      </c>
      <c r="AA50" s="21">
        <f>EXP(-LN(2)/25)*AA49+(1-EXP(-LN(2)/25))/(LN(2)/25)*Calculateur!V50*Calculateur!X50*VLOOKUP('Données projet'!$B$9,Paramètres!$A$1:$I$89,3,0)*0.475*44/12</f>
        <v>19.923403751473835</v>
      </c>
      <c r="AB50" s="21">
        <f>EXP(-LN(2)/2)*AB49+(1-EXP(-LN(2)/2))/(LN(2)/2)*V50*Y50*VLOOKUP('Données projet'!$B$9,Paramètres!$A$1:$I$89,3,0)*0.475*44/12</f>
        <v>1.4622170465257969</v>
      </c>
      <c r="AC50" s="22">
        <f t="shared" si="3"/>
        <v>66.613854099863815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15.714444444444442</v>
      </c>
      <c r="AI50" s="13">
        <f>IF('Données projet'!$A$62&gt;35,AI49+AH50-AQ49,IF(A50&lt;'Données projet'!$A$62,$AF$205^A50,IF(A50='Données projet'!$A$62,'Données projet'!$B$62,AI49+AH50-AQ49)))</f>
        <v>322.86666666666673</v>
      </c>
      <c r="AJ50" s="13">
        <f>AI50*VLOOKUP('Données projet'!$B$10,Paramètres!$A$1:$I$89,3,0)*VLOOKUP('Données projet'!$B$10,Paramètres!$A$1:$I$89,5,0)</f>
        <v>193.07426666666672</v>
      </c>
      <c r="AK50" s="13">
        <f t="shared" si="35"/>
        <v>48.218993334236252</v>
      </c>
      <c r="AL50" s="20">
        <f t="shared" si="4"/>
        <v>420.25242783490597</v>
      </c>
      <c r="AM50" s="59">
        <f t="shared" si="5"/>
        <v>713.58576116823929</v>
      </c>
      <c r="AN50" s="59">
        <f ca="1">AVERAGE(OFFSET($AM$3,0,0,'Données projet'!$E$10+1,1))-AVERAGE(OFFSET($H$3,0,0,'Données projet'!$E$10+1,1))</f>
        <v>349.71285006949597</v>
      </c>
      <c r="AO50" s="59">
        <f t="shared" si="36"/>
        <v>258.51550516456842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22.277221143534387</v>
      </c>
      <c r="AV50" s="21">
        <f>EXP(-LN(2)/25)*AV49+(1-EXP(-LN(2)/25))/(LN(2)/25)*Calculateur!AQ50*Calculateur!AS50*VLOOKUP('Données projet'!$B$10,Paramètres!$A$1:$I$89,3,0)*0.475*44/12</f>
        <v>15.175653442595557</v>
      </c>
      <c r="AW50" s="21">
        <f>EXP(-LN(2)/2)*AW49+(1-EXP(-LN(2)/2))/(LN(2)/2)*AQ50*AT50*VLOOKUP('Données projet'!$B$10,Paramètres!$A$1:$I$89,3,0)*0.475*44/12</f>
        <v>1.3347385106450405</v>
      </c>
      <c r="AX50" s="21">
        <f t="shared" si="6"/>
        <v>38.787613096774983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4.2307692307692291</v>
      </c>
      <c r="BD50" s="12">
        <f>IF('Données projet'!$A$88&gt;35,BD49+BC50-BL49,IF(A50&lt;'Données projet'!$A$88,$BA$205^A50,IF(A50='Données projet'!$A$88,'Données projet'!$B$88,BD49+BC50-BL49)))</f>
        <v>109.74358974358977</v>
      </c>
      <c r="BE50" s="13">
        <f>BD50*VLOOKUP('Données projet'!$B$11,Paramètres!$A$1:$I$89,3,0)*VLOOKUP('Données projet'!$B$11,Paramètres!$A$1:$I$89,5,0)</f>
        <v>114.70400000000002</v>
      </c>
      <c r="BF50" s="13">
        <f t="shared" si="37"/>
        <v>30.436568208065971</v>
      </c>
      <c r="BG50" s="20">
        <f t="shared" si="7"/>
        <v>252.78648962904825</v>
      </c>
      <c r="BH50" s="59">
        <f t="shared" si="8"/>
        <v>546.11982296238159</v>
      </c>
      <c r="BI50" s="59">
        <f ca="1">AVERAGE(OFFSET($BH$3,0,0,'Données projet'!$E$11+1,1))-AVERAGE(OFFSET($H$3,0,0,'Données projet'!$E$11+1,1))</f>
        <v>260.74709892624571</v>
      </c>
      <c r="BJ50" s="59">
        <f t="shared" si="38"/>
        <v>237.17381692184887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16.46988109080538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16.46988109080538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14.351250000000004</v>
      </c>
      <c r="BY50" s="12">
        <f>IF('Données projet'!$A$114&gt;35,BY49+BX50-CG49,IF(A50&lt;'Données projet'!$A$114,$BV$205^A50,IF(A50='Données projet'!$A$114,'Données projet'!$B$114,BY49+BX50-CG49)))</f>
        <v>261.66625000000005</v>
      </c>
      <c r="BZ50" s="13">
        <f>BY50*VLOOKUP('Données projet'!$B$12,Paramètres!$A$1:$I$89,3,0)*VLOOKUP('Données projet'!$B$12,Paramètres!$A$1:$I$89,5,0)</f>
        <v>236.75562300000004</v>
      </c>
      <c r="CA50" s="13">
        <f t="shared" si="39"/>
        <v>57.740934989627185</v>
      </c>
      <c r="CB50" s="20">
        <f t="shared" si="10"/>
        <v>512.91483849860072</v>
      </c>
      <c r="CC50" s="59">
        <f t="shared" si="11"/>
        <v>806.24817183193409</v>
      </c>
      <c r="CD50" s="59">
        <f ca="1">AVERAGE(OFFSET($CC$3,0,0,'Données projet'!$E$12+1,1))-AVERAGE(OFFSET($H$3,0,0,'Données projet'!$E$12+1,1))</f>
        <v>695.0879239758051</v>
      </c>
      <c r="CE50" s="59">
        <f t="shared" si="40"/>
        <v>226.22150997227476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26.101391579098635</v>
      </c>
      <c r="CM50" s="21">
        <f>EXP(-LN(2)/2)*CM49+(1-EXP(-LN(2)/2))/(LN(2)/2)*CG50*CJ50*VLOOKUP('Données projet'!$B$12,Paramètres!$A$1:$I$89,3,0)*0.475*44/12</f>
        <v>1.8228246779388144</v>
      </c>
      <c r="CN50" s="22">
        <f t="shared" si="12"/>
        <v>27.92421625703745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14.351250000000004</v>
      </c>
      <c r="CT50" s="12">
        <f>IF('Données projet'!$A$140&gt;35,CT49+CS50-DB49,IF(A50&lt;'Données projet'!$A$140,$CQ$205^A50,IF(A50='Données projet'!$A$140,'Données projet'!$B$140,CT49+CS50-DB49)))</f>
        <v>261.66625000000005</v>
      </c>
      <c r="CU50" s="17">
        <f>CT50*VLOOKUP('Données projet'!$B$13,Paramètres!$A$1:$I$89,3,0)*VLOOKUP('Données projet'!$B$13,Paramètres!$A$1:$I$89,5,0)</f>
        <v>265.32957750000008</v>
      </c>
      <c r="CV50" s="13">
        <f t="shared" si="41"/>
        <v>63.857083419387031</v>
      </c>
      <c r="CW50" s="20">
        <f t="shared" si="13"/>
        <v>573.33343443459933</v>
      </c>
      <c r="CX50" s="59">
        <f t="shared" si="14"/>
        <v>866.6667677679327</v>
      </c>
      <c r="CY50" s="59">
        <f ca="1">AVERAGE(OFFSET($CX$3,0,0,'Données projet'!$E$13+1,1))-AVERAGE(OFFSET($H$3,0,0,'Données projet'!$E$13+1,1))</f>
        <v>773.15074145293738</v>
      </c>
      <c r="CZ50" s="59">
        <f t="shared" si="42"/>
        <v>248.49577986312505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29.251559528300199</v>
      </c>
      <c r="DH50" s="21">
        <f>EXP(-LN(2)/2)*DH49+(1-EXP(-LN(2)/2))/(LN(2)/2)*DB50*DE50*VLOOKUP('Données projet'!$B$13,Paramètres!$A$1:$I$89,3,0)*0.475*44/12</f>
        <v>2.0428207597590169</v>
      </c>
      <c r="DI50" s="22">
        <f t="shared" si="15"/>
        <v>31.294380288059216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6.4429411764705877</v>
      </c>
      <c r="DO50" s="12">
        <f>IF('Données projet'!$A$166&gt;35,DO49+DN50-DW49,IF(A50&lt;'Données projet'!$A$166,$DL$205^A50,IF(A50='Données projet'!$A$166,'Données projet'!$B$166,DO49+DN50-DW49)))</f>
        <v>302.81823529411747</v>
      </c>
      <c r="DP50" s="17">
        <f>DO50*VLOOKUP('Données projet'!$B$14,Paramètres!$A$1:$I$89,3,0)*VLOOKUP('Données projet'!$B$14,Paramètres!$A$1:$I$89,5,0)</f>
        <v>141.71893411764697</v>
      </c>
      <c r="DQ50" s="13">
        <f t="shared" si="43"/>
        <v>36.690509048624413</v>
      </c>
      <c r="DR50" s="20">
        <f t="shared" si="16"/>
        <v>310.72978018125599</v>
      </c>
      <c r="DS50" s="59">
        <f t="shared" si="17"/>
        <v>604.0631135145893</v>
      </c>
      <c r="DT50" s="59">
        <f ca="1">AVERAGE(OFFSET($DS$3,0,0,'Données projet'!$E$14+1,1))-AVERAGE(OFFSET($H$3,0,0,'Données projet'!$E$14+1,1))</f>
        <v>293.15557501692803</v>
      </c>
      <c r="DU50" s="59">
        <f t="shared" si="44"/>
        <v>237.1930412773068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12.103750000000002</v>
      </c>
      <c r="EJ50" s="12">
        <f>IF('Données projet'!$A$192&gt;35,EJ49+EI50-ER49,IF(A50&lt;'Données projet'!$A$192,$EG$205^A50,IF(A50='Données projet'!$A$192,'Données projet'!$B$192,EJ49+EI50-ER49)))</f>
        <v>232.38374999999988</v>
      </c>
      <c r="EK50" s="17">
        <f>EJ50*VLOOKUP('Données projet'!$B$15,Paramètres!$A$1:$I$89,3,0)*VLOOKUP('Données projet'!$B$15,Paramètres!$A$1:$I$89,5,0)</f>
        <v>138.96548249999995</v>
      </c>
      <c r="EL50" s="13">
        <f t="shared" si="45"/>
        <v>36.059909859285625</v>
      </c>
      <c r="EM50" s="20">
        <f t="shared" si="19"/>
        <v>304.83589169242236</v>
      </c>
      <c r="EN50" s="59">
        <f t="shared" si="20"/>
        <v>598.16922502575562</v>
      </c>
      <c r="EO50" s="59">
        <f ca="1">AVERAGE(OFFSET($EN$3,0,0,'Données projet'!$E$15+1,1))-AVERAGE(OFFSET($H$3,0,0,'Données projet'!$E$15+1,1))</f>
        <v>225.86663363047296</v>
      </c>
      <c r="EP50" s="59">
        <f t="shared" si="46"/>
        <v>258.08349727304397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25.952532370213156</v>
      </c>
      <c r="EW50" s="21">
        <f>EXP(-LN(2)/25)*EW49+(1-EXP(-LN(2)/25))/(LN(2)/25)*Calculateur!ER50*Calculateur!ET50*VLOOKUP('Données projet'!$B$15,Paramètres!$A$1:$I$89,3,0)*0.475*44/12</f>
        <v>15.326231246704804</v>
      </c>
      <c r="EX50" s="21">
        <f>EXP(-LN(2)/2)*EX49+(1-EXP(-LN(2)/2))/(LN(2)/2)*ER50*EU50*VLOOKUP('Données projet'!$B$15,Paramètres!$A$1:$I$89,3,0)*0.475*44/12</f>
        <v>6.6472914149272011</v>
      </c>
      <c r="EY50" s="22">
        <f t="shared" si="21"/>
        <v>47.926055031845159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538.97</v>
      </c>
      <c r="L51" s="12">
        <f>VLOOKUP(A51,'Données projet'!$A$35:$I$55,9,0)</f>
        <v>19.548750000000005</v>
      </c>
      <c r="M51" s="12">
        <f t="array" ref="M51">INDEX(L:L,MIN(IF(ISNUMBER(L51:L247),ROW(L51:L247),"")))</f>
        <v>19.548750000000005</v>
      </c>
      <c r="N51" s="13">
        <f>IF('Données projet'!$A$36&gt;35,N50+M51-V50,IF(A51&lt;'Données projet'!$A$36,$K$205^A51,IF(A51='Données projet'!$A$36,'Données projet'!$B$36,N50+M51-V50)))</f>
        <v>538.96999999999991</v>
      </c>
      <c r="O51" s="13">
        <f>N51*VLOOKUP('Données projet'!$B$9,Paramètres!$A$1:$I$89,3,0)*VLOOKUP('Données projet'!$B$9,Paramètres!$A$1:$I$89,5,0)</f>
        <v>322.30405999999999</v>
      </c>
      <c r="P51" s="13">
        <f t="shared" si="33"/>
        <v>75.832557796083151</v>
      </c>
      <c r="Q51" s="20">
        <f t="shared" si="53"/>
        <v>693.4212759948449</v>
      </c>
      <c r="R51" s="59">
        <f t="shared" si="0"/>
        <v>986.75460932817828</v>
      </c>
      <c r="S51" s="59">
        <f ca="1">AVERAGE(OFFSET($R$3,0,0,'Données projet'!$E$9+1,1))-AVERAGE(OFFSET($H$3,0,0,'Données projet'!$E$9+1,1))</f>
        <v>388.12151914648013</v>
      </c>
      <c r="T51" s="59">
        <f t="shared" si="34"/>
        <v>481.43684454382793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106.28000000000003</v>
      </c>
      <c r="W51" s="16">
        <f>IF(ISNA(VLOOKUP(A51,'Données projet'!$A$35:$I$55,5,0)),0%,VLOOKUP(A51,'Données projet'!$A$35:$I$55,5,0)*VLOOKUP('Données projet'!$B$9,Paramètres!$A$1:$I$89,7,0))</f>
        <v>0.27</v>
      </c>
      <c r="X51" s="16">
        <f>IF(ISNA(VLOOKUP(A51,'Données projet'!$A$35:$I$55,6,0)),0%,VLOOKUP(A51,'Données projet'!$A$35:$I$55,6,0)*VLOOKUP('Données projet'!$B$9,Paramètres!$A$1:$I$89,7,0))</f>
        <v>9.0000000000000011E-2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67.105139899844502</v>
      </c>
      <c r="AA51" s="21">
        <f>EXP(-LN(2)/25)*AA50+(1-EXP(-LN(2)/25))/(LN(2)/25)*Calculateur!V51*Calculateur!X51*VLOOKUP('Données projet'!$B$9,Paramètres!$A$1:$I$89,3,0)*0.475*44/12</f>
        <v>26.936655526120109</v>
      </c>
      <c r="AB51" s="21">
        <f>EXP(-LN(2)/2)*AB50+(1-EXP(-LN(2)/2))/(LN(2)/2)*V51*Y51*VLOOKUP('Données projet'!$B$9,Paramètres!$A$1:$I$89,3,0)*0.475*44/12</f>
        <v>15.425847959466049</v>
      </c>
      <c r="AC51" s="22">
        <f t="shared" si="3"/>
        <v>109.46764338543066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15.714444444444442</v>
      </c>
      <c r="AI51" s="13">
        <f>IF('Données projet'!$A$62&gt;35,AI50+AH51-AQ50,IF(A51&lt;'Données projet'!$A$62,$AF$205^A51,IF(A51='Données projet'!$A$62,'Données projet'!$B$62,AI50+AH51-AQ50)))</f>
        <v>338.58111111111117</v>
      </c>
      <c r="AJ51" s="13">
        <f>AI51*VLOOKUP('Données projet'!$B$10,Paramètres!$A$1:$I$89,3,0)*VLOOKUP('Données projet'!$B$10,Paramètres!$A$1:$I$89,5,0)</f>
        <v>202.47150444444449</v>
      </c>
      <c r="AK51" s="13">
        <f t="shared" si="35"/>
        <v>50.28694073581002</v>
      </c>
      <c r="AL51" s="20">
        <f t="shared" si="4"/>
        <v>440.22095868894326</v>
      </c>
      <c r="AM51" s="59">
        <f t="shared" si="5"/>
        <v>733.55429202227651</v>
      </c>
      <c r="AN51" s="59">
        <f ca="1">AVERAGE(OFFSET($AM$3,0,0,'Données projet'!$E$10+1,1))-AVERAGE(OFFSET($H$3,0,0,'Données projet'!$E$10+1,1))</f>
        <v>349.71285006949597</v>
      </c>
      <c r="AO51" s="59">
        <f t="shared" si="36"/>
        <v>258.51550516456842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21.840378424672895</v>
      </c>
      <c r="AV51" s="21">
        <f>EXP(-LN(2)/25)*AV50+(1-EXP(-LN(2)/25))/(LN(2)/25)*Calculateur!AQ51*Calculateur!AS51*VLOOKUP('Données projet'!$B$10,Paramètres!$A$1:$I$89,3,0)*0.475*44/12</f>
        <v>14.760674401154851</v>
      </c>
      <c r="AW51" s="21">
        <f>EXP(-LN(2)/2)*AW50+(1-EXP(-LN(2)/2))/(LN(2)/2)*AQ51*AT51*VLOOKUP('Données projet'!$B$10,Paramètres!$A$1:$I$89,3,0)*0.475*44/12</f>
        <v>0.943802651987941</v>
      </c>
      <c r="AX51" s="21">
        <f t="shared" si="6"/>
        <v>37.544855477815695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4.2307692307692291</v>
      </c>
      <c r="BD51" s="12">
        <f>IF('Données projet'!$A$88&gt;35,BD50+BC51-BL50,IF(A51&lt;'Données projet'!$A$88,$BA$205^A51,IF(A51='Données projet'!$A$88,'Données projet'!$B$88,BD50+BC51-BL50)))</f>
        <v>113.97435897435899</v>
      </c>
      <c r="BE51" s="13">
        <f>BD51*VLOOKUP('Données projet'!$B$11,Paramètres!$A$1:$I$89,3,0)*VLOOKUP('Données projet'!$B$11,Paramètres!$A$1:$I$89,5,0)</f>
        <v>119.12600000000003</v>
      </c>
      <c r="BF51" s="13">
        <f t="shared" si="37"/>
        <v>31.471066503383746</v>
      </c>
      <c r="BG51" s="20">
        <f t="shared" si="7"/>
        <v>262.28989082672678</v>
      </c>
      <c r="BH51" s="59">
        <f t="shared" si="8"/>
        <v>555.62322416006009</v>
      </c>
      <c r="BI51" s="59">
        <f ca="1">AVERAGE(OFFSET($BH$3,0,0,'Données projet'!$E$11+1,1))-AVERAGE(OFFSET($H$3,0,0,'Données projet'!$E$11+1,1))</f>
        <v>260.74709892624571</v>
      </c>
      <c r="BJ51" s="59">
        <f t="shared" si="38"/>
        <v>237.17381692184887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16.019511326263903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16.019511326263903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14.351250000000004</v>
      </c>
      <c r="BY51" s="12">
        <f>IF('Données projet'!$A$114&gt;35,BY50+BX51-CG50,IF(A51&lt;'Données projet'!$A$114,$BV$205^A51,IF(A51='Données projet'!$A$114,'Données projet'!$B$114,BY50+BX51-CG50)))</f>
        <v>276.01750000000004</v>
      </c>
      <c r="BZ51" s="13">
        <f>BY51*VLOOKUP('Données projet'!$B$12,Paramètres!$A$1:$I$89,3,0)*VLOOKUP('Données projet'!$B$12,Paramètres!$A$1:$I$89,5,0)</f>
        <v>249.74063400000006</v>
      </c>
      <c r="CA51" s="13">
        <f t="shared" si="39"/>
        <v>60.530398172289644</v>
      </c>
      <c r="CB51" s="20">
        <f t="shared" si="10"/>
        <v>540.38871436673799</v>
      </c>
      <c r="CC51" s="59">
        <f t="shared" si="11"/>
        <v>833.72204770007124</v>
      </c>
      <c r="CD51" s="59">
        <f ca="1">AVERAGE(OFFSET($CC$3,0,0,'Données projet'!$E$12+1,1))-AVERAGE(OFFSET($H$3,0,0,'Données projet'!$E$12+1,1))</f>
        <v>695.0879239758051</v>
      </c>
      <c r="CE51" s="59">
        <f t="shared" si="40"/>
        <v>226.22150997227476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25.387647653755657</v>
      </c>
      <c r="CM51" s="21">
        <f>EXP(-LN(2)/2)*CM50+(1-EXP(-LN(2)/2))/(LN(2)/2)*CG51*CJ51*VLOOKUP('Données projet'!$B$12,Paramètres!$A$1:$I$89,3,0)*0.475*44/12</f>
        <v>1.2889316906847204</v>
      </c>
      <c r="CN51" s="22">
        <f t="shared" si="12"/>
        <v>26.676579344440377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14.351250000000004</v>
      </c>
      <c r="CT51" s="12">
        <f>IF('Données projet'!$A$140&gt;35,CT50+CS51-DB50,IF(A51&lt;'Données projet'!$A$140,$CQ$205^A51,IF(A51='Données projet'!$A$140,'Données projet'!$B$140,CT50+CS51-DB50)))</f>
        <v>276.01750000000004</v>
      </c>
      <c r="CU51" s="17">
        <f>CT51*VLOOKUP('Données projet'!$B$13,Paramètres!$A$1:$I$89,3,0)*VLOOKUP('Données projet'!$B$13,Paramètres!$A$1:$I$89,5,0)</f>
        <v>279.88174500000002</v>
      </c>
      <c r="CV51" s="13">
        <f t="shared" si="41"/>
        <v>66.942017585807932</v>
      </c>
      <c r="CW51" s="20">
        <f t="shared" si="13"/>
        <v>604.0513865036155</v>
      </c>
      <c r="CX51" s="59">
        <f t="shared" si="14"/>
        <v>897.38471983694876</v>
      </c>
      <c r="CY51" s="59">
        <f ca="1">AVERAGE(OFFSET($CX$3,0,0,'Données projet'!$E$13+1,1))-AVERAGE(OFFSET($H$3,0,0,'Données projet'!$E$13+1,1))</f>
        <v>773.15074145293738</v>
      </c>
      <c r="CZ51" s="59">
        <f t="shared" si="42"/>
        <v>248.49577986312505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28.451674094726169</v>
      </c>
      <c r="DH51" s="21">
        <f>EXP(-LN(2)/2)*DH50+(1-EXP(-LN(2)/2))/(LN(2)/2)*DB51*DE51*VLOOKUP('Données projet'!$B$13,Paramètres!$A$1:$I$89,3,0)*0.475*44/12</f>
        <v>1.4444924119742559</v>
      </c>
      <c r="DI51" s="22">
        <f t="shared" si="15"/>
        <v>29.896166506700425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6.4429411764705877</v>
      </c>
      <c r="DO51" s="12">
        <f>IF('Données projet'!$A$166&gt;35,DO50+DN51-DW50,IF(A51&lt;'Données projet'!$A$166,$DL$205^A51,IF(A51='Données projet'!$A$166,'Données projet'!$B$166,DO50+DN51-DW50)))</f>
        <v>309.26117647058805</v>
      </c>
      <c r="DP51" s="17">
        <f>DO51*VLOOKUP('Données projet'!$B$14,Paramètres!$A$1:$I$89,3,0)*VLOOKUP('Données projet'!$B$14,Paramètres!$A$1:$I$89,5,0)</f>
        <v>144.73423058823522</v>
      </c>
      <c r="DQ51" s="13">
        <f t="shared" si="43"/>
        <v>37.379443151518736</v>
      </c>
      <c r="DR51" s="20">
        <f t="shared" si="16"/>
        <v>317.1813150967381</v>
      </c>
      <c r="DS51" s="59">
        <f t="shared" si="17"/>
        <v>610.51464843007147</v>
      </c>
      <c r="DT51" s="59">
        <f ca="1">AVERAGE(OFFSET($DS$3,0,0,'Données projet'!$E$14+1,1))-AVERAGE(OFFSET($H$3,0,0,'Données projet'!$E$14+1,1))</f>
        <v>293.15557501692803</v>
      </c>
      <c r="DU51" s="59">
        <f t="shared" si="44"/>
        <v>237.1930412773068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12.103750000000002</v>
      </c>
      <c r="EJ51" s="12">
        <f>IF('Données projet'!$A$192&gt;35,EJ50+EI51-ER50,IF(A51&lt;'Données projet'!$A$192,$EG$205^A51,IF(A51='Données projet'!$A$192,'Données projet'!$B$192,EJ50+EI51-ER50)))</f>
        <v>244.48749999999987</v>
      </c>
      <c r="EK51" s="17">
        <f>EJ51*VLOOKUP('Données projet'!$B$15,Paramètres!$A$1:$I$89,3,0)*VLOOKUP('Données projet'!$B$15,Paramètres!$A$1:$I$89,5,0)</f>
        <v>146.20352499999993</v>
      </c>
      <c r="EL51" s="13">
        <f t="shared" si="45"/>
        <v>37.714540044048903</v>
      </c>
      <c r="EM51" s="20">
        <f t="shared" si="19"/>
        <v>320.32396328505172</v>
      </c>
      <c r="EN51" s="59">
        <f t="shared" si="20"/>
        <v>613.65729661838509</v>
      </c>
      <c r="EO51" s="59">
        <f ca="1">AVERAGE(OFFSET($EN$3,0,0,'Données projet'!$E$15+1,1))-AVERAGE(OFFSET($H$3,0,0,'Données projet'!$E$15+1,1))</f>
        <v>225.86663363047296</v>
      </c>
      <c r="EP51" s="59">
        <f t="shared" si="46"/>
        <v>258.08349727304397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25.443619039914989</v>
      </c>
      <c r="EW51" s="21">
        <f>EXP(-LN(2)/25)*EW50+(1-EXP(-LN(2)/25))/(LN(2)/25)*Calculateur!ER51*Calculateur!ET51*VLOOKUP('Données projet'!$B$15,Paramètres!$A$1:$I$89,3,0)*0.475*44/12</f>
        <v>14.907134647292189</v>
      </c>
      <c r="EX51" s="21">
        <f>EXP(-LN(2)/2)*EX50+(1-EXP(-LN(2)/2))/(LN(2)/2)*ER51*EU51*VLOOKUP('Données projet'!$B$15,Paramètres!$A$1:$I$89,3,0)*0.475*44/12</f>
        <v>4.7003448360181448</v>
      </c>
      <c r="EY51" s="22">
        <f t="shared" si="21"/>
        <v>45.05109852322532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16.3825</v>
      </c>
      <c r="N52" s="13">
        <f>IF('Données projet'!$A$36&gt;35,N51+M52-V51,IF(A52&lt;'Données projet'!$A$36,$K$205^A52,IF(A52='Données projet'!$A$36,'Données projet'!$B$36,N51+M52-V51)))</f>
        <v>449.07249999999993</v>
      </c>
      <c r="O52" s="13">
        <f>N52*VLOOKUP('Données projet'!$B$9,Paramètres!$A$1:$I$89,3,0)*VLOOKUP('Données projet'!$B$9,Paramètres!$A$1:$I$89,5,0)</f>
        <v>268.54535499999997</v>
      </c>
      <c r="P52" s="13">
        <f t="shared" si="33"/>
        <v>64.540459912565723</v>
      </c>
      <c r="Q52" s="20">
        <f t="shared" si="53"/>
        <v>580.12446097271857</v>
      </c>
      <c r="R52" s="59">
        <f t="shared" si="0"/>
        <v>873.45779430605194</v>
      </c>
      <c r="S52" s="59">
        <f ca="1">AVERAGE(OFFSET($R$3,0,0,'Données projet'!$E$9+1,1))-AVERAGE(OFFSET($H$3,0,0,'Données projet'!$E$9+1,1))</f>
        <v>388.12151914648013</v>
      </c>
      <c r="T52" s="59">
        <f t="shared" si="34"/>
        <v>481.43684454382793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65.789249036502383</v>
      </c>
      <c r="AA52" s="21">
        <f>EXP(-LN(2)/25)*AA51+(1-EXP(-LN(2)/25))/(LN(2)/25)*Calculateur!V52*Calculateur!X52*VLOOKUP('Données projet'!$B$9,Paramètres!$A$1:$I$89,3,0)*0.475*44/12</f>
        <v>26.200071264221204</v>
      </c>
      <c r="AB52" s="21">
        <f>EXP(-LN(2)/2)*AB51+(1-EXP(-LN(2)/2))/(LN(2)/2)*V52*Y52*VLOOKUP('Données projet'!$B$9,Paramètres!$A$1:$I$89,3,0)*0.475*44/12</f>
        <v>10.907721697691111</v>
      </c>
      <c r="AC52" s="22">
        <f t="shared" si="3"/>
        <v>102.89704199841471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15.714444444444442</v>
      </c>
      <c r="AI52" s="13">
        <f>IF('Données projet'!$A$62&gt;35,AI51+AH52-AQ51,IF(A52&lt;'Données projet'!$A$62,$AF$205^A52,IF(A52='Données projet'!$A$62,'Données projet'!$B$62,AI51+AH52-AQ51)))</f>
        <v>354.29555555555561</v>
      </c>
      <c r="AJ52" s="13">
        <f>AI52*VLOOKUP('Données projet'!$B$10,Paramètres!$A$1:$I$89,3,0)*VLOOKUP('Données projet'!$B$10,Paramètres!$A$1:$I$89,5,0)</f>
        <v>211.86874222222229</v>
      </c>
      <c r="AK52" s="13">
        <f t="shared" si="35"/>
        <v>52.343742090960504</v>
      </c>
      <c r="AL52" s="20">
        <f t="shared" si="4"/>
        <v>460.17007684546002</v>
      </c>
      <c r="AM52" s="59">
        <f t="shared" si="5"/>
        <v>753.50341017879327</v>
      </c>
      <c r="AN52" s="59">
        <f ca="1">AVERAGE(OFFSET($AM$3,0,0,'Données projet'!$E$10+1,1))-AVERAGE(OFFSET($H$3,0,0,'Données projet'!$E$10+1,1))</f>
        <v>349.71285006949597</v>
      </c>
      <c r="AO52" s="59">
        <f t="shared" si="36"/>
        <v>258.51550516456842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21.412101925080528</v>
      </c>
      <c r="AV52" s="21">
        <f>EXP(-LN(2)/25)*AV51+(1-EXP(-LN(2)/25))/(LN(2)/25)*Calculateur!AQ52*Calculateur!AS52*VLOOKUP('Données projet'!$B$10,Paramètres!$A$1:$I$89,3,0)*0.475*44/12</f>
        <v>14.357042983425142</v>
      </c>
      <c r="AW52" s="21">
        <f>EXP(-LN(2)/2)*AW51+(1-EXP(-LN(2)/2))/(LN(2)/2)*AQ52*AT52*VLOOKUP('Données projet'!$B$10,Paramètres!$A$1:$I$89,3,0)*0.475*44/12</f>
        <v>0.66736925532252034</v>
      </c>
      <c r="AX52" s="21">
        <f t="shared" si="6"/>
        <v>36.436514163828186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4.2307692307692291</v>
      </c>
      <c r="BD52" s="12">
        <f>IF('Données projet'!$A$88&gt;35,BD51+BC52-BL51,IF(A52&lt;'Données projet'!$A$88,$BA$205^A52,IF(A52='Données projet'!$A$88,'Données projet'!$B$88,BD51+BC52-BL51)))</f>
        <v>118.20512820512822</v>
      </c>
      <c r="BE52" s="13">
        <f>BD52*VLOOKUP('Données projet'!$B$11,Paramètres!$A$1:$I$89,3,0)*VLOOKUP('Données projet'!$B$11,Paramètres!$A$1:$I$89,5,0)</f>
        <v>123.54800000000002</v>
      </c>
      <c r="BF52" s="13">
        <f t="shared" si="37"/>
        <v>32.501103488858256</v>
      </c>
      <c r="BG52" s="20">
        <f t="shared" si="7"/>
        <v>271.78552190976148</v>
      </c>
      <c r="BH52" s="59">
        <f t="shared" si="8"/>
        <v>565.1188552430948</v>
      </c>
      <c r="BI52" s="59">
        <f ca="1">AVERAGE(OFFSET($BH$3,0,0,'Données projet'!$E$11+1,1))-AVERAGE(OFFSET($H$3,0,0,'Données projet'!$E$11+1,1))</f>
        <v>260.74709892624571</v>
      </c>
      <c r="BJ52" s="59">
        <f t="shared" si="38"/>
        <v>237.17381692184887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15.581456946617729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15.581456946617729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14.351250000000004</v>
      </c>
      <c r="BY52" s="12">
        <f>IF('Données projet'!$A$114&gt;35,BY51+BX52-CG51,IF(A52&lt;'Données projet'!$A$114,$BV$205^A52,IF(A52='Données projet'!$A$114,'Données projet'!$B$114,BY51+BX52-CG51)))</f>
        <v>290.36875000000003</v>
      </c>
      <c r="BZ52" s="13">
        <f>BY52*VLOOKUP('Données projet'!$B$12,Paramètres!$A$1:$I$89,3,0)*VLOOKUP('Données projet'!$B$12,Paramètres!$A$1:$I$89,5,0)</f>
        <v>262.72564500000004</v>
      </c>
      <c r="CA52" s="13">
        <f t="shared" si="39"/>
        <v>63.303022218516737</v>
      </c>
      <c r="CB52" s="20">
        <f t="shared" si="10"/>
        <v>567.83326207225002</v>
      </c>
      <c r="CC52" s="59">
        <f t="shared" si="11"/>
        <v>861.16659540558339</v>
      </c>
      <c r="CD52" s="59">
        <f ca="1">AVERAGE(OFFSET($CC$3,0,0,'Données projet'!$E$12+1,1))-AVERAGE(OFFSET($H$3,0,0,'Données projet'!$E$12+1,1))</f>
        <v>695.0879239758051</v>
      </c>
      <c r="CE52" s="59">
        <f t="shared" si="40"/>
        <v>226.22150997227476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24.693421093585343</v>
      </c>
      <c r="CM52" s="21">
        <f>EXP(-LN(2)/2)*CM51+(1-EXP(-LN(2)/2))/(LN(2)/2)*CG52*CJ52*VLOOKUP('Données projet'!$B$12,Paramètres!$A$1:$I$89,3,0)*0.475*44/12</f>
        <v>0.91141233896940732</v>
      </c>
      <c r="CN52" s="22">
        <f t="shared" si="12"/>
        <v>25.604833432554749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14.351250000000004</v>
      </c>
      <c r="CT52" s="12">
        <f>IF('Données projet'!$A$140&gt;35,CT51+CS52-DB51,IF(A52&lt;'Données projet'!$A$140,$CQ$205^A52,IF(A52='Données projet'!$A$140,'Données projet'!$B$140,CT51+CS52-DB51)))</f>
        <v>290.36875000000003</v>
      </c>
      <c r="CU52" s="17">
        <f>CT52*VLOOKUP('Données projet'!$B$13,Paramètres!$A$1:$I$89,3,0)*VLOOKUP('Données projet'!$B$13,Paramètres!$A$1:$I$89,5,0)</f>
        <v>294.43391250000008</v>
      </c>
      <c r="CV52" s="13">
        <f t="shared" si="41"/>
        <v>70.008328947796173</v>
      </c>
      <c r="CW52" s="20">
        <f t="shared" si="13"/>
        <v>634.73690385491182</v>
      </c>
      <c r="CX52" s="59">
        <f t="shared" si="14"/>
        <v>928.07023718824507</v>
      </c>
      <c r="CY52" s="59">
        <f ca="1">AVERAGE(OFFSET($CX$3,0,0,'Données projet'!$E$13+1,1))-AVERAGE(OFFSET($H$3,0,0,'Données projet'!$E$13+1,1))</f>
        <v>773.15074145293738</v>
      </c>
      <c r="CZ52" s="59">
        <f t="shared" si="42"/>
        <v>248.49577986312505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27.673661570397368</v>
      </c>
      <c r="DH52" s="21">
        <f>EXP(-LN(2)/2)*DH51+(1-EXP(-LN(2)/2))/(LN(2)/2)*DB52*DE52*VLOOKUP('Données projet'!$B$13,Paramètres!$A$1:$I$89,3,0)*0.475*44/12</f>
        <v>1.0214103798795084</v>
      </c>
      <c r="DI52" s="22">
        <f t="shared" si="15"/>
        <v>28.695071950276876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6.4429411764705877</v>
      </c>
      <c r="DO52" s="12">
        <f>IF('Données projet'!$A$166&gt;35,DO51+DN52-DW51,IF(A52&lt;'Données projet'!$A$166,$DL$205^A52,IF(A52='Données projet'!$A$166,'Données projet'!$B$166,DO51+DN52-DW51)))</f>
        <v>315.70411764705864</v>
      </c>
      <c r="DP52" s="17">
        <f>DO52*VLOOKUP('Données projet'!$B$14,Paramètres!$A$1:$I$89,3,0)*VLOOKUP('Données projet'!$B$14,Paramètres!$A$1:$I$89,5,0)</f>
        <v>147.74952705882345</v>
      </c>
      <c r="DQ52" s="13">
        <f t="shared" si="43"/>
        <v>38.06670848565912</v>
      </c>
      <c r="DR52" s="20">
        <f t="shared" si="16"/>
        <v>323.62994357330712</v>
      </c>
      <c r="DS52" s="59">
        <f t="shared" si="17"/>
        <v>616.96327690664043</v>
      </c>
      <c r="DT52" s="59">
        <f ca="1">AVERAGE(OFFSET($DS$3,0,0,'Données projet'!$E$14+1,1))-AVERAGE(OFFSET($H$3,0,0,'Données projet'!$E$14+1,1))</f>
        <v>293.15557501692803</v>
      </c>
      <c r="DU52" s="59">
        <f t="shared" si="44"/>
        <v>237.1930412773068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12.103750000000002</v>
      </c>
      <c r="EJ52" s="12">
        <f>IF('Données projet'!$A$192&gt;35,EJ51+EI52-ER51,IF(A52&lt;'Données projet'!$A$192,$EG$205^A52,IF(A52='Données projet'!$A$192,'Données projet'!$B$192,EJ51+EI52-ER51)))</f>
        <v>256.59124999999989</v>
      </c>
      <c r="EK52" s="17">
        <f>EJ52*VLOOKUP('Données projet'!$B$15,Paramètres!$A$1:$I$89,3,0)*VLOOKUP('Données projet'!$B$15,Paramètres!$A$1:$I$89,5,0)</f>
        <v>153.44156749999996</v>
      </c>
      <c r="EL52" s="13">
        <f t="shared" si="45"/>
        <v>39.359658623485721</v>
      </c>
      <c r="EM52" s="20">
        <f t="shared" si="19"/>
        <v>335.79546883173754</v>
      </c>
      <c r="EN52" s="59">
        <f t="shared" si="20"/>
        <v>629.12880216507085</v>
      </c>
      <c r="EO52" s="59">
        <f ca="1">AVERAGE(OFFSET($EN$3,0,0,'Données projet'!$E$15+1,1))-AVERAGE(OFFSET($H$3,0,0,'Données projet'!$E$15+1,1))</f>
        <v>225.86663363047296</v>
      </c>
      <c r="EP52" s="59">
        <f t="shared" si="46"/>
        <v>258.08349727304397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24.944685189617488</v>
      </c>
      <c r="EW52" s="21">
        <f>EXP(-LN(2)/25)*EW51+(1-EXP(-LN(2)/25))/(LN(2)/25)*Calculateur!ER52*Calculateur!ET52*VLOOKUP('Données projet'!$B$15,Paramètres!$A$1:$I$89,3,0)*0.475*44/12</f>
        <v>14.499498266429844</v>
      </c>
      <c r="EX52" s="21">
        <f>EXP(-LN(2)/2)*EX51+(1-EXP(-LN(2)/2))/(LN(2)/2)*ER52*EU52*VLOOKUP('Données projet'!$B$15,Paramètres!$A$1:$I$89,3,0)*0.475*44/12</f>
        <v>3.323645707463601</v>
      </c>
      <c r="EY52" s="22">
        <f t="shared" si="21"/>
        <v>42.767829163510932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16.3825</v>
      </c>
      <c r="N53" s="13">
        <f>IF('Données projet'!$A$36&gt;35,N52+M53-V52,IF(A53&lt;'Données projet'!$A$36,$K$205^A53,IF(A53='Données projet'!$A$36,'Données projet'!$B$36,N52+M53-V52)))</f>
        <v>465.45499999999993</v>
      </c>
      <c r="O53" s="13">
        <f>N53*VLOOKUP('Données projet'!$B$9,Paramètres!$A$1:$I$89,3,0)*VLOOKUP('Données projet'!$B$9,Paramètres!$A$1:$I$89,5,0)</f>
        <v>278.34208999999998</v>
      </c>
      <c r="P53" s="13">
        <f t="shared" si="33"/>
        <v>66.616523833555178</v>
      </c>
      <c r="Q53" s="20">
        <f t="shared" si="53"/>
        <v>600.8029190934418</v>
      </c>
      <c r="R53" s="59">
        <f t="shared" si="0"/>
        <v>894.13625242677517</v>
      </c>
      <c r="S53" s="59">
        <f ca="1">AVERAGE(OFFSET($R$3,0,0,'Données projet'!$E$9+1,1))-AVERAGE(OFFSET($H$3,0,0,'Données projet'!$E$9+1,1))</f>
        <v>388.12151914648013</v>
      </c>
      <c r="T53" s="59">
        <f t="shared" si="34"/>
        <v>481.43684454382793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64.499161990376223</v>
      </c>
      <c r="AA53" s="21">
        <f>EXP(-LN(2)/25)*AA52+(1-EXP(-LN(2)/25))/(LN(2)/25)*Calculateur!V53*Calculateur!X53*VLOOKUP('Données projet'!$B$9,Paramètres!$A$1:$I$89,3,0)*0.475*44/12</f>
        <v>25.483628937699208</v>
      </c>
      <c r="AB53" s="21">
        <f>EXP(-LN(2)/2)*AB52+(1-EXP(-LN(2)/2))/(LN(2)/2)*V53*Y53*VLOOKUP('Données projet'!$B$9,Paramètres!$A$1:$I$89,3,0)*0.475*44/12</f>
        <v>7.7129239797330253</v>
      </c>
      <c r="AC53" s="22">
        <f t="shared" si="3"/>
        <v>97.695714907808451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370.01</v>
      </c>
      <c r="AG53" s="12">
        <f>VLOOKUP(A53,'Données projet'!$A$61:$I$81,9,0)</f>
        <v>15.714444444444442</v>
      </c>
      <c r="AH53" s="12">
        <f t="array" ref="AH53">INDEX(AG:AG,MIN(IF(ISNUMBER(AG53:AG249),ROW(AG53:AG249),"")))</f>
        <v>15.714444444444442</v>
      </c>
      <c r="AI53" s="13">
        <f>IF('Données projet'!$A$62&gt;35,AI52+AH53-AQ52,IF(A53&lt;'Données projet'!$A$62,$AF$205^A53,IF(A53='Données projet'!$A$62,'Données projet'!$B$62,AI52+AH53-AQ52)))</f>
        <v>370.01000000000005</v>
      </c>
      <c r="AJ53" s="13">
        <f>AI53*VLOOKUP('Données projet'!$B$10,Paramètres!$A$1:$I$89,3,0)*VLOOKUP('Données projet'!$B$10,Paramètres!$A$1:$I$89,5,0)</f>
        <v>221.26598000000004</v>
      </c>
      <c r="AK53" s="13">
        <f t="shared" si="35"/>
        <v>54.389948263584252</v>
      </c>
      <c r="AL53" s="20">
        <f t="shared" si="4"/>
        <v>480.10074172574264</v>
      </c>
      <c r="AM53" s="59">
        <f t="shared" si="5"/>
        <v>773.43407505907589</v>
      </c>
      <c r="AN53" s="59">
        <f ca="1">AVERAGE(OFFSET($AM$3,0,0,'Données projet'!$E$10+1,1))-AVERAGE(OFFSET($H$3,0,0,'Données projet'!$E$10+1,1))</f>
        <v>349.71285006949597</v>
      </c>
      <c r="AO53" s="59">
        <f t="shared" si="36"/>
        <v>258.51550516456842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70.20999999999998</v>
      </c>
      <c r="AR53" s="16">
        <f>IF(ISNA(VLOOKUP(A53,'Données projet'!$A$61:$I$81,5,0)),0%,VLOOKUP(A53,'Données projet'!$A$61:$I$81,5,0)*VLOOKUP('Données projet'!$B$10,Paramètres!$A$1:$I$89,7,0))</f>
        <v>0.27</v>
      </c>
      <c r="AS53" s="16">
        <f>IF(ISNA(VLOOKUP(A53,'Données projet'!$A$61:$I$81,6,0)),0%,VLOOKUP(A53,'Données projet'!$A$61:$I$81,6,0)*VLOOKUP('Données projet'!$B$10,Paramètres!$A$1:$I$89,7,0))</f>
        <v>9.0000000000000011E-2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36.030299745055871</v>
      </c>
      <c r="AV53" s="21">
        <f>EXP(-LN(2)/25)*AV52+(1-EXP(-LN(2)/25))/(LN(2)/25)*Calculateur!AQ53*Calculateur!AS53*VLOOKUP('Données projet'!$B$10,Paramètres!$A$1:$I$89,3,0)*0.475*44/12</f>
        <v>18.9574040357579</v>
      </c>
      <c r="AW53" s="21">
        <f>EXP(-LN(2)/2)*AW52+(1-EXP(-LN(2)/2))/(LN(2)/2)*AQ53*AT53*VLOOKUP('Données projet'!$B$10,Paramètres!$A$1:$I$89,3,0)*0.475*44/12</f>
        <v>9.9793872672702157</v>
      </c>
      <c r="AX53" s="21">
        <f t="shared" si="6"/>
        <v>64.967091048083986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122.43589743589743</v>
      </c>
      <c r="BB53" s="12">
        <f>VLOOKUP(A53,'Données projet'!$A$87:$I$107,9,0)</f>
        <v>4.2307692307692291</v>
      </c>
      <c r="BC53" s="12">
        <f t="array" ref="BC53">INDEX(BB:BB,MIN(IF(ISNUMBER(BB53:BB249),ROW(BB53:BB249),"")))</f>
        <v>4.2307692307692291</v>
      </c>
      <c r="BD53" s="12">
        <f>IF('Données projet'!$A$88&gt;35,BD52+BC53-BL52,IF(A53&lt;'Données projet'!$A$88,$BA$205^A53,IF(A53='Données projet'!$A$88,'Données projet'!$B$88,BD52+BC53-BL52)))</f>
        <v>122.43589743589745</v>
      </c>
      <c r="BE53" s="13">
        <f>BD53*VLOOKUP('Données projet'!$B$11,Paramètres!$A$1:$I$89,3,0)*VLOOKUP('Données projet'!$B$11,Paramètres!$A$1:$I$89,5,0)</f>
        <v>127.97000000000003</v>
      </c>
      <c r="BF53" s="13">
        <f t="shared" si="37"/>
        <v>33.526857135589701</v>
      </c>
      <c r="BG53" s="20">
        <f t="shared" si="7"/>
        <v>281.27369284448542</v>
      </c>
      <c r="BH53" s="59">
        <f t="shared" si="8"/>
        <v>574.60702617781874</v>
      </c>
      <c r="BI53" s="59">
        <f ca="1">AVERAGE(OFFSET($BH$3,0,0,'Données projet'!$E$11+1,1))-AVERAGE(OFFSET($H$3,0,0,'Données projet'!$E$11+1,1))</f>
        <v>260.74709892624571</v>
      </c>
      <c r="BJ53" s="59">
        <f t="shared" si="38"/>
        <v>237.17381692184887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13.461538461538462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18.486317350235591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18.486317350235591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304.72000000000003</v>
      </c>
      <c r="BW53" s="12">
        <f>VLOOKUP(A53,'Données projet'!$A$113:$I$133,9,0)</f>
        <v>14.351250000000004</v>
      </c>
      <c r="BX53" s="12">
        <f t="array" ref="BX53">INDEX(BW:BW,MIN(IF(ISNUMBER(BW53:BW249),ROW(BW53:BW249),"")))</f>
        <v>14.351250000000004</v>
      </c>
      <c r="BY53" s="12">
        <f>IF('Données projet'!$A$114&gt;35,BY52+BX53-CG52,IF(A53&lt;'Données projet'!$A$114,$BV$205^A53,IF(A53='Données projet'!$A$114,'Données projet'!$B$114,BY52+BX53-CG52)))</f>
        <v>304.72000000000003</v>
      </c>
      <c r="BZ53" s="13">
        <f>BY53*VLOOKUP('Données projet'!$B$12,Paramètres!$A$1:$I$89,3,0)*VLOOKUP('Données projet'!$B$12,Paramètres!$A$1:$I$89,5,0)</f>
        <v>275.71065600000003</v>
      </c>
      <c r="CA53" s="13">
        <f t="shared" si="39"/>
        <v>66.059734370197603</v>
      </c>
      <c r="CB53" s="20">
        <f t="shared" si="10"/>
        <v>595.25009656142754</v>
      </c>
      <c r="CC53" s="59">
        <f t="shared" si="11"/>
        <v>888.58342989476091</v>
      </c>
      <c r="CD53" s="59">
        <f ca="1">AVERAGE(OFFSET($CC$3,0,0,'Données projet'!$E$12+1,1))-AVERAGE(OFFSET($H$3,0,0,'Données projet'!$E$12+1,1))</f>
        <v>695.0879239758051</v>
      </c>
      <c r="CE53" s="59">
        <f t="shared" si="40"/>
        <v>226.22150997227476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70.730000000000018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0.34400000000000003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48.259061719647775</v>
      </c>
      <c r="CM53" s="21">
        <f>EXP(-LN(2)/2)*CM52+(1-EXP(-LN(2)/2))/(LN(2)/2)*CG53*CJ53*VLOOKUP('Données projet'!$B$12,Paramètres!$A$1:$I$89,3,0)*0.475*44/12</f>
        <v>12.720950638272642</v>
      </c>
      <c r="CN53" s="22">
        <f t="shared" si="12"/>
        <v>60.980012357920415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304.72000000000003</v>
      </c>
      <c r="CR53" s="12">
        <f>VLOOKUP(A53,'Données projet'!$A$139:$I$159,9,0)</f>
        <v>14.351250000000004</v>
      </c>
      <c r="CS53" s="12">
        <f t="array" ref="CS53">INDEX(CR:CR,MIN(IF(ISNUMBER(CR53:CR249),ROW(CR53:CR249),"")))</f>
        <v>14.351250000000004</v>
      </c>
      <c r="CT53" s="12">
        <f>IF('Données projet'!$A$140&gt;35,CT52+CS53-DB52,IF(A53&lt;'Données projet'!$A$140,$CQ$205^A53,IF(A53='Données projet'!$A$140,'Données projet'!$B$140,CT52+CS53-DB52)))</f>
        <v>304.72000000000003</v>
      </c>
      <c r="CU53" s="17">
        <f>CT53*VLOOKUP('Données projet'!$B$13,Paramètres!$A$1:$I$89,3,0)*VLOOKUP('Données projet'!$B$13,Paramètres!$A$1:$I$89,5,0)</f>
        <v>308.98608000000002</v>
      </c>
      <c r="CV53" s="13">
        <f t="shared" si="41"/>
        <v>73.057042964372911</v>
      </c>
      <c r="CW53" s="20">
        <f t="shared" si="13"/>
        <v>665.39177249628278</v>
      </c>
      <c r="CX53" s="59">
        <f t="shared" si="14"/>
        <v>958.72510582961604</v>
      </c>
      <c r="CY53" s="59">
        <f ca="1">AVERAGE(OFFSET($CX$3,0,0,'Données projet'!$E$13+1,1))-AVERAGE(OFFSET($H$3,0,0,'Données projet'!$E$13+1,1))</f>
        <v>773.15074145293738</v>
      </c>
      <c r="CZ53" s="59">
        <f t="shared" si="42"/>
        <v>248.49577986312505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70.730000000000018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0.34400000000000003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54.083431237536303</v>
      </c>
      <c r="DH53" s="21">
        <f>EXP(-LN(2)/2)*DH52+(1-EXP(-LN(2)/2))/(LN(2)/2)*DB53*DE53*VLOOKUP('Données projet'!$B$13,Paramètres!$A$1:$I$89,3,0)*0.475*44/12</f>
        <v>14.256237784271065</v>
      </c>
      <c r="DI53" s="22">
        <f t="shared" si="15"/>
        <v>68.339669021807367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6.4429411764705877</v>
      </c>
      <c r="DO53" s="12">
        <f>IF('Données projet'!$A$166&gt;35,DO52+DN53-DW52,IF(A53&lt;'Données projet'!$A$166,$DL$205^A53,IF(A53='Données projet'!$A$166,'Données projet'!$B$166,DO52+DN53-DW52)))</f>
        <v>322.14705882352922</v>
      </c>
      <c r="DP53" s="17">
        <f>DO53*VLOOKUP('Données projet'!$B$14,Paramètres!$A$1:$I$89,3,0)*VLOOKUP('Données projet'!$B$14,Paramètres!$A$1:$I$89,5,0)</f>
        <v>150.76482352941167</v>
      </c>
      <c r="DQ53" s="13">
        <f t="shared" si="43"/>
        <v>38.752343031926451</v>
      </c>
      <c r="DR53" s="20">
        <f t="shared" si="16"/>
        <v>330.0757317609972</v>
      </c>
      <c r="DS53" s="59">
        <f t="shared" si="17"/>
        <v>623.40906509433057</v>
      </c>
      <c r="DT53" s="59">
        <f ca="1">AVERAGE(OFFSET($DS$3,0,0,'Données projet'!$E$14+1,1))-AVERAGE(OFFSET($H$3,0,0,'Données projet'!$E$14+1,1))</f>
        <v>293.15557501692803</v>
      </c>
      <c r="DU53" s="59">
        <f t="shared" si="44"/>
        <v>237.1930412773068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12.103750000000002</v>
      </c>
      <c r="EJ53" s="12">
        <f>IF('Données projet'!$A$192&gt;35,EJ52+EI53-ER52,IF(A53&lt;'Données projet'!$A$192,$EG$205^A53,IF(A53='Données projet'!$A$192,'Données projet'!$B$192,EJ52+EI53-ER52)))</f>
        <v>268.69499999999988</v>
      </c>
      <c r="EK53" s="17">
        <f>EJ53*VLOOKUP('Données projet'!$B$15,Paramètres!$A$1:$I$89,3,0)*VLOOKUP('Données projet'!$B$15,Paramètres!$A$1:$I$89,5,0)</f>
        <v>160.67960999999994</v>
      </c>
      <c r="EL53" s="13">
        <f t="shared" si="45"/>
        <v>40.995765504952942</v>
      </c>
      <c r="EM53" s="20">
        <f t="shared" si="19"/>
        <v>351.2512790044596</v>
      </c>
      <c r="EN53" s="59">
        <f t="shared" si="20"/>
        <v>644.58461233779292</v>
      </c>
      <c r="EO53" s="59">
        <f ca="1">AVERAGE(OFFSET($EN$3,0,0,'Données projet'!$E$15+1,1))-AVERAGE(OFFSET($H$3,0,0,'Données projet'!$E$15+1,1))</f>
        <v>225.86663363047296</v>
      </c>
      <c r="EP53" s="59">
        <f t="shared" si="46"/>
        <v>258.08349727304397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24.455535127804723</v>
      </c>
      <c r="EW53" s="21">
        <f>EXP(-LN(2)/25)*EW52+(1-EXP(-LN(2)/25))/(LN(2)/25)*Calculateur!ER53*Calculateur!ET53*VLOOKUP('Données projet'!$B$15,Paramètres!$A$1:$I$89,3,0)*0.475*44/12</f>
        <v>14.103008723838846</v>
      </c>
      <c r="EX53" s="21">
        <f>EXP(-LN(2)/2)*EX52+(1-EXP(-LN(2)/2))/(LN(2)/2)*ER53*EU53*VLOOKUP('Données projet'!$B$15,Paramètres!$A$1:$I$89,3,0)*0.475*44/12</f>
        <v>2.3501724180090724</v>
      </c>
      <c r="EY53" s="22">
        <f t="shared" si="21"/>
        <v>40.908716269652643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16.3825</v>
      </c>
      <c r="N54" s="13">
        <f>IF('Données projet'!$A$36&gt;35,N53+M54-V53,IF(A54&lt;'Données projet'!$A$36,$K$205^A54,IF(A54='Données projet'!$A$36,'Données projet'!$B$36,N53+M54-V53)))</f>
        <v>481.83749999999992</v>
      </c>
      <c r="O54" s="13">
        <f>N54*VLOOKUP('Données projet'!$B$9,Paramètres!$A$1:$I$89,3,0)*VLOOKUP('Données projet'!$B$9,Paramètres!$A$1:$I$89,5,0)</f>
        <v>288.138825</v>
      </c>
      <c r="P54" s="13">
        <f t="shared" si="33"/>
        <v>68.684097873944822</v>
      </c>
      <c r="Q54" s="20">
        <f t="shared" si="53"/>
        <v>621.46659067212056</v>
      </c>
      <c r="R54" s="59">
        <f t="shared" si="0"/>
        <v>914.79992400545393</v>
      </c>
      <c r="S54" s="59">
        <f ca="1">AVERAGE(OFFSET($R$3,0,0,'Données projet'!$E$9+1,1))-AVERAGE(OFFSET($H$3,0,0,'Données projet'!$E$9+1,1))</f>
        <v>388.12151914648013</v>
      </c>
      <c r="T54" s="59">
        <f t="shared" si="34"/>
        <v>481.43684454382793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63.234372764349196</v>
      </c>
      <c r="AA54" s="21">
        <f>EXP(-LN(2)/25)*AA53+(1-EXP(-LN(2)/25))/(LN(2)/25)*Calculateur!V54*Calculateur!X54*VLOOKUP('Données projet'!$B$9,Paramètres!$A$1:$I$89,3,0)*0.475*44/12</f>
        <v>24.786777764272021</v>
      </c>
      <c r="AB54" s="21">
        <f>EXP(-LN(2)/2)*AB53+(1-EXP(-LN(2)/2))/(LN(2)/2)*V54*Y54*VLOOKUP('Données projet'!$B$9,Paramètres!$A$1:$I$89,3,0)*0.475*44/12</f>
        <v>5.4538608488455562</v>
      </c>
      <c r="AC54" s="22">
        <f t="shared" si="3"/>
        <v>93.475011377466771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14.113999999999999</v>
      </c>
      <c r="AI54" s="13">
        <f>IF('Données projet'!$A$62&gt;35,AI53+AH54-AQ53,IF(A54&lt;'Données projet'!$A$62,$AF$205^A54,IF(A54='Données projet'!$A$62,'Données projet'!$B$62,AI53+AH54-AQ53)))</f>
        <v>313.91400000000004</v>
      </c>
      <c r="AJ54" s="13">
        <f>AI54*VLOOKUP('Données projet'!$B$10,Paramètres!$A$1:$I$89,3,0)*VLOOKUP('Données projet'!$B$10,Paramètres!$A$1:$I$89,5,0)</f>
        <v>187.72057200000006</v>
      </c>
      <c r="AK54" s="13">
        <f t="shared" si="35"/>
        <v>47.035650233472225</v>
      </c>
      <c r="AL54" s="20">
        <f t="shared" si="4"/>
        <v>408.86708705663085</v>
      </c>
      <c r="AM54" s="59">
        <f t="shared" si="5"/>
        <v>702.20042038996417</v>
      </c>
      <c r="AN54" s="59">
        <f ca="1">AVERAGE(OFFSET($AM$3,0,0,'Données projet'!$E$10+1,1))-AVERAGE(OFFSET($H$3,0,0,'Données projet'!$E$10+1,1))</f>
        <v>349.71285006949597</v>
      </c>
      <c r="AO54" s="59">
        <f t="shared" si="36"/>
        <v>258.51550516456842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35.323767543368191</v>
      </c>
      <c r="AV54" s="21">
        <f>EXP(-LN(2)/25)*AV53+(1-EXP(-LN(2)/25))/(LN(2)/25)*Calculateur!AQ54*Calculateur!AS54*VLOOKUP('Données projet'!$B$10,Paramètres!$A$1:$I$89,3,0)*0.475*44/12</f>
        <v>18.439012825473551</v>
      </c>
      <c r="AW54" s="21">
        <f>EXP(-LN(2)/2)*AW53+(1-EXP(-LN(2)/2))/(LN(2)/2)*AQ54*AT54*VLOOKUP('Données projet'!$B$10,Paramètres!$A$1:$I$89,3,0)*0.475*44/12</f>
        <v>7.0564924087734591</v>
      </c>
      <c r="AX54" s="21">
        <f t="shared" si="6"/>
        <v>60.819272777615204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3.9743589743589753</v>
      </c>
      <c r="BD54" s="12">
        <f>IF('Données projet'!$A$88&gt;35,BD53+BC54-BL53,IF(A54&lt;'Données projet'!$A$88,$BA$205^A54,IF(A54='Données projet'!$A$88,'Données projet'!$B$88,BD53+BC54-BL53)))</f>
        <v>112.94871794871796</v>
      </c>
      <c r="BE54" s="13">
        <f>BD54*VLOOKUP('Données projet'!$B$11,Paramètres!$A$1:$I$89,3,0)*VLOOKUP('Données projet'!$B$11,Paramètres!$A$1:$I$89,5,0)</f>
        <v>118.05400000000003</v>
      </c>
      <c r="BF54" s="13">
        <f t="shared" si="37"/>
        <v>31.220695774110773</v>
      </c>
      <c r="BG54" s="20">
        <f t="shared" si="7"/>
        <v>259.98676180657628</v>
      </c>
      <c r="BH54" s="59">
        <f t="shared" si="8"/>
        <v>553.32009513990965</v>
      </c>
      <c r="BI54" s="59">
        <f ca="1">AVERAGE(OFFSET($BH$3,0,0,'Données projet'!$E$11+1,1))-AVERAGE(OFFSET($H$3,0,0,'Données projet'!$E$11+1,1))</f>
        <v>260.74709892624571</v>
      </c>
      <c r="BJ54" s="59">
        <f t="shared" si="38"/>
        <v>237.17381692184887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17.980808030140221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17.980808030140221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14.073749999999997</v>
      </c>
      <c r="BY54" s="12">
        <f>IF('Données projet'!$A$114&gt;35,BY53+BX54-CG53,IF(A54&lt;'Données projet'!$A$114,$BV$205^A54,IF(A54='Données projet'!$A$114,'Données projet'!$B$114,BY53+BX54-CG53)))</f>
        <v>248.06375000000003</v>
      </c>
      <c r="BZ54" s="13">
        <f>BY54*VLOOKUP('Données projet'!$B$12,Paramètres!$A$1:$I$89,3,0)*VLOOKUP('Données projet'!$B$12,Paramètres!$A$1:$I$89,5,0)</f>
        <v>224.44808100000003</v>
      </c>
      <c r="CA54" s="13">
        <f t="shared" si="39"/>
        <v>55.080525002460227</v>
      </c>
      <c r="CB54" s="20">
        <f t="shared" si="10"/>
        <v>486.84565545428495</v>
      </c>
      <c r="CC54" s="59">
        <f t="shared" si="11"/>
        <v>780.17898878761821</v>
      </c>
      <c r="CD54" s="59">
        <f ca="1">AVERAGE(OFFSET($CC$3,0,0,'Données projet'!$E$12+1,1))-AVERAGE(OFFSET($H$3,0,0,'Données projet'!$E$12+1,1))</f>
        <v>695.0879239758051</v>
      </c>
      <c r="CE54" s="59">
        <f t="shared" si="40"/>
        <v>226.22150997227476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46.939415139090251</v>
      </c>
      <c r="CM54" s="21">
        <f>EXP(-LN(2)/2)*CM53+(1-EXP(-LN(2)/2))/(LN(2)/2)*CG54*CJ54*VLOOKUP('Données projet'!$B$12,Paramètres!$A$1:$I$89,3,0)*0.475*44/12</f>
        <v>8.9950704594619264</v>
      </c>
      <c r="CN54" s="22">
        <f t="shared" si="12"/>
        <v>55.934485598552179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14.073749999999997</v>
      </c>
      <c r="CT54" s="12">
        <f>IF('Données projet'!$A$140&gt;35,CT53+CS54-DB53,IF(A54&lt;'Données projet'!$A$140,$CQ$205^A54,IF(A54='Données projet'!$A$140,'Données projet'!$B$140,CT53+CS54-DB53)))</f>
        <v>248.06375000000003</v>
      </c>
      <c r="CU54" s="17">
        <f>CT54*VLOOKUP('Données projet'!$B$13,Paramètres!$A$1:$I$89,3,0)*VLOOKUP('Données projet'!$B$13,Paramètres!$A$1:$I$89,5,0)</f>
        <v>251.53664250000003</v>
      </c>
      <c r="CV54" s="13">
        <f t="shared" si="41"/>
        <v>60.914872273848601</v>
      </c>
      <c r="CW54" s="20">
        <f t="shared" si="13"/>
        <v>544.18638823111974</v>
      </c>
      <c r="CX54" s="59">
        <f t="shared" si="14"/>
        <v>837.51972156445299</v>
      </c>
      <c r="CY54" s="59">
        <f ca="1">AVERAGE(OFFSET($CX$3,0,0,'Données projet'!$E$13+1,1))-AVERAGE(OFFSET($H$3,0,0,'Données projet'!$E$13+1,1))</f>
        <v>773.15074145293738</v>
      </c>
      <c r="CZ54" s="59">
        <f t="shared" si="42"/>
        <v>248.49577986312505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52.60451696622183</v>
      </c>
      <c r="DH54" s="21">
        <f>EXP(-LN(2)/2)*DH53+(1-EXP(-LN(2)/2))/(LN(2)/2)*DB54*DE54*VLOOKUP('Données projet'!$B$13,Paramètres!$A$1:$I$89,3,0)*0.475*44/12</f>
        <v>10.080682411465952</v>
      </c>
      <c r="DI54" s="22">
        <f t="shared" si="15"/>
        <v>62.68519937768778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>
        <f>VLOOKUP(A54,'Données projet'!$A$165:$I$185,2,0)</f>
        <v>328.59</v>
      </c>
      <c r="DM54" s="12">
        <f>VLOOKUP(A54,'Données projet'!$A$165:$I$185,9,0)</f>
        <v>6.4429411764705877</v>
      </c>
      <c r="DN54" s="12">
        <f t="array" ref="DN54">INDEX(DM:DM,MIN(IF(ISNUMBER(DM54:DM250),ROW(DM54:DM250),"")))</f>
        <v>6.4429411764705877</v>
      </c>
      <c r="DO54" s="12">
        <f>IF('Données projet'!$A$166&gt;35,DO53+DN54-DW53,IF(A54&lt;'Données projet'!$A$166,$DL$205^A54,IF(A54='Données projet'!$A$166,'Données projet'!$B$166,DO53+DN54-DW53)))</f>
        <v>328.5899999999998</v>
      </c>
      <c r="DP54" s="17">
        <f>DO54*VLOOKUP('Données projet'!$B$14,Paramètres!$A$1:$I$89,3,0)*VLOOKUP('Données projet'!$B$14,Paramètres!$A$1:$I$89,5,0)</f>
        <v>153.78011999999993</v>
      </c>
      <c r="DQ54" s="13">
        <f t="shared" si="43"/>
        <v>39.436383165095613</v>
      </c>
      <c r="DR54" s="20">
        <f t="shared" si="16"/>
        <v>336.51874301254134</v>
      </c>
      <c r="DS54" s="59">
        <f t="shared" si="17"/>
        <v>629.85207634587459</v>
      </c>
      <c r="DT54" s="59">
        <f ca="1">AVERAGE(OFFSET($DS$3,0,0,'Données projet'!$E$14+1,1))-AVERAGE(OFFSET($H$3,0,0,'Données projet'!$E$14+1,1))</f>
        <v>293.15557501692803</v>
      </c>
      <c r="DU54" s="59">
        <f t="shared" si="44"/>
        <v>237.1930412773068</v>
      </c>
      <c r="DV54" s="15">
        <f>IF(ISNA(VLOOKUP(A54,'Données projet'!$A$165:$I$185,3,0)),0,VLOOKUP(A54,'Données projet'!$A$165:$I$185,3,0))</f>
        <v>1</v>
      </c>
      <c r="DW54" s="15">
        <f>IF(ISNA(VLOOKUP(A54,'Données projet'!$A$165:$I$185,4,0)),0,VLOOKUP(A54,'Données projet'!$A$165:$I$185,4,0))</f>
        <v>101.57999999999998</v>
      </c>
      <c r="DX54" s="16">
        <f>IF(ISNA(VLOOKUP(A54,'Données projet'!$A$165:$I$185,5,0)),0%,VLOOKUP(A54,'Données projet'!$A$165:$I$185,5,0)*VLOOKUP('Données projet'!$B$14,Paramètres!$A$1:$I$89,7,0))</f>
        <v>0.13750000000000001</v>
      </c>
      <c r="DY54" s="16">
        <f>IF(ISNA(VLOOKUP(A54,'Données projet'!$A$165:$I$185,6,0)),0%,VLOOKUP(A54,'Données projet'!$A$165:$I$185,6,0)*VLOOKUP('Données projet'!$B$14,Paramètres!$A$1:$I$89,7,0))</f>
        <v>0.20350000000000001</v>
      </c>
      <c r="DZ54" s="16">
        <f>IF(ISNA(VLOOKUP(A54,'Données projet'!$A$165:$I$185,7,0)),0%,VLOOKUP(A54,'Données projet'!$A$165:$I$185,7,0))</f>
        <v>0.38</v>
      </c>
      <c r="EA54" s="21">
        <f>EXP(-LN(2)/35)*EA53+(1-EXP(-LN(2)/35))/(LN(2)/35)*DW54*DX54*VLOOKUP('Données projet'!$B$14,Paramètres!$A$1:$I$89,3,0)*0.475*44/12</f>
        <v>8.6713180586313445</v>
      </c>
      <c r="EB54" s="21">
        <f>EXP(-LN(2)/25)*EB53+(1-EXP(-LN(2)/25))/(LN(2)/25)*Calculateur!DW54*Calculateur!DY54*VLOOKUP('Données projet'!$B$14,Paramètres!$A$1:$I$89,3,0)*0.475*44/12</f>
        <v>12.783020147596885</v>
      </c>
      <c r="EC54" s="21">
        <f>EXP(-LN(2)/2)*EC53+(1-EXP(-LN(2)/2))/(LN(2)/2)*DW54*DZ54*VLOOKUP('Données projet'!$B$14,Paramètres!$A$1:$I$89,3,0)*0.475*44/12</f>
        <v>20.453761962242197</v>
      </c>
      <c r="ED54" s="22">
        <f t="shared" si="18"/>
        <v>41.908100168470426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12.103750000000002</v>
      </c>
      <c r="EJ54" s="12">
        <f>IF('Données projet'!$A$192&gt;35,EJ53+EI54-ER53,IF(A54&lt;'Données projet'!$A$192,$EG$205^A54,IF(A54='Données projet'!$A$192,'Données projet'!$B$192,EJ53+EI54-ER53)))</f>
        <v>280.79874999999987</v>
      </c>
      <c r="EK54" s="17">
        <f>EJ54*VLOOKUP('Données projet'!$B$15,Paramètres!$A$1:$I$89,3,0)*VLOOKUP('Données projet'!$B$15,Paramètres!$A$1:$I$89,5,0)</f>
        <v>167.91765249999995</v>
      </c>
      <c r="EL54" s="13">
        <f t="shared" si="45"/>
        <v>42.623313011687245</v>
      </c>
      <c r="EM54" s="20">
        <f t="shared" si="19"/>
        <v>366.6921815995218</v>
      </c>
      <c r="EN54" s="59">
        <f t="shared" si="20"/>
        <v>660.02551493285512</v>
      </c>
      <c r="EO54" s="59">
        <f ca="1">AVERAGE(OFFSET($EN$3,0,0,'Données projet'!$E$15+1,1))-AVERAGE(OFFSET($H$3,0,0,'Données projet'!$E$15+1,1))</f>
        <v>225.86663363047296</v>
      </c>
      <c r="EP54" s="59">
        <f t="shared" si="46"/>
        <v>258.08349727304397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23.975977000352028</v>
      </c>
      <c r="EW54" s="21">
        <f>EXP(-LN(2)/25)*EW53+(1-EXP(-LN(2)/25))/(LN(2)/25)*Calculateur!ER54*Calculateur!ET54*VLOOKUP('Données projet'!$B$15,Paramètres!$A$1:$I$89,3,0)*0.475*44/12</f>
        <v>13.717361208640476</v>
      </c>
      <c r="EX54" s="21">
        <f>EXP(-LN(2)/2)*EX53+(1-EXP(-LN(2)/2))/(LN(2)/2)*ER54*EU54*VLOOKUP('Données projet'!$B$15,Paramètres!$A$1:$I$89,3,0)*0.475*44/12</f>
        <v>1.6618228537318005</v>
      </c>
      <c r="EY54" s="22">
        <f t="shared" si="21"/>
        <v>39.355161062724299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16.3825</v>
      </c>
      <c r="N55" s="13">
        <f>IF('Données projet'!$A$36&gt;35,N54+M55-V54,IF(A55&lt;'Données projet'!$A$36,$K$205^A55,IF(A55='Données projet'!$A$36,'Données projet'!$B$36,N54+M55-V54)))</f>
        <v>498.21999999999991</v>
      </c>
      <c r="O55" s="13">
        <f>N55*VLOOKUP('Données projet'!$B$9,Paramètres!$A$1:$I$89,3,0)*VLOOKUP('Données projet'!$B$9,Paramètres!$A$1:$I$89,5,0)</f>
        <v>297.93555999999995</v>
      </c>
      <c r="P55" s="13">
        <f t="shared" si="33"/>
        <v>70.74350377882952</v>
      </c>
      <c r="Q55" s="20">
        <f t="shared" si="53"/>
        <v>642.11603608146129</v>
      </c>
      <c r="R55" s="59">
        <f t="shared" si="0"/>
        <v>935.44936941479455</v>
      </c>
      <c r="S55" s="59">
        <f ca="1">AVERAGE(OFFSET($R$3,0,0,'Données projet'!$E$9+1,1))-AVERAGE(OFFSET($H$3,0,0,'Données projet'!$E$9+1,1))</f>
        <v>388.12151914648013</v>
      </c>
      <c r="T55" s="59">
        <f t="shared" si="34"/>
        <v>481.43684454382793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61.994385283599307</v>
      </c>
      <c r="AA55" s="21">
        <f>EXP(-LN(2)/25)*AA54+(1-EXP(-LN(2)/25))/(LN(2)/25)*Calculateur!V55*Calculateur!X55*VLOOKUP('Données projet'!$B$9,Paramètres!$A$1:$I$89,3,0)*0.475*44/12</f>
        <v>24.108982022828009</v>
      </c>
      <c r="AB55" s="21">
        <f>EXP(-LN(2)/2)*AB54+(1-EXP(-LN(2)/2))/(LN(2)/2)*V55*Y55*VLOOKUP('Données projet'!$B$9,Paramètres!$A$1:$I$89,3,0)*0.475*44/12</f>
        <v>3.8564619898665131</v>
      </c>
      <c r="AC55" s="22">
        <f t="shared" si="3"/>
        <v>89.959829296293833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14.113999999999999</v>
      </c>
      <c r="AI55" s="13">
        <f>IF('Données projet'!$A$62&gt;35,AI54+AH55-AQ54,IF(A55&lt;'Données projet'!$A$62,$AF$205^A55,IF(A55='Données projet'!$A$62,'Données projet'!$B$62,AI54+AH55-AQ54)))</f>
        <v>328.02800000000002</v>
      </c>
      <c r="AJ55" s="13">
        <f>AI55*VLOOKUP('Données projet'!$B$10,Paramètres!$A$1:$I$89,3,0)*VLOOKUP('Données projet'!$B$10,Paramètres!$A$1:$I$89,5,0)</f>
        <v>196.16074400000002</v>
      </c>
      <c r="AK55" s="13">
        <f t="shared" si="35"/>
        <v>48.899465996260361</v>
      </c>
      <c r="AL55" s="20">
        <f t="shared" si="4"/>
        <v>426.81319907682013</v>
      </c>
      <c r="AM55" s="59">
        <f t="shared" si="5"/>
        <v>720.14653241015344</v>
      </c>
      <c r="AN55" s="59">
        <f ca="1">AVERAGE(OFFSET($AM$3,0,0,'Données projet'!$E$10+1,1))-AVERAGE(OFFSET($H$3,0,0,'Données projet'!$E$10+1,1))</f>
        <v>349.71285006949597</v>
      </c>
      <c r="AO55" s="59">
        <f t="shared" si="36"/>
        <v>258.51550516456842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34.631090007213515</v>
      </c>
      <c r="AV55" s="21">
        <f>EXP(-LN(2)/25)*AV54+(1-EXP(-LN(2)/25))/(LN(2)/25)*Calculateur!AQ55*Calculateur!AS55*VLOOKUP('Données projet'!$B$10,Paramètres!$A$1:$I$89,3,0)*0.475*44/12</f>
        <v>17.934797050095433</v>
      </c>
      <c r="AW55" s="21">
        <f>EXP(-LN(2)/2)*AW54+(1-EXP(-LN(2)/2))/(LN(2)/2)*AQ55*AT55*VLOOKUP('Données projet'!$B$10,Paramètres!$A$1:$I$89,3,0)*0.475*44/12</f>
        <v>4.9896936336351088</v>
      </c>
      <c r="AX55" s="21">
        <f t="shared" si="6"/>
        <v>57.555580690944055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3.9743589743589753</v>
      </c>
      <c r="BD55" s="12">
        <f>IF('Données projet'!$A$88&gt;35,BD54+BC55-BL54,IF(A55&lt;'Données projet'!$A$88,$BA$205^A55,IF(A55='Données projet'!$A$88,'Données projet'!$B$88,BD54+BC55-BL54)))</f>
        <v>116.92307692307693</v>
      </c>
      <c r="BE55" s="13">
        <f>BD55*VLOOKUP('Données projet'!$B$11,Paramètres!$A$1:$I$89,3,0)*VLOOKUP('Données projet'!$B$11,Paramètres!$A$1:$I$89,5,0)</f>
        <v>122.20800000000001</v>
      </c>
      <c r="BF55" s="13">
        <f t="shared" si="37"/>
        <v>32.189431292929825</v>
      </c>
      <c r="BG55" s="20">
        <f t="shared" si="7"/>
        <v>268.90885950185276</v>
      </c>
      <c r="BH55" s="59">
        <f t="shared" si="8"/>
        <v>562.24219283518607</v>
      </c>
      <c r="BI55" s="59">
        <f ca="1">AVERAGE(OFFSET($BH$3,0,0,'Données projet'!$E$11+1,1))-AVERAGE(OFFSET($H$3,0,0,'Données projet'!$E$11+1,1))</f>
        <v>260.74709892624571</v>
      </c>
      <c r="BJ55" s="59">
        <f t="shared" si="38"/>
        <v>237.17381692184887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17.489121888986439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17.489121888986439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14.073749999999997</v>
      </c>
      <c r="BY55" s="12">
        <f>IF('Données projet'!$A$114&gt;35,BY54+BX55-CG54,IF(A55&lt;'Données projet'!$A$114,$BV$205^A55,IF(A55='Données projet'!$A$114,'Données projet'!$B$114,BY54+BX55-CG54)))</f>
        <v>262.13750000000005</v>
      </c>
      <c r="BZ55" s="13">
        <f>BY55*VLOOKUP('Données projet'!$B$12,Paramètres!$A$1:$I$89,3,0)*VLOOKUP('Données projet'!$B$12,Paramètres!$A$1:$I$89,5,0)</f>
        <v>237.18201000000005</v>
      </c>
      <c r="CA55" s="13">
        <f t="shared" si="39"/>
        <v>57.832810058824109</v>
      </c>
      <c r="CB55" s="20">
        <f t="shared" si="10"/>
        <v>513.81747826911885</v>
      </c>
      <c r="CC55" s="59">
        <f t="shared" si="11"/>
        <v>807.15081160245222</v>
      </c>
      <c r="CD55" s="59">
        <f ca="1">AVERAGE(OFFSET($CC$3,0,0,'Données projet'!$E$12+1,1))-AVERAGE(OFFSET($H$3,0,0,'Données projet'!$E$12+1,1))</f>
        <v>695.0879239758051</v>
      </c>
      <c r="CE55" s="59">
        <f t="shared" si="40"/>
        <v>226.22150997227476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45.655854363675267</v>
      </c>
      <c r="CM55" s="21">
        <f>EXP(-LN(2)/2)*CM54+(1-EXP(-LN(2)/2))/(LN(2)/2)*CG55*CJ55*VLOOKUP('Données projet'!$B$12,Paramètres!$A$1:$I$89,3,0)*0.475*44/12</f>
        <v>6.3604753191363219</v>
      </c>
      <c r="CN55" s="22">
        <f t="shared" si="12"/>
        <v>52.016329682811588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14.073749999999997</v>
      </c>
      <c r="CT55" s="12">
        <f>IF('Données projet'!$A$140&gt;35,CT54+CS55-DB54,IF(A55&lt;'Données projet'!$A$140,$CQ$205^A55,IF(A55='Données projet'!$A$140,'Données projet'!$B$140,CT54+CS55-DB54)))</f>
        <v>262.13750000000005</v>
      </c>
      <c r="CU55" s="17">
        <f>CT55*VLOOKUP('Données projet'!$B$13,Paramètres!$A$1:$I$89,3,0)*VLOOKUP('Données projet'!$B$13,Paramètres!$A$1:$I$89,5,0)</f>
        <v>265.80742500000008</v>
      </c>
      <c r="CV55" s="13">
        <f t="shared" si="41"/>
        <v>63.958690259645572</v>
      </c>
      <c r="CW55" s="20">
        <f t="shared" si="13"/>
        <v>574.34265074388281</v>
      </c>
      <c r="CX55" s="59">
        <f t="shared" si="14"/>
        <v>867.67598407721607</v>
      </c>
      <c r="CY55" s="59">
        <f ca="1">AVERAGE(OFFSET($CX$3,0,0,'Données projet'!$E$13+1,1))-AVERAGE(OFFSET($H$3,0,0,'Données projet'!$E$13+1,1))</f>
        <v>773.15074145293738</v>
      </c>
      <c r="CZ55" s="59">
        <f t="shared" si="42"/>
        <v>248.49577986312505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51.166043683429173</v>
      </c>
      <c r="DH55" s="21">
        <f>EXP(-LN(2)/2)*DH54+(1-EXP(-LN(2)/2))/(LN(2)/2)*DB55*DE55*VLOOKUP('Données projet'!$B$13,Paramètres!$A$1:$I$89,3,0)*0.475*44/12</f>
        <v>7.1281188921355341</v>
      </c>
      <c r="DI55" s="22">
        <f t="shared" si="15"/>
        <v>58.294162575564705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12.346666666666669</v>
      </c>
      <c r="DO55" s="12">
        <f>IF('Données projet'!$A$166&gt;35,DO54+DN55-DW54,IF(A55&lt;'Données projet'!$A$166,$DL$205^A55,IF(A55='Données projet'!$A$166,'Données projet'!$B$166,DO54+DN55-DW54)))</f>
        <v>239.35666666666651</v>
      </c>
      <c r="DP55" s="17">
        <f>DO55*VLOOKUP('Données projet'!$B$14,Paramètres!$A$1:$I$89,3,0)*VLOOKUP('Données projet'!$B$14,Paramètres!$A$1:$I$89,5,0)</f>
        <v>112.01891999999992</v>
      </c>
      <c r="DQ55" s="13">
        <f t="shared" si="43"/>
        <v>29.806153198145591</v>
      </c>
      <c r="DR55" s="20">
        <f t="shared" si="16"/>
        <v>247.01200248677006</v>
      </c>
      <c r="DS55" s="59">
        <f t="shared" si="17"/>
        <v>540.3453358201034</v>
      </c>
      <c r="DT55" s="59">
        <f ca="1">AVERAGE(OFFSET($DS$3,0,0,'Données projet'!$E$14+1,1))-AVERAGE(OFFSET($H$3,0,0,'Données projet'!$E$14+1,1))</f>
        <v>293.15557501692803</v>
      </c>
      <c r="DU55" s="59">
        <f t="shared" si="44"/>
        <v>237.1930412773068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8.5012788004833553</v>
      </c>
      <c r="EB55" s="21">
        <f>EXP(-LN(2)/25)*EB54+(1-EXP(-LN(2)/25))/(LN(2)/25)*Calculateur!DW55*Calculateur!DY55*VLOOKUP('Données projet'!$B$14,Paramètres!$A$1:$I$89,3,0)*0.475*44/12</f>
        <v>12.433467789431035</v>
      </c>
      <c r="EC55" s="21">
        <f>EXP(-LN(2)/2)*EC54+(1-EXP(-LN(2)/2))/(LN(2)/2)*DW55*DZ55*VLOOKUP('Données projet'!$B$14,Paramètres!$A$1:$I$89,3,0)*0.475*44/12</f>
        <v>14.462993784276923</v>
      </c>
      <c r="ED55" s="22">
        <f t="shared" si="18"/>
        <v>35.397740374191315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12.103750000000002</v>
      </c>
      <c r="EJ55" s="12">
        <f>IF('Données projet'!$A$192&gt;35,EJ54+EI55-ER54,IF(A55&lt;'Données projet'!$A$192,$EG$205^A55,IF(A55='Données projet'!$A$192,'Données projet'!$B$192,EJ54+EI55-ER54)))</f>
        <v>292.90249999999986</v>
      </c>
      <c r="EK55" s="17">
        <f>EJ55*VLOOKUP('Données projet'!$B$15,Paramètres!$A$1:$I$89,3,0)*VLOOKUP('Données projet'!$B$15,Paramètres!$A$1:$I$89,5,0)</f>
        <v>175.15569499999995</v>
      </c>
      <c r="EL55" s="13">
        <f t="shared" si="45"/>
        <v>44.242712267059225</v>
      </c>
      <c r="EM55" s="20">
        <f t="shared" si="19"/>
        <v>382.11889265679474</v>
      </c>
      <c r="EN55" s="59">
        <f t="shared" si="20"/>
        <v>675.452225990128</v>
      </c>
      <c r="EO55" s="59">
        <f ca="1">AVERAGE(OFFSET($EN$3,0,0,'Données projet'!$E$15+1,1))-AVERAGE(OFFSET($H$3,0,0,'Données projet'!$E$15+1,1))</f>
        <v>225.86663363047296</v>
      </c>
      <c r="EP55" s="59">
        <f t="shared" si="46"/>
        <v>258.08349727304397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23.505822715277105</v>
      </c>
      <c r="EW55" s="21">
        <f>EXP(-LN(2)/25)*EW54+(1-EXP(-LN(2)/25))/(LN(2)/25)*Calculateur!ER55*Calculateur!ET55*VLOOKUP('Données projet'!$B$15,Paramètres!$A$1:$I$89,3,0)*0.475*44/12</f>
        <v>13.342259245025527</v>
      </c>
      <c r="EX55" s="21">
        <f>EXP(-LN(2)/2)*EX54+(1-EXP(-LN(2)/2))/(LN(2)/2)*ER55*EU55*VLOOKUP('Données projet'!$B$15,Paramètres!$A$1:$I$89,3,0)*0.475*44/12</f>
        <v>1.1750862090045362</v>
      </c>
      <c r="EY55" s="22">
        <f t="shared" si="21"/>
        <v>38.023168169307169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16.3825</v>
      </c>
      <c r="N56" s="13">
        <f>IF('Données projet'!$A$36&gt;35,N55+M56-V55,IF(A56&lt;'Données projet'!$A$36,$K$205^A56,IF(A56='Données projet'!$A$36,'Données projet'!$B$36,N55+M56-V55)))</f>
        <v>514.60249999999996</v>
      </c>
      <c r="O56" s="13">
        <f>N56*VLOOKUP('Données projet'!$B$9,Paramètres!$A$1:$I$89,3,0)*VLOOKUP('Données projet'!$B$9,Paramètres!$A$1:$I$89,5,0)</f>
        <v>307.73229500000002</v>
      </c>
      <c r="P56" s="13">
        <f t="shared" si="33"/>
        <v>72.795040933099529</v>
      </c>
      <c r="Q56" s="20">
        <f t="shared" si="53"/>
        <v>662.75177675014834</v>
      </c>
      <c r="R56" s="59">
        <f t="shared" si="0"/>
        <v>956.0851100834816</v>
      </c>
      <c r="S56" s="59">
        <f ca="1">AVERAGE(OFFSET($R$3,0,0,'Données projet'!$E$9+1,1))-AVERAGE(OFFSET($H$3,0,0,'Données projet'!$E$9+1,1))</f>
        <v>388.12151914648013</v>
      </c>
      <c r="T56" s="59">
        <f t="shared" si="34"/>
        <v>481.43684454382793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60.778713201029241</v>
      </c>
      <c r="AA56" s="21">
        <f>EXP(-LN(2)/25)*AA55+(1-EXP(-LN(2)/25))/(LN(2)/25)*Calculateur!V56*Calculateur!X56*VLOOKUP('Données projet'!$B$9,Paramètres!$A$1:$I$89,3,0)*0.475*44/12</f>
        <v>23.449720641577514</v>
      </c>
      <c r="AB56" s="21">
        <f>EXP(-LN(2)/2)*AB55+(1-EXP(-LN(2)/2))/(LN(2)/2)*V56*Y56*VLOOKUP('Données projet'!$B$9,Paramètres!$A$1:$I$89,3,0)*0.475*44/12</f>
        <v>2.7269304244227786</v>
      </c>
      <c r="AC56" s="22">
        <f t="shared" si="3"/>
        <v>86.955364267029537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14.113999999999999</v>
      </c>
      <c r="AI56" s="13">
        <f>IF('Données projet'!$A$62&gt;35,AI55+AH56-AQ55,IF(A56&lt;'Données projet'!$A$62,$AF$205^A56,IF(A56='Données projet'!$A$62,'Données projet'!$B$62,AI55+AH56-AQ55)))</f>
        <v>342.142</v>
      </c>
      <c r="AJ56" s="13">
        <f>AI56*VLOOKUP('Données projet'!$B$10,Paramètres!$A$1:$I$89,3,0)*VLOOKUP('Données projet'!$B$10,Paramètres!$A$1:$I$89,5,0)</f>
        <v>204.60091600000001</v>
      </c>
      <c r="AK56" s="13">
        <f t="shared" si="35"/>
        <v>50.753967472357871</v>
      </c>
      <c r="AL56" s="20">
        <f t="shared" si="4"/>
        <v>444.74308871435665</v>
      </c>
      <c r="AM56" s="59">
        <f t="shared" si="5"/>
        <v>738.0764220476899</v>
      </c>
      <c r="AN56" s="59">
        <f ca="1">AVERAGE(OFFSET($AM$3,0,0,'Données projet'!$E$10+1,1))-AVERAGE(OFFSET($H$3,0,0,'Données projet'!$E$10+1,1))</f>
        <v>349.71285006949597</v>
      </c>
      <c r="AO56" s="59">
        <f t="shared" si="36"/>
        <v>258.51550516456842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33.951995455051254</v>
      </c>
      <c r="AV56" s="21">
        <f>EXP(-LN(2)/25)*AV55+(1-EXP(-LN(2)/25))/(LN(2)/25)*Calculateur!AQ56*Calculateur!AS56*VLOOKUP('Données projet'!$B$10,Paramètres!$A$1:$I$89,3,0)*0.475*44/12</f>
        <v>17.444369081610589</v>
      </c>
      <c r="AW56" s="21">
        <f>EXP(-LN(2)/2)*AW55+(1-EXP(-LN(2)/2))/(LN(2)/2)*AQ56*AT56*VLOOKUP('Données projet'!$B$10,Paramètres!$A$1:$I$89,3,0)*0.475*44/12</f>
        <v>3.5282462043867304</v>
      </c>
      <c r="AX56" s="21">
        <f t="shared" si="6"/>
        <v>54.924610741048575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3.9743589743589753</v>
      </c>
      <c r="BD56" s="12">
        <f>IF('Données projet'!$A$88&gt;35,BD55+BC56-BL55,IF(A56&lt;'Données projet'!$A$88,$BA$205^A56,IF(A56='Données projet'!$A$88,'Données projet'!$B$88,BD55+BC56-BL55)))</f>
        <v>120.89743589743591</v>
      </c>
      <c r="BE56" s="13">
        <f>BD56*VLOOKUP('Données projet'!$B$11,Paramètres!$A$1:$I$89,3,0)*VLOOKUP('Données projet'!$B$11,Paramètres!$A$1:$I$89,5,0)</f>
        <v>126.36200000000002</v>
      </c>
      <c r="BF56" s="13">
        <f t="shared" si="37"/>
        <v>33.15434072740662</v>
      </c>
      <c r="BG56" s="20">
        <f t="shared" si="7"/>
        <v>277.8242934335666</v>
      </c>
      <c r="BH56" s="59">
        <f t="shared" si="8"/>
        <v>571.15762676689997</v>
      </c>
      <c r="BI56" s="59">
        <f ca="1">AVERAGE(OFFSET($BH$3,0,0,'Données projet'!$E$11+1,1))-AVERAGE(OFFSET($H$3,0,0,'Données projet'!$E$11+1,1))</f>
        <v>260.74709892624571</v>
      </c>
      <c r="BJ56" s="59">
        <f t="shared" si="38"/>
        <v>237.17381692184887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17.010880931219155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17.010880931219155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14.073749999999997</v>
      </c>
      <c r="BY56" s="12">
        <f>IF('Données projet'!$A$114&gt;35,BY55+BX56-CG55,IF(A56&lt;'Données projet'!$A$114,$BV$205^A56,IF(A56='Données projet'!$A$114,'Données projet'!$B$114,BY55+BX56-CG55)))</f>
        <v>276.21125000000006</v>
      </c>
      <c r="BZ56" s="13">
        <f>BY56*VLOOKUP('Données projet'!$B$12,Paramètres!$A$1:$I$89,3,0)*VLOOKUP('Données projet'!$B$12,Paramètres!$A$1:$I$89,5,0)</f>
        <v>249.91593900000007</v>
      </c>
      <c r="CA56" s="13">
        <f t="shared" si="39"/>
        <v>60.567940102066487</v>
      </c>
      <c r="CB56" s="20">
        <f t="shared" si="10"/>
        <v>540.7594227694326</v>
      </c>
      <c r="CC56" s="59">
        <f t="shared" si="11"/>
        <v>834.09275610276586</v>
      </c>
      <c r="CD56" s="59">
        <f ca="1">AVERAGE(OFFSET($CC$3,0,0,'Données projet'!$E$12+1,1))-AVERAGE(OFFSET($H$3,0,0,'Données projet'!$E$12+1,1))</f>
        <v>695.0879239758051</v>
      </c>
      <c r="CE56" s="59">
        <f t="shared" si="40"/>
        <v>226.22150997227476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44.407392625163531</v>
      </c>
      <c r="CM56" s="21">
        <f>EXP(-LN(2)/2)*CM55+(1-EXP(-LN(2)/2))/(LN(2)/2)*CG56*CJ56*VLOOKUP('Données projet'!$B$12,Paramètres!$A$1:$I$89,3,0)*0.475*44/12</f>
        <v>4.4975352297309632</v>
      </c>
      <c r="CN56" s="22">
        <f t="shared" si="12"/>
        <v>48.904927854894495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14.073749999999997</v>
      </c>
      <c r="CT56" s="12">
        <f>IF('Données projet'!$A$140&gt;35,CT55+CS56-DB55,IF(A56&lt;'Données projet'!$A$140,$CQ$205^A56,IF(A56='Données projet'!$A$140,'Données projet'!$B$140,CT55+CS56-DB55)))</f>
        <v>276.21125000000006</v>
      </c>
      <c r="CU56" s="17">
        <f>CT56*VLOOKUP('Données projet'!$B$13,Paramètres!$A$1:$I$89,3,0)*VLOOKUP('Données projet'!$B$13,Paramètres!$A$1:$I$89,5,0)</f>
        <v>280.07820750000008</v>
      </c>
      <c r="CV56" s="13">
        <f t="shared" si="41"/>
        <v>66.983536105414714</v>
      </c>
      <c r="CW56" s="20">
        <f t="shared" si="13"/>
        <v>604.46587011276404</v>
      </c>
      <c r="CX56" s="59">
        <f t="shared" si="14"/>
        <v>897.79920344609741</v>
      </c>
      <c r="CY56" s="59">
        <f ca="1">AVERAGE(OFFSET($CX$3,0,0,'Données projet'!$E$13+1,1))-AVERAGE(OFFSET($H$3,0,0,'Données projet'!$E$13+1,1))</f>
        <v>773.15074145293738</v>
      </c>
      <c r="CZ56" s="59">
        <f t="shared" si="42"/>
        <v>248.49577986312505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49.766905528200503</v>
      </c>
      <c r="DH56" s="21">
        <f>EXP(-LN(2)/2)*DH55+(1-EXP(-LN(2)/2))/(LN(2)/2)*DB56*DE56*VLOOKUP('Données projet'!$B$13,Paramètres!$A$1:$I$89,3,0)*0.475*44/12</f>
        <v>5.0403412057329771</v>
      </c>
      <c r="DI56" s="22">
        <f t="shared" si="15"/>
        <v>54.807246733933482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12.346666666666669</v>
      </c>
      <c r="DO56" s="12">
        <f>IF('Données projet'!$A$166&gt;35,DO55+DN56-DW55,IF(A56&lt;'Données projet'!$A$166,$DL$205^A56,IF(A56='Données projet'!$A$166,'Données projet'!$B$166,DO55+DN56-DW55)))</f>
        <v>251.70333333333318</v>
      </c>
      <c r="DP56" s="17">
        <f>DO56*VLOOKUP('Données projet'!$B$14,Paramètres!$A$1:$I$89,3,0)*VLOOKUP('Données projet'!$B$14,Paramètres!$A$1:$I$89,5,0)</f>
        <v>117.79715999999992</v>
      </c>
      <c r="DQ56" s="13">
        <f t="shared" si="43"/>
        <v>31.16067034535946</v>
      </c>
      <c r="DR56" s="20">
        <f t="shared" si="16"/>
        <v>259.43488785150095</v>
      </c>
      <c r="DS56" s="59">
        <f t="shared" si="17"/>
        <v>552.76822118483426</v>
      </c>
      <c r="DT56" s="59">
        <f ca="1">AVERAGE(OFFSET($DS$3,0,0,'Données projet'!$E$14+1,1))-AVERAGE(OFFSET($H$3,0,0,'Données projet'!$E$14+1,1))</f>
        <v>293.15557501692803</v>
      </c>
      <c r="DU56" s="59">
        <f t="shared" si="44"/>
        <v>237.1930412773068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8.3345739084739421</v>
      </c>
      <c r="EB56" s="21">
        <f>EXP(-LN(2)/25)*EB55+(1-EXP(-LN(2)/25))/(LN(2)/25)*Calculateur!DW56*Calculateur!DY56*VLOOKUP('Données projet'!$B$14,Paramètres!$A$1:$I$89,3,0)*0.475*44/12</f>
        <v>12.09347395888139</v>
      </c>
      <c r="EC56" s="21">
        <f>EXP(-LN(2)/2)*EC55+(1-EXP(-LN(2)/2))/(LN(2)/2)*DW56*DZ56*VLOOKUP('Données projet'!$B$14,Paramètres!$A$1:$I$89,3,0)*0.475*44/12</f>
        <v>10.2268809811211</v>
      </c>
      <c r="ED56" s="22">
        <f t="shared" si="18"/>
        <v>30.65492884847643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12.103750000000002</v>
      </c>
      <c r="EJ56" s="12">
        <f>IF('Données projet'!$A$192&gt;35,EJ55+EI56-ER55,IF(A56&lt;'Données projet'!$A$192,$EG$205^A56,IF(A56='Données projet'!$A$192,'Données projet'!$B$192,EJ55+EI56-ER55)))</f>
        <v>305.00624999999985</v>
      </c>
      <c r="EK56" s="17">
        <f>EJ56*VLOOKUP('Données projet'!$B$15,Paramètres!$A$1:$I$89,3,0)*VLOOKUP('Données projet'!$B$15,Paramètres!$A$1:$I$89,5,0)</f>
        <v>182.39373749999993</v>
      </c>
      <c r="EL56" s="13">
        <f t="shared" si="45"/>
        <v>45.854338493820315</v>
      </c>
      <c r="EM56" s="20">
        <f t="shared" si="19"/>
        <v>397.53206568923684</v>
      </c>
      <c r="EN56" s="59">
        <f t="shared" si="20"/>
        <v>690.86539902257016</v>
      </c>
      <c r="EO56" s="59">
        <f ca="1">AVERAGE(OFFSET($EN$3,0,0,'Données projet'!$E$15+1,1))-AVERAGE(OFFSET($H$3,0,0,'Données projet'!$E$15+1,1))</f>
        <v>225.86663363047296</v>
      </c>
      <c r="EP56" s="59">
        <f t="shared" si="46"/>
        <v>258.08349727304397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23.044887868966704</v>
      </c>
      <c r="EW56" s="21">
        <f>EXP(-LN(2)/25)*EW55+(1-EXP(-LN(2)/25))/(LN(2)/25)*Calculateur!ER56*Calculateur!ET56*VLOOKUP('Données projet'!$B$15,Paramètres!$A$1:$I$89,3,0)*0.475*44/12</f>
        <v>12.977414464331385</v>
      </c>
      <c r="EX56" s="21">
        <f>EXP(-LN(2)/2)*EX55+(1-EXP(-LN(2)/2))/(LN(2)/2)*ER56*EU56*VLOOKUP('Données projet'!$B$15,Paramètres!$A$1:$I$89,3,0)*0.475*44/12</f>
        <v>0.83091142686590025</v>
      </c>
      <c r="EY56" s="22">
        <f t="shared" si="21"/>
        <v>36.853213760163989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16.3825</v>
      </c>
      <c r="N57" s="13">
        <f>IF('Données projet'!$A$36&gt;35,N56+M57-V56,IF(A57&lt;'Données projet'!$A$36,$K$205^A57,IF(A57='Données projet'!$A$36,'Données projet'!$B$36,N56+M57-V56)))</f>
        <v>530.98500000000001</v>
      </c>
      <c r="O57" s="13">
        <f>N57*VLOOKUP('Données projet'!$B$9,Paramètres!$A$1:$I$89,3,0)*VLOOKUP('Données projet'!$B$9,Paramètres!$A$1:$I$89,5,0)</f>
        <v>317.52903000000003</v>
      </c>
      <c r="P57" s="13">
        <f t="shared" si="33"/>
        <v>74.838988577247719</v>
      </c>
      <c r="Q57" s="20">
        <f t="shared" si="53"/>
        <v>683.37429902203985</v>
      </c>
      <c r="R57" s="59">
        <f t="shared" si="0"/>
        <v>976.70763235537311</v>
      </c>
      <c r="S57" s="59">
        <f ca="1">AVERAGE(OFFSET($R$3,0,0,'Données projet'!$E$9+1,1))-AVERAGE(OFFSET($H$3,0,0,'Données projet'!$E$9+1,1))</f>
        <v>388.12151914648013</v>
      </c>
      <c r="T57" s="59">
        <f t="shared" si="34"/>
        <v>481.43684454382793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59.586879706511617</v>
      </c>
      <c r="AA57" s="21">
        <f>EXP(-LN(2)/25)*AA56+(1-EXP(-LN(2)/25))/(LN(2)/25)*Calculateur!V57*Calculateur!X57*VLOOKUP('Données projet'!$B$9,Paramètres!$A$1:$I$89,3,0)*0.475*44/12</f>
        <v>22.808486797466362</v>
      </c>
      <c r="AB57" s="21">
        <f>EXP(-LN(2)/2)*AB56+(1-EXP(-LN(2)/2))/(LN(2)/2)*V57*Y57*VLOOKUP('Données projet'!$B$9,Paramètres!$A$1:$I$89,3,0)*0.475*44/12</f>
        <v>1.928230994933257</v>
      </c>
      <c r="AC57" s="22">
        <f t="shared" si="3"/>
        <v>84.323597498911241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14.113999999999999</v>
      </c>
      <c r="AI57" s="13">
        <f>IF('Données projet'!$A$62&gt;35,AI56+AH57-AQ56,IF(A57&lt;'Données projet'!$A$62,$AF$205^A57,IF(A57='Données projet'!$A$62,'Données projet'!$B$62,AI56+AH57-AQ56)))</f>
        <v>356.25599999999997</v>
      </c>
      <c r="AJ57" s="13">
        <f>AI57*VLOOKUP('Données projet'!$B$10,Paramètres!$A$1:$I$89,3,0)*VLOOKUP('Données projet'!$B$10,Paramètres!$A$1:$I$89,5,0)</f>
        <v>213.041088</v>
      </c>
      <c r="AK57" s="13">
        <f t="shared" si="35"/>
        <v>52.599582837576946</v>
      </c>
      <c r="AL57" s="20">
        <f t="shared" si="4"/>
        <v>462.65750170877988</v>
      </c>
      <c r="AM57" s="59">
        <f t="shared" si="5"/>
        <v>755.99083504211319</v>
      </c>
      <c r="AN57" s="59">
        <f ca="1">AVERAGE(OFFSET($AM$3,0,0,'Données projet'!$E$10+1,1))-AVERAGE(OFFSET($H$3,0,0,'Données projet'!$E$10+1,1))</f>
        <v>349.71285006949597</v>
      </c>
      <c r="AO57" s="59">
        <f t="shared" si="36"/>
        <v>258.51550516456842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33.286217532850117</v>
      </c>
      <c r="AV57" s="21">
        <f>EXP(-LN(2)/25)*AV56+(1-EXP(-LN(2)/25))/(LN(2)/25)*Calculateur!AQ57*Calculateur!AS57*VLOOKUP('Données projet'!$B$10,Paramètres!$A$1:$I$89,3,0)*0.475*44/12</f>
        <v>16.967351891714447</v>
      </c>
      <c r="AW57" s="21">
        <f>EXP(-LN(2)/2)*AW56+(1-EXP(-LN(2)/2))/(LN(2)/2)*AQ57*AT57*VLOOKUP('Données projet'!$B$10,Paramètres!$A$1:$I$89,3,0)*0.475*44/12</f>
        <v>2.4948468168175548</v>
      </c>
      <c r="AX57" s="21">
        <f t="shared" si="6"/>
        <v>52.748416241382117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3.9743589743589753</v>
      </c>
      <c r="BD57" s="12">
        <f>IF('Données projet'!$A$88&gt;35,BD56+BC57-BL56,IF(A57&lt;'Données projet'!$A$88,$BA$205^A57,IF(A57='Données projet'!$A$88,'Données projet'!$B$88,BD56+BC57-BL56)))</f>
        <v>124.87179487179489</v>
      </c>
      <c r="BE57" s="13">
        <f>BD57*VLOOKUP('Données projet'!$B$11,Paramètres!$A$1:$I$89,3,0)*VLOOKUP('Données projet'!$B$11,Paramètres!$A$1:$I$89,5,0)</f>
        <v>130.51600000000002</v>
      </c>
      <c r="BF57" s="13">
        <f t="shared" si="37"/>
        <v>34.115564279019615</v>
      </c>
      <c r="BG57" s="20">
        <f t="shared" si="7"/>
        <v>286.7333077859592</v>
      </c>
      <c r="BH57" s="59">
        <f t="shared" si="8"/>
        <v>580.06664111929251</v>
      </c>
      <c r="BI57" s="59">
        <f ca="1">AVERAGE(OFFSET($BH$3,0,0,'Données projet'!$E$11+1,1))-AVERAGE(OFFSET($H$3,0,0,'Données projet'!$E$11+1,1))</f>
        <v>260.74709892624571</v>
      </c>
      <c r="BJ57" s="59">
        <f t="shared" si="38"/>
        <v>237.17381692184887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16.545717497591617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16.545717497591617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14.073749999999997</v>
      </c>
      <c r="BY57" s="12">
        <f>IF('Données projet'!$A$114&gt;35,BY56+BX57-CG56,IF(A57&lt;'Données projet'!$A$114,$BV$205^A57,IF(A57='Données projet'!$A$114,'Données projet'!$B$114,BY56+BX57-CG56)))</f>
        <v>290.28500000000008</v>
      </c>
      <c r="BZ57" s="13">
        <f>BY57*VLOOKUP('Données projet'!$B$12,Paramètres!$A$1:$I$89,3,0)*VLOOKUP('Données projet'!$B$12,Paramètres!$A$1:$I$89,5,0)</f>
        <v>262.64986800000008</v>
      </c>
      <c r="CA57" s="13">
        <f t="shared" si="39"/>
        <v>63.286888949205185</v>
      </c>
      <c r="CB57" s="20">
        <f t="shared" si="10"/>
        <v>567.67318501986585</v>
      </c>
      <c r="CC57" s="59">
        <f t="shared" si="11"/>
        <v>861.00651835319923</v>
      </c>
      <c r="CD57" s="59">
        <f ca="1">AVERAGE(OFFSET($CC$3,0,0,'Données projet'!$E$12+1,1))-AVERAGE(OFFSET($H$3,0,0,'Données projet'!$E$12+1,1))</f>
        <v>695.0879239758051</v>
      </c>
      <c r="CE57" s="59">
        <f t="shared" si="40"/>
        <v>226.22150997227476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43.193070138545153</v>
      </c>
      <c r="CM57" s="21">
        <f>EXP(-LN(2)/2)*CM56+(1-EXP(-LN(2)/2))/(LN(2)/2)*CG57*CJ57*VLOOKUP('Données projet'!$B$12,Paramètres!$A$1:$I$89,3,0)*0.475*44/12</f>
        <v>3.180237659568161</v>
      </c>
      <c r="CN57" s="22">
        <f t="shared" si="12"/>
        <v>46.373307798113316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14.073749999999997</v>
      </c>
      <c r="CT57" s="12">
        <f>IF('Données projet'!$A$140&gt;35,CT56+CS57-DB56,IF(A57&lt;'Données projet'!$A$140,$CQ$205^A57,IF(A57='Données projet'!$A$140,'Données projet'!$B$140,CT56+CS57-DB56)))</f>
        <v>290.28500000000008</v>
      </c>
      <c r="CU57" s="17">
        <f>CT57*VLOOKUP('Données projet'!$B$13,Paramètres!$A$1:$I$89,3,0)*VLOOKUP('Données projet'!$B$13,Paramètres!$A$1:$I$89,5,0)</f>
        <v>294.34899000000007</v>
      </c>
      <c r="CV57" s="13">
        <f t="shared" si="41"/>
        <v>69.990486778727728</v>
      </c>
      <c r="CW57" s="20">
        <f t="shared" si="13"/>
        <v>634.55792205628416</v>
      </c>
      <c r="CX57" s="59">
        <f t="shared" si="14"/>
        <v>927.89125538961753</v>
      </c>
      <c r="CY57" s="59">
        <f ca="1">AVERAGE(OFFSET($CX$3,0,0,'Données projet'!$E$13+1,1))-AVERAGE(OFFSET($H$3,0,0,'Données projet'!$E$13+1,1))</f>
        <v>773.15074145293738</v>
      </c>
      <c r="CZ57" s="59">
        <f t="shared" si="42"/>
        <v>248.49577986312505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48.406026879404045</v>
      </c>
      <c r="DH57" s="21">
        <f>EXP(-LN(2)/2)*DH56+(1-EXP(-LN(2)/2))/(LN(2)/2)*DB57*DE57*VLOOKUP('Données projet'!$B$13,Paramètres!$A$1:$I$89,3,0)*0.475*44/12</f>
        <v>3.5640594460677675</v>
      </c>
      <c r="DI57" s="22">
        <f t="shared" si="15"/>
        <v>51.970086325471812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12.346666666666669</v>
      </c>
      <c r="DO57" s="12">
        <f>IF('Données projet'!$A$166&gt;35,DO56+DN57-DW56,IF(A57&lt;'Données projet'!$A$166,$DL$205^A57,IF(A57='Données projet'!$A$166,'Données projet'!$B$166,DO56+DN57-DW56)))</f>
        <v>264.04999999999984</v>
      </c>
      <c r="DP57" s="17">
        <f>DO57*VLOOKUP('Données projet'!$B$14,Paramètres!$A$1:$I$89,3,0)*VLOOKUP('Données projet'!$B$14,Paramètres!$A$1:$I$89,5,0)</f>
        <v>123.57539999999992</v>
      </c>
      <c r="DQ57" s="13">
        <f t="shared" si="43"/>
        <v>32.507472368650312</v>
      </c>
      <c r="DR57" s="20">
        <f t="shared" si="16"/>
        <v>271.84433604206578</v>
      </c>
      <c r="DS57" s="59">
        <f t="shared" si="17"/>
        <v>565.17766937539909</v>
      </c>
      <c r="DT57" s="59">
        <f ca="1">AVERAGE(OFFSET($DS$3,0,0,'Données projet'!$E$14+1,1))-AVERAGE(OFFSET($H$3,0,0,'Données projet'!$E$14+1,1))</f>
        <v>293.15557501692803</v>
      </c>
      <c r="DU57" s="59">
        <f t="shared" si="44"/>
        <v>237.1930412773068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8.1711379977168903</v>
      </c>
      <c r="EB57" s="21">
        <f>EXP(-LN(2)/25)*EB56+(1-EXP(-LN(2)/25))/(LN(2)/25)*Calculateur!DW57*Calculateur!DY57*VLOOKUP('Données projet'!$B$14,Paramètres!$A$1:$I$89,3,0)*0.475*44/12</f>
        <v>11.762777277507622</v>
      </c>
      <c r="EC57" s="21">
        <f>EXP(-LN(2)/2)*EC56+(1-EXP(-LN(2)/2))/(LN(2)/2)*DW57*DZ57*VLOOKUP('Données projet'!$B$14,Paramètres!$A$1:$I$89,3,0)*0.475*44/12</f>
        <v>7.2314968921384626</v>
      </c>
      <c r="ED57" s="22">
        <f t="shared" si="18"/>
        <v>27.165412167362977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317.11</v>
      </c>
      <c r="EH57" s="12">
        <f>VLOOKUP(A57,'Données projet'!$A$191:$I$211,9,0)</f>
        <v>12.103750000000002</v>
      </c>
      <c r="EI57" s="12">
        <f t="array" ref="EI57">INDEX(EH:EH,MIN(IF(ISNUMBER(EH57:EH253),ROW(EH57:EH253),"")))</f>
        <v>12.103750000000002</v>
      </c>
      <c r="EJ57" s="12">
        <f>IF('Données projet'!$A$192&gt;35,EJ56+EI57-ER56,IF(A57&lt;'Données projet'!$A$192,$EG$205^A57,IF(A57='Données projet'!$A$192,'Données projet'!$B$192,EJ56+EI57-ER56)))</f>
        <v>317.10999999999984</v>
      </c>
      <c r="EK57" s="17">
        <f>EJ57*VLOOKUP('Données projet'!$B$15,Paramètres!$A$1:$I$89,3,0)*VLOOKUP('Données projet'!$B$15,Paramètres!$A$1:$I$89,5,0)</f>
        <v>189.63177999999994</v>
      </c>
      <c r="EL57" s="13">
        <f t="shared" si="45"/>
        <v>47.458535448502758</v>
      </c>
      <c r="EM57" s="20">
        <f t="shared" si="19"/>
        <v>412.93229940614214</v>
      </c>
      <c r="EN57" s="59">
        <f t="shared" si="20"/>
        <v>706.26563273947545</v>
      </c>
      <c r="EO57" s="59">
        <f ca="1">AVERAGE(OFFSET($EN$3,0,0,'Données projet'!$E$15+1,1))-AVERAGE(OFFSET($H$3,0,0,'Données projet'!$E$15+1,1))</f>
        <v>225.86663363047296</v>
      </c>
      <c r="EP57" s="59">
        <f t="shared" si="46"/>
        <v>258.08349727304397</v>
      </c>
      <c r="EQ57" s="15">
        <f>IF(ISNA(VLOOKUP(A57,'Données projet'!$A$191:$I$211,3,0)),0,VLOOKUP(A57,'Données projet'!$A$191:$I$211,3,0))</f>
        <v>5</v>
      </c>
      <c r="ER57" s="15">
        <f>IF(ISNA(VLOOKUP(A57,'Données projet'!$A$191:$I$211,4,0)),0,VLOOKUP(A57,'Données projet'!$A$191:$I$211,4,0))</f>
        <v>72.400000000000006</v>
      </c>
      <c r="ES57" s="16">
        <f>IF(ISNA(VLOOKUP(A57,'Données projet'!$A$191:$I$211,5,0)),0%,VLOOKUP(A57,'Données projet'!$A$191:$I$211,5,0)*VLOOKUP('Données projet'!$B$15,Paramètres!$A$1:$I$89,7,0))</f>
        <v>0.27</v>
      </c>
      <c r="ET57" s="16">
        <f>IF(ISNA(VLOOKUP(A57,'Données projet'!$A$191:$I$211,6,0)),0%,VLOOKUP(A57,'Données projet'!$A$191:$I$211,6,0)*VLOOKUP('Données projet'!$B$15,Paramètres!$A$1:$I$89,7,0))</f>
        <v>9.0000000000000011E-2</v>
      </c>
      <c r="EU57" s="16">
        <f>IF(ISNA(VLOOKUP(A57,'Données projet'!$A$191:$I$211,7,0)),0%,VLOOKUP(A57,'Données projet'!$A$191:$I$211,7,0))</f>
        <v>0.2</v>
      </c>
      <c r="EV57" s="21">
        <f>EXP(-LN(2)/35)*EV56+(1-EXP(-LN(2)/35))/(LN(2)/35)*ER57*ES57*VLOOKUP('Données projet'!$B$15,Paramètres!$A$1:$I$89,3,0)*0.475*44/12</f>
        <v>38.100137494859368</v>
      </c>
      <c r="EW57" s="21">
        <f>EXP(-LN(2)/25)*EW56+(1-EXP(-LN(2)/25))/(LN(2)/25)*Calculateur!ER57*Calculateur!ET57*VLOOKUP('Données projet'!$B$15,Paramètres!$A$1:$I$89,3,0)*0.475*44/12</f>
        <v>17.771242476427116</v>
      </c>
      <c r="EX57" s="21">
        <f>EXP(-LN(2)/2)*EX56+(1-EXP(-LN(2)/2))/(LN(2)/2)*ER57*EU57*VLOOKUP('Données projet'!$B$15,Paramètres!$A$1:$I$89,3,0)*0.475*44/12</f>
        <v>10.391587858075839</v>
      </c>
      <c r="EY57" s="22">
        <f t="shared" si="21"/>
        <v>66.262967829362324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16.3825</v>
      </c>
      <c r="N58" s="13">
        <f>IF('Données projet'!$A$36&gt;35,N57+M58-V57,IF(A58&lt;'Données projet'!$A$36,$K$205^A58,IF(A58='Données projet'!$A$36,'Données projet'!$B$36,N57+M58-V57)))</f>
        <v>547.36750000000006</v>
      </c>
      <c r="O58" s="13">
        <f>N58*VLOOKUP('Données projet'!$B$9,Paramètres!$A$1:$I$89,3,0)*VLOOKUP('Données projet'!$B$9,Paramètres!$A$1:$I$89,5,0)</f>
        <v>327.32576500000005</v>
      </c>
      <c r="P58" s="13">
        <f t="shared" si="33"/>
        <v>76.875607742037758</v>
      </c>
      <c r="Q58" s="20">
        <f t="shared" si="53"/>
        <v>703.9840575257158</v>
      </c>
      <c r="R58" s="59">
        <f t="shared" si="0"/>
        <v>997.31739085904906</v>
      </c>
      <c r="S58" s="59">
        <f ca="1">AVERAGE(OFFSET($R$3,0,0,'Données projet'!$E$9+1,1))-AVERAGE(OFFSET($H$3,0,0,'Données projet'!$E$9+1,1))</f>
        <v>388.12151914648013</v>
      </c>
      <c r="T58" s="59">
        <f t="shared" si="34"/>
        <v>481.43684454382793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58.418417339874836</v>
      </c>
      <c r="AA58" s="21">
        <f>EXP(-LN(2)/25)*AA57+(1-EXP(-LN(2)/25))/(LN(2)/25)*Calculateur!V58*Calculateur!X58*VLOOKUP('Données projet'!$B$9,Paramètres!$A$1:$I$89,3,0)*0.475*44/12</f>
        <v>22.184787526543452</v>
      </c>
      <c r="AB58" s="21">
        <f>EXP(-LN(2)/2)*AB57+(1-EXP(-LN(2)/2))/(LN(2)/2)*V58*Y58*VLOOKUP('Données projet'!$B$9,Paramètres!$A$1:$I$89,3,0)*0.475*44/12</f>
        <v>1.3634652122113895</v>
      </c>
      <c r="AC58" s="22">
        <f t="shared" si="3"/>
        <v>81.966670078629676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14.113999999999999</v>
      </c>
      <c r="AI58" s="13">
        <f>IF('Données projet'!$A$62&gt;35,AI57+AH58-AQ57,IF(A58&lt;'Données projet'!$A$62,$AF$205^A58,IF(A58='Données projet'!$A$62,'Données projet'!$B$62,AI57+AH58-AQ57)))</f>
        <v>370.36999999999995</v>
      </c>
      <c r="AJ58" s="13">
        <f>AI58*VLOOKUP('Données projet'!$B$10,Paramètres!$A$1:$I$89,3,0)*VLOOKUP('Données projet'!$B$10,Paramètres!$A$1:$I$89,5,0)</f>
        <v>221.48125999999999</v>
      </c>
      <c r="AK58" s="13">
        <f t="shared" si="35"/>
        <v>54.436704420571644</v>
      </c>
      <c r="AL58" s="20">
        <f t="shared" si="4"/>
        <v>480.55712136582889</v>
      </c>
      <c r="AM58" s="59">
        <f t="shared" si="5"/>
        <v>773.89045469916221</v>
      </c>
      <c r="AN58" s="59">
        <f ca="1">AVERAGE(OFFSET($AM$3,0,0,'Données projet'!$E$10+1,1))-AVERAGE(OFFSET($H$3,0,0,'Données projet'!$E$10+1,1))</f>
        <v>349.71285006949597</v>
      </c>
      <c r="AO58" s="59">
        <f t="shared" si="36"/>
        <v>258.51550516456842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32.633495109618906</v>
      </c>
      <c r="AV58" s="21">
        <f>EXP(-LN(2)/25)*AV57+(1-EXP(-LN(2)/25))/(LN(2)/25)*Calculateur!AQ58*Calculateur!AS58*VLOOKUP('Données projet'!$B$10,Paramètres!$A$1:$I$89,3,0)*0.475*44/12</f>
        <v>16.503378761961258</v>
      </c>
      <c r="AW58" s="21">
        <f>EXP(-LN(2)/2)*AW57+(1-EXP(-LN(2)/2))/(LN(2)/2)*AQ58*AT58*VLOOKUP('Données projet'!$B$10,Paramètres!$A$1:$I$89,3,0)*0.475*44/12</f>
        <v>1.7641231021933654</v>
      </c>
      <c r="AX58" s="21">
        <f t="shared" si="6"/>
        <v>50.90099697377353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128.84615384615384</v>
      </c>
      <c r="BB58" s="12">
        <f>VLOOKUP(A58,'Données projet'!$A$87:$I$107,9,0)</f>
        <v>3.9743589743589753</v>
      </c>
      <c r="BC58" s="12">
        <f t="array" ref="BC58">INDEX(BB:BB,MIN(IF(ISNUMBER(BB58:BB254),ROW(BB58:BB254),"")))</f>
        <v>3.9743589743589753</v>
      </c>
      <c r="BD58" s="12">
        <f>IF('Données projet'!$A$88&gt;35,BD57+BC58-BL57,IF(A58&lt;'Données projet'!$A$88,$BA$205^A58,IF(A58='Données projet'!$A$88,'Données projet'!$B$88,BD57+BC58-BL57)))</f>
        <v>128.84615384615387</v>
      </c>
      <c r="BE58" s="13">
        <f>BD58*VLOOKUP('Données projet'!$B$11,Paramètres!$A$1:$I$89,3,0)*VLOOKUP('Données projet'!$B$11,Paramètres!$A$1:$I$89,5,0)</f>
        <v>134.67000000000004</v>
      </c>
      <c r="BF58" s="13">
        <f t="shared" si="37"/>
        <v>35.073232717947938</v>
      </c>
      <c r="BG58" s="20">
        <f t="shared" si="7"/>
        <v>295.63613031709275</v>
      </c>
      <c r="BH58" s="59">
        <f t="shared" si="8"/>
        <v>588.96946365042606</v>
      </c>
      <c r="BI58" s="59">
        <f ca="1">AVERAGE(OFFSET($BH$3,0,0,'Données projet'!$E$11+1,1))-AVERAGE(OFFSET($H$3,0,0,'Données projet'!$E$11+1,1))</f>
        <v>260.74709892624571</v>
      </c>
      <c r="BJ58" s="59">
        <f t="shared" si="38"/>
        <v>237.17381692184887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12.820512820512819</v>
      </c>
      <c r="BM58" s="16">
        <f>IF(ISNA(VLOOKUP(A58,'Données projet'!$A$87:$I$107,5,0)),0%,VLOOKUP(A58,'Données projet'!$A$87:$I$107,5,0)*VLOOKUP('Données projet'!$B$11,Paramètres!$A$1:$I$89,7,0))</f>
        <v>4.3000000000000003E-2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0.63697203268688585</v>
      </c>
      <c r="BQ58" s="21">
        <f>EXP(-LN(2)/25)*BQ57+(1-EXP(-LN(2)/25))/(LN(2)/25)*Calculateur!BL58*Calculateur!BN58*VLOOKUP('Données projet'!$B$11,Paramètres!$A$1:$I$89,3,0)*0.475*44/12</f>
        <v>19.265594137962633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19.902566170649518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14.073749999999997</v>
      </c>
      <c r="BY58" s="12">
        <f>IF('Données projet'!$A$114&gt;35,BY57+BX58-CG57,IF(A58&lt;'Données projet'!$A$114,$BV$205^A58,IF(A58='Données projet'!$A$114,'Données projet'!$B$114,BY57+BX58-CG57)))</f>
        <v>304.3587500000001</v>
      </c>
      <c r="BZ58" s="13">
        <f>BY58*VLOOKUP('Données projet'!$B$12,Paramètres!$A$1:$I$89,3,0)*VLOOKUP('Données projet'!$B$12,Paramètres!$A$1:$I$89,5,0)</f>
        <v>275.38379700000007</v>
      </c>
      <c r="CA58" s="13">
        <f t="shared" si="39"/>
        <v>65.990530656055242</v>
      </c>
      <c r="CB58" s="20">
        <f t="shared" si="10"/>
        <v>594.56028733429628</v>
      </c>
      <c r="CC58" s="59">
        <f t="shared" si="11"/>
        <v>887.89362066762965</v>
      </c>
      <c r="CD58" s="59">
        <f ca="1">AVERAGE(OFFSET($CC$3,0,0,'Données projet'!$E$12+1,1))-AVERAGE(OFFSET($H$3,0,0,'Données projet'!$E$12+1,1))</f>
        <v>695.0879239758051</v>
      </c>
      <c r="CE58" s="59">
        <f t="shared" si="40"/>
        <v>226.22150997227476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42.011953364181799</v>
      </c>
      <c r="CM58" s="21">
        <f>EXP(-LN(2)/2)*CM57+(1-EXP(-LN(2)/2))/(LN(2)/2)*CG58*CJ58*VLOOKUP('Données projet'!$B$12,Paramètres!$A$1:$I$89,3,0)*0.475*44/12</f>
        <v>2.2487676148654816</v>
      </c>
      <c r="CN58" s="22">
        <f t="shared" si="12"/>
        <v>44.260720979047278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14.073749999999997</v>
      </c>
      <c r="CT58" s="12">
        <f>IF('Données projet'!$A$140&gt;35,CT57+CS58-DB57,IF(A58&lt;'Données projet'!$A$140,$CQ$205^A58,IF(A58='Données projet'!$A$140,'Données projet'!$B$140,CT57+CS58-DB57)))</f>
        <v>304.3587500000001</v>
      </c>
      <c r="CU58" s="17">
        <f>CT58*VLOOKUP('Données projet'!$B$13,Paramètres!$A$1:$I$89,3,0)*VLOOKUP('Données projet'!$B$13,Paramètres!$A$1:$I$89,5,0)</f>
        <v>308.61977250000012</v>
      </c>
      <c r="CV58" s="13">
        <f t="shared" si="41"/>
        <v>72.980508918851939</v>
      </c>
      <c r="CW58" s="20">
        <f t="shared" si="13"/>
        <v>664.62049013783405</v>
      </c>
      <c r="CX58" s="59">
        <f t="shared" si="14"/>
        <v>957.95382347116742</v>
      </c>
      <c r="CY58" s="59">
        <f ca="1">AVERAGE(OFFSET($CX$3,0,0,'Données projet'!$E$13+1,1))-AVERAGE(OFFSET($H$3,0,0,'Données projet'!$E$13+1,1))</f>
        <v>773.15074145293738</v>
      </c>
      <c r="CZ58" s="59">
        <f t="shared" si="42"/>
        <v>248.49577986312505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47.082361528824421</v>
      </c>
      <c r="DH58" s="21">
        <f>EXP(-LN(2)/2)*DH57+(1-EXP(-LN(2)/2))/(LN(2)/2)*DB58*DE58*VLOOKUP('Données projet'!$B$13,Paramètres!$A$1:$I$89,3,0)*0.475*44/12</f>
        <v>2.520170602866489</v>
      </c>
      <c r="DI58" s="22">
        <f t="shared" si="15"/>
        <v>49.602532131690907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12.346666666666669</v>
      </c>
      <c r="DO58" s="12">
        <f>IF('Données projet'!$A$166&gt;35,DO57+DN58-DW57,IF(A58&lt;'Données projet'!$A$166,$DL$205^A58,IF(A58='Données projet'!$A$166,'Données projet'!$B$166,DO57+DN58-DW57)))</f>
        <v>276.39666666666653</v>
      </c>
      <c r="DP58" s="17">
        <f>DO58*VLOOKUP('Données projet'!$B$14,Paramètres!$A$1:$I$89,3,0)*VLOOKUP('Données projet'!$B$14,Paramètres!$A$1:$I$89,5,0)</f>
        <v>129.35363999999993</v>
      </c>
      <c r="DQ58" s="13">
        <f t="shared" si="43"/>
        <v>33.846961214906273</v>
      </c>
      <c r="DR58" s="20">
        <f t="shared" si="16"/>
        <v>284.24104711596163</v>
      </c>
      <c r="DS58" s="59">
        <f t="shared" si="17"/>
        <v>577.57438044929495</v>
      </c>
      <c r="DT58" s="59">
        <f ca="1">AVERAGE(OFFSET($DS$3,0,0,'Données projet'!$E$14+1,1))-AVERAGE(OFFSET($H$3,0,0,'Données projet'!$E$14+1,1))</f>
        <v>293.15557501692803</v>
      </c>
      <c r="DU58" s="59">
        <f t="shared" si="44"/>
        <v>237.1930412773068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8.0109069654837217</v>
      </c>
      <c r="EB58" s="21">
        <f>EXP(-LN(2)/25)*EB57+(1-EXP(-LN(2)/25))/(LN(2)/25)*Calculateur!DW58*Calculateur!DY58*VLOOKUP('Données projet'!$B$14,Paramètres!$A$1:$I$89,3,0)*0.475*44/12</f>
        <v>11.441123514276603</v>
      </c>
      <c r="EC58" s="21">
        <f>EXP(-LN(2)/2)*EC57+(1-EXP(-LN(2)/2))/(LN(2)/2)*DW58*DZ58*VLOOKUP('Données projet'!$B$14,Paramètres!$A$1:$I$89,3,0)*0.475*44/12</f>
        <v>5.1134404905605511</v>
      </c>
      <c r="ED58" s="22">
        <f t="shared" si="18"/>
        <v>24.565470970320874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10.091249999999999</v>
      </c>
      <c r="EJ58" s="12">
        <f>IF('Données projet'!$A$192&gt;35,EJ57+EI58-ER57,IF(A58&lt;'Données projet'!$A$192,$EG$205^A58,IF(A58='Données projet'!$A$192,'Données projet'!$B$192,EJ57+EI58-ER57)))</f>
        <v>254.80124999999984</v>
      </c>
      <c r="EK58" s="17">
        <f>EJ58*VLOOKUP('Données projet'!$B$15,Paramètres!$A$1:$I$89,3,0)*VLOOKUP('Données projet'!$B$15,Paramètres!$A$1:$I$89,5,0)</f>
        <v>152.37114749999992</v>
      </c>
      <c r="EL58" s="13">
        <f t="shared" si="45"/>
        <v>39.116944544416633</v>
      </c>
      <c r="EM58" s="20">
        <f t="shared" si="19"/>
        <v>333.50842697735885</v>
      </c>
      <c r="EN58" s="59">
        <f t="shared" si="20"/>
        <v>626.84176031069217</v>
      </c>
      <c r="EO58" s="59">
        <f ca="1">AVERAGE(OFFSET($EN$3,0,0,'Données projet'!$E$15+1,1))-AVERAGE(OFFSET($H$3,0,0,'Données projet'!$E$15+1,1))</f>
        <v>225.86663363047296</v>
      </c>
      <c r="EP58" s="59">
        <f t="shared" si="46"/>
        <v>258.08349727304397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37.353017037374407</v>
      </c>
      <c r="EW58" s="21">
        <f>EXP(-LN(2)/25)*EW57+(1-EXP(-LN(2)/25))/(LN(2)/25)*Calculateur!ER58*Calculateur!ET58*VLOOKUP('Données projet'!$B$15,Paramètres!$A$1:$I$89,3,0)*0.475*44/12</f>
        <v>17.285286916360192</v>
      </c>
      <c r="EX58" s="21">
        <f>EXP(-LN(2)/2)*EX57+(1-EXP(-LN(2)/2))/(LN(2)/2)*ER58*EU58*VLOOKUP('Données projet'!$B$15,Paramètres!$A$1:$I$89,3,0)*0.475*44/12</f>
        <v>7.3479622417412171</v>
      </c>
      <c r="EY58" s="22">
        <f t="shared" si="21"/>
        <v>61.986266195475814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563.75</v>
      </c>
      <c r="L59" s="12">
        <f>VLOOKUP(A59,'Données projet'!$A$35:$I$55,9,0)</f>
        <v>16.3825</v>
      </c>
      <c r="M59" s="12">
        <f t="array" ref="M59">INDEX(L:L,MIN(IF(ISNUMBER(L59:L255),ROW(L59:L255),"")))</f>
        <v>16.3825</v>
      </c>
      <c r="N59" s="13">
        <f>IF('Données projet'!$A$36&gt;35,N58+M59-V58,IF(A59&lt;'Données projet'!$A$36,$K$205^A59,IF(A59='Données projet'!$A$36,'Données projet'!$B$36,N58+M59-V58)))</f>
        <v>563.75000000000011</v>
      </c>
      <c r="O59" s="13">
        <f>N59*VLOOKUP('Données projet'!$B$9,Paramètres!$A$1:$I$89,3,0)*VLOOKUP('Données projet'!$B$9,Paramètres!$A$1:$I$89,5,0)</f>
        <v>337.12250000000006</v>
      </c>
      <c r="P59" s="13">
        <f t="shared" si="33"/>
        <v>78.90514294504834</v>
      </c>
      <c r="Q59" s="20">
        <f t="shared" si="53"/>
        <v>724.58147812929258</v>
      </c>
      <c r="R59" s="59">
        <f t="shared" si="0"/>
        <v>1017.9148114626259</v>
      </c>
      <c r="S59" s="59">
        <f ca="1">AVERAGE(OFFSET($R$3,0,0,'Données projet'!$E$9+1,1))-AVERAGE(OFFSET($H$3,0,0,'Données projet'!$E$9+1,1))</f>
        <v>388.12151914648013</v>
      </c>
      <c r="T59" s="59">
        <f t="shared" si="34"/>
        <v>481.43684454382793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563.75</v>
      </c>
      <c r="W59" s="16">
        <f>IF(ISNA(VLOOKUP(A59,'Données projet'!$A$35:$I$55,5,0)),0%,VLOOKUP(A59,'Données projet'!$A$35:$I$55,5,0)*VLOOKUP('Données projet'!$B$9,Paramètres!$A$1:$I$89,7,0))</f>
        <v>0.27</v>
      </c>
      <c r="X59" s="16">
        <f>IF(ISNA(VLOOKUP(A59,'Données projet'!$A$35:$I$55,6,0)),0%,VLOOKUP(A59,'Données projet'!$A$35:$I$55,6,0)*VLOOKUP('Données projet'!$B$9,Paramètres!$A$1:$I$89,7,0))</f>
        <v>9.0000000000000011E-2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178.02084372736357</v>
      </c>
      <c r="AA59" s="21">
        <f>EXP(-LN(2)/25)*AA58+(1-EXP(-LN(2)/25))/(LN(2)/25)*Calculateur!V59*Calculateur!X59*VLOOKUP('Données projet'!$B$9,Paramètres!$A$1:$I$89,3,0)*0.475*44/12</f>
        <v>61.668991721657953</v>
      </c>
      <c r="AB59" s="21">
        <f>EXP(-LN(2)/2)*AB58+(1-EXP(-LN(2)/2))/(LN(2)/2)*V59*Y59*VLOOKUP('Données projet'!$B$9,Paramètres!$A$1:$I$89,3,0)*0.475*44/12</f>
        <v>77.304312042039825</v>
      </c>
      <c r="AC59" s="22">
        <f t="shared" si="3"/>
        <v>316.99414749106137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14.113999999999999</v>
      </c>
      <c r="AI59" s="13">
        <f>IF('Données projet'!$A$62&gt;35,AI58+AH59-AQ58,IF(A59&lt;'Données projet'!$A$62,$AF$205^A59,IF(A59='Données projet'!$A$62,'Données projet'!$B$62,AI58+AH59-AQ58)))</f>
        <v>384.48399999999992</v>
      </c>
      <c r="AJ59" s="13">
        <f>AI59*VLOOKUP('Données projet'!$B$10,Paramètres!$A$1:$I$89,3,0)*VLOOKUP('Données projet'!$B$10,Paramètres!$A$1:$I$89,5,0)</f>
        <v>229.92143199999998</v>
      </c>
      <c r="AK59" s="13">
        <f t="shared" si="35"/>
        <v>56.265692954832708</v>
      </c>
      <c r="AL59" s="20">
        <f t="shared" si="4"/>
        <v>498.44257596300025</v>
      </c>
      <c r="AM59" s="59">
        <f t="shared" si="5"/>
        <v>791.77590929633357</v>
      </c>
      <c r="AN59" s="59">
        <f ca="1">AVERAGE(OFFSET($AM$3,0,0,'Données projet'!$E$10+1,1))-AVERAGE(OFFSET($H$3,0,0,'Données projet'!$E$10+1,1))</f>
        <v>349.71285006949597</v>
      </c>
      <c r="AO59" s="59">
        <f t="shared" si="36"/>
        <v>258.51550516456842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31.993572174985893</v>
      </c>
      <c r="AV59" s="21">
        <f>EXP(-LN(2)/25)*AV58+(1-EXP(-LN(2)/25))/(LN(2)/25)*Calculateur!AQ59*Calculateur!AS59*VLOOKUP('Données projet'!$B$10,Paramètres!$A$1:$I$89,3,0)*0.475*44/12</f>
        <v>16.052093001840458</v>
      </c>
      <c r="AW59" s="21">
        <f>EXP(-LN(2)/2)*AW58+(1-EXP(-LN(2)/2))/(LN(2)/2)*AQ59*AT59*VLOOKUP('Données projet'!$B$10,Paramètres!$A$1:$I$89,3,0)*0.475*44/12</f>
        <v>1.2474234084087776</v>
      </c>
      <c r="AX59" s="21">
        <f t="shared" si="6"/>
        <v>49.293088585235125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3.3333333333333313</v>
      </c>
      <c r="BD59" s="12">
        <f>IF('Données projet'!$A$88&gt;35,BD58+BC59-BL58,IF(A59&lt;'Données projet'!$A$88,$BA$205^A59,IF(A59='Données projet'!$A$88,'Données projet'!$B$88,BD58+BC59-BL58)))</f>
        <v>119.35897435897439</v>
      </c>
      <c r="BE59" s="13">
        <f>BD59*VLOOKUP('Données projet'!$B$11,Paramètres!$A$1:$I$89,3,0)*VLOOKUP('Données projet'!$B$11,Paramètres!$A$1:$I$89,5,0)</f>
        <v>124.75400000000005</v>
      </c>
      <c r="BF59" s="13">
        <f t="shared" si="37"/>
        <v>32.781272112057287</v>
      </c>
      <c r="BG59" s="20">
        <f t="shared" si="7"/>
        <v>274.3739322618332</v>
      </c>
      <c r="BH59" s="59">
        <f t="shared" si="8"/>
        <v>567.70726559516652</v>
      </c>
      <c r="BI59" s="59">
        <f ca="1">AVERAGE(OFFSET($BH$3,0,0,'Données projet'!$E$11+1,1))-AVERAGE(OFFSET($H$3,0,0,'Données projet'!$E$11+1,1))</f>
        <v>260.74709892624571</v>
      </c>
      <c r="BJ59" s="59">
        <f t="shared" si="38"/>
        <v>237.17381692184887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0.62448139964047333</v>
      </c>
      <c r="BQ59" s="21">
        <f>EXP(-LN(2)/25)*BQ58+(1-EXP(-LN(2)/25))/(LN(2)/25)*Calculateur!BL59*Calculateur!BN59*VLOOKUP('Données projet'!$B$11,Paramètres!$A$1:$I$89,3,0)*0.475*44/12</f>
        <v>18.738775453126483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19.363256852766956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14.073749999999997</v>
      </c>
      <c r="BY59" s="12">
        <f>IF('Données projet'!$A$114&gt;35,BY58+BX59-CG58,IF(A59&lt;'Données projet'!$A$114,$BV$205^A59,IF(A59='Données projet'!$A$114,'Données projet'!$B$114,BY58+BX59-CG58)))</f>
        <v>318.43250000000012</v>
      </c>
      <c r="BZ59" s="13">
        <f>BY59*VLOOKUP('Données projet'!$B$12,Paramètres!$A$1:$I$89,3,0)*VLOOKUP('Données projet'!$B$12,Paramètres!$A$1:$I$89,5,0)</f>
        <v>288.11772600000012</v>
      </c>
      <c r="CA59" s="13">
        <f t="shared" si="39"/>
        <v>68.679653876016673</v>
      </c>
      <c r="CB59" s="20">
        <f t="shared" si="10"/>
        <v>621.42210328406259</v>
      </c>
      <c r="CC59" s="59">
        <f t="shared" si="11"/>
        <v>914.75543661739584</v>
      </c>
      <c r="CD59" s="59">
        <f ca="1">AVERAGE(OFFSET($CC$3,0,0,'Données projet'!$E$12+1,1))-AVERAGE(OFFSET($H$3,0,0,'Données projet'!$E$12+1,1))</f>
        <v>695.0879239758051</v>
      </c>
      <c r="CE59" s="59">
        <f t="shared" si="40"/>
        <v>226.22150997227476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40.863134290125643</v>
      </c>
      <c r="CM59" s="21">
        <f>EXP(-LN(2)/2)*CM58+(1-EXP(-LN(2)/2))/(LN(2)/2)*CG59*CJ59*VLOOKUP('Données projet'!$B$12,Paramètres!$A$1:$I$89,3,0)*0.475*44/12</f>
        <v>1.5901188297840805</v>
      </c>
      <c r="CN59" s="22">
        <f t="shared" si="12"/>
        <v>42.453253119909725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14.073749999999997</v>
      </c>
      <c r="CT59" s="12">
        <f>IF('Données projet'!$A$140&gt;35,CT58+CS59-DB58,IF(A59&lt;'Données projet'!$A$140,$CQ$205^A59,IF(A59='Données projet'!$A$140,'Données projet'!$B$140,CT58+CS59-DB58)))</f>
        <v>318.43250000000012</v>
      </c>
      <c r="CU59" s="17">
        <f>CT59*VLOOKUP('Données projet'!$B$13,Paramètres!$A$1:$I$89,3,0)*VLOOKUP('Données projet'!$B$13,Paramètres!$A$1:$I$89,5,0)</f>
        <v>322.89055500000012</v>
      </c>
      <c r="CV59" s="13">
        <f t="shared" si="41"/>
        <v>75.954474716477762</v>
      </c>
      <c r="CW59" s="20">
        <f t="shared" si="13"/>
        <v>694.65509342286566</v>
      </c>
      <c r="CX59" s="59">
        <f t="shared" si="14"/>
        <v>987.98842675619903</v>
      </c>
      <c r="CY59" s="59">
        <f ca="1">AVERAGE(OFFSET($CX$3,0,0,'Données projet'!$E$13+1,1))-AVERAGE(OFFSET($H$3,0,0,'Données projet'!$E$13+1,1))</f>
        <v>773.15074145293738</v>
      </c>
      <c r="CZ59" s="59">
        <f t="shared" si="42"/>
        <v>248.49577986312505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45.794891876864931</v>
      </c>
      <c r="DH59" s="21">
        <f>EXP(-LN(2)/2)*DH58+(1-EXP(-LN(2)/2))/(LN(2)/2)*DB59*DE59*VLOOKUP('Données projet'!$B$13,Paramètres!$A$1:$I$89,3,0)*0.475*44/12</f>
        <v>1.7820297230338842</v>
      </c>
      <c r="DI59" s="22">
        <f t="shared" si="15"/>
        <v>47.576921599898817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12.346666666666669</v>
      </c>
      <c r="DO59" s="12">
        <f>IF('Données projet'!$A$166&gt;35,DO58+DN59-DW58,IF(A59&lt;'Données projet'!$A$166,$DL$205^A59,IF(A59='Données projet'!$A$166,'Données projet'!$B$166,DO58+DN59-DW58)))</f>
        <v>288.74333333333323</v>
      </c>
      <c r="DP59" s="17">
        <f>DO59*VLOOKUP('Données projet'!$B$14,Paramètres!$A$1:$I$89,3,0)*VLOOKUP('Données projet'!$B$14,Paramètres!$A$1:$I$89,5,0)</f>
        <v>135.13187999999994</v>
      </c>
      <c r="DQ59" s="13">
        <f t="shared" si="43"/>
        <v>35.179500890822183</v>
      </c>
      <c r="DR59" s="20">
        <f t="shared" si="16"/>
        <v>296.6256550515152</v>
      </c>
      <c r="DS59" s="59">
        <f t="shared" si="17"/>
        <v>589.95898838484845</v>
      </c>
      <c r="DT59" s="59">
        <f ca="1">AVERAGE(OFFSET($DS$3,0,0,'Données projet'!$E$14+1,1))-AVERAGE(OFFSET($H$3,0,0,'Données projet'!$E$14+1,1))</f>
        <v>293.15557501692803</v>
      </c>
      <c r="DU59" s="59">
        <f t="shared" si="44"/>
        <v>237.1930412773068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7.8538179660613654</v>
      </c>
      <c r="EB59" s="21">
        <f>EXP(-LN(2)/25)*EB58+(1-EXP(-LN(2)/25))/(LN(2)/25)*Calculateur!DW59*Calculateur!DY59*VLOOKUP('Données projet'!$B$14,Paramètres!$A$1:$I$89,3,0)*0.475*44/12</f>
        <v>11.128265390116173</v>
      </c>
      <c r="EC59" s="21">
        <f>EXP(-LN(2)/2)*EC58+(1-EXP(-LN(2)/2))/(LN(2)/2)*DW59*DZ59*VLOOKUP('Données projet'!$B$14,Paramètres!$A$1:$I$89,3,0)*0.475*44/12</f>
        <v>3.6157484460692322</v>
      </c>
      <c r="ED59" s="22">
        <f t="shared" si="18"/>
        <v>22.597831802246773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10.091249999999999</v>
      </c>
      <c r="EJ59" s="12">
        <f>IF('Données projet'!$A$192&gt;35,EJ58+EI59-ER58,IF(A59&lt;'Données projet'!$A$192,$EG$205^A59,IF(A59='Données projet'!$A$192,'Données projet'!$B$192,EJ58+EI59-ER58)))</f>
        <v>264.89249999999981</v>
      </c>
      <c r="EK59" s="17">
        <f>EJ59*VLOOKUP('Données projet'!$B$15,Paramètres!$A$1:$I$89,3,0)*VLOOKUP('Données projet'!$B$15,Paramètres!$A$1:$I$89,5,0)</f>
        <v>158.4057149999999</v>
      </c>
      <c r="EL59" s="13">
        <f t="shared" si="45"/>
        <v>40.482710660395519</v>
      </c>
      <c r="EM59" s="20">
        <f t="shared" si="19"/>
        <v>346.397341358522</v>
      </c>
      <c r="EN59" s="59">
        <f t="shared" si="20"/>
        <v>639.73067469185526</v>
      </c>
      <c r="EO59" s="59">
        <f ca="1">AVERAGE(OFFSET($EN$3,0,0,'Données projet'!$E$15+1,1))-AVERAGE(OFFSET($H$3,0,0,'Données projet'!$E$15+1,1))</f>
        <v>225.86663363047296</v>
      </c>
      <c r="EP59" s="59">
        <f t="shared" si="46"/>
        <v>258.08349727304397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36.620547156362242</v>
      </c>
      <c r="EW59" s="21">
        <f>EXP(-LN(2)/25)*EW58+(1-EXP(-LN(2)/25))/(LN(2)/25)*Calculateur!ER59*Calculateur!ET59*VLOOKUP('Données projet'!$B$15,Paramètres!$A$1:$I$89,3,0)*0.475*44/12</f>
        <v>16.812619836638589</v>
      </c>
      <c r="EX59" s="21">
        <f>EXP(-LN(2)/2)*EX58+(1-EXP(-LN(2)/2))/(LN(2)/2)*ER59*EU59*VLOOKUP('Données projet'!$B$15,Paramètres!$A$1:$I$89,3,0)*0.475*44/12</f>
        <v>5.1957939290379205</v>
      </c>
      <c r="EY59" s="22">
        <f t="shared" si="21"/>
        <v>58.62896092203875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1.1368683772161603E-13</v>
      </c>
      <c r="O60" s="13">
        <f>N60*VLOOKUP('Données projet'!$B$9,Paramètres!$A$1:$I$89,3,0)*VLOOKUP('Données projet'!$B$9,Paramètres!$A$1:$I$89,5,0)</f>
        <v>6.7984728957526396E-14</v>
      </c>
      <c r="P60" s="13">
        <f t="shared" si="33"/>
        <v>1.0682447123141398E-12</v>
      </c>
      <c r="Q60" s="20">
        <f t="shared" si="53"/>
        <v>1.978932943548152E-12</v>
      </c>
      <c r="R60" s="59">
        <f t="shared" si="0"/>
        <v>293.3333333333353</v>
      </c>
      <c r="S60" s="59">
        <f ca="1">AVERAGE(OFFSET($R$3,0,0,'Données projet'!$E$9+1,1))-AVERAGE(OFFSET($H$3,0,0,'Données projet'!$E$9+1,1))</f>
        <v>388.12151914648013</v>
      </c>
      <c r="T60" s="59">
        <f t="shared" si="34"/>
        <v>481.43684454382793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174.52996356386305</v>
      </c>
      <c r="AA60" s="21">
        <f>EXP(-LN(2)/25)*AA59+(1-EXP(-LN(2)/25))/(LN(2)/25)*Calculateur!V60*Calculateur!X60*VLOOKUP('Données projet'!$B$9,Paramètres!$A$1:$I$89,3,0)*0.475*44/12</f>
        <v>59.982649899997888</v>
      </c>
      <c r="AB60" s="21">
        <f>EXP(-LN(2)/2)*AB59+(1-EXP(-LN(2)/2))/(LN(2)/2)*V60*Y60*VLOOKUP('Données projet'!$B$9,Paramètres!$A$1:$I$89,3,0)*0.475*44/12</f>
        <v>54.662403259887249</v>
      </c>
      <c r="AC60" s="22">
        <f t="shared" si="3"/>
        <v>289.17501672374817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14.113999999999999</v>
      </c>
      <c r="AI60" s="13">
        <f>IF('Données projet'!$A$62&gt;35,AI59+AH60-AQ59,IF(A60&lt;'Données projet'!$A$62,$AF$205^A60,IF(A60='Données projet'!$A$62,'Données projet'!$B$62,AI59+AH60-AQ59)))</f>
        <v>398.5979999999999</v>
      </c>
      <c r="AJ60" s="13">
        <f>AI60*VLOOKUP('Données projet'!$B$10,Paramètres!$A$1:$I$89,3,0)*VLOOKUP('Données projet'!$B$10,Paramètres!$A$1:$I$89,5,0)</f>
        <v>238.36160399999994</v>
      </c>
      <c r="AK60" s="13">
        <f t="shared" si="35"/>
        <v>58.086881188787437</v>
      </c>
      <c r="AL60" s="20">
        <f t="shared" si="4"/>
        <v>516.31444503713794</v>
      </c>
      <c r="AM60" s="59">
        <f t="shared" si="5"/>
        <v>809.64777837047131</v>
      </c>
      <c r="AN60" s="59">
        <f ca="1">AVERAGE(OFFSET($AM$3,0,0,'Données projet'!$E$10+1,1))-AVERAGE(OFFSET($H$3,0,0,'Données projet'!$E$10+1,1))</f>
        <v>349.71285006949597</v>
      </c>
      <c r="AO60" s="59">
        <f t="shared" si="36"/>
        <v>258.51550516456842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31.366197738786585</v>
      </c>
      <c r="AV60" s="21">
        <f>EXP(-LN(2)/25)*AV59+(1-EXP(-LN(2)/25))/(LN(2)/25)*Calculateur!AQ60*Calculateur!AS60*VLOOKUP('Données projet'!$B$10,Paramètres!$A$1:$I$89,3,0)*0.475*44/12</f>
        <v>15.613147674562248</v>
      </c>
      <c r="AW60" s="21">
        <f>EXP(-LN(2)/2)*AW59+(1-EXP(-LN(2)/2))/(LN(2)/2)*AQ60*AT60*VLOOKUP('Données projet'!$B$10,Paramètres!$A$1:$I$89,3,0)*0.475*44/12</f>
        <v>0.88206155109668294</v>
      </c>
      <c r="AX60" s="21">
        <f t="shared" si="6"/>
        <v>47.861406964445514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3.3333333333333313</v>
      </c>
      <c r="BD60" s="12">
        <f>IF('Données projet'!$A$88&gt;35,BD59+BC60-BL59,IF(A60&lt;'Données projet'!$A$88,$BA$205^A60,IF(A60='Données projet'!$A$88,'Données projet'!$B$88,BD59+BC60-BL59)))</f>
        <v>122.69230769230772</v>
      </c>
      <c r="BE60" s="13">
        <f>BD60*VLOOKUP('Données projet'!$B$11,Paramètres!$A$1:$I$89,3,0)*VLOOKUP('Données projet'!$B$11,Paramètres!$A$1:$I$89,5,0)</f>
        <v>128.23800000000003</v>
      </c>
      <c r="BF60" s="13">
        <f t="shared" si="37"/>
        <v>33.588890063379708</v>
      </c>
      <c r="BG60" s="20">
        <f t="shared" si="7"/>
        <v>281.8485001937197</v>
      </c>
      <c r="BH60" s="59">
        <f t="shared" si="8"/>
        <v>575.18183352705296</v>
      </c>
      <c r="BI60" s="59">
        <f ca="1">AVERAGE(OFFSET($BH$3,0,0,'Données projet'!$E$11+1,1))-AVERAGE(OFFSET($H$3,0,0,'Données projet'!$E$11+1,1))</f>
        <v>260.74709892624571</v>
      </c>
      <c r="BJ60" s="59">
        <f t="shared" si="38"/>
        <v>237.17381692184887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0.61223570028956709</v>
      </c>
      <c r="BQ60" s="21">
        <f>EXP(-LN(2)/25)*BQ59+(1-EXP(-LN(2)/25))/(LN(2)/25)*Calculateur!BL60*Calculateur!BN60*VLOOKUP('Données projet'!$B$11,Paramètres!$A$1:$I$89,3,0)*0.475*44/12</f>
        <v>18.226362652931368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18.838598353220934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14.073749999999997</v>
      </c>
      <c r="BY60" s="12">
        <f>IF('Données projet'!$A$114&gt;35,BY59+BX60-CG59,IF(A60&lt;'Données projet'!$A$114,$BV$205^A60,IF(A60='Données projet'!$A$114,'Données projet'!$B$114,BY59+BX60-CG59)))</f>
        <v>332.50625000000014</v>
      </c>
      <c r="BZ60" s="13">
        <f>BY60*VLOOKUP('Données projet'!$B$12,Paramètres!$A$1:$I$89,3,0)*VLOOKUP('Données projet'!$B$12,Paramètres!$A$1:$I$89,5,0)</f>
        <v>300.85165500000011</v>
      </c>
      <c r="CA60" s="13">
        <f t="shared" si="39"/>
        <v>71.354973608730333</v>
      </c>
      <c r="CB60" s="20">
        <f t="shared" si="10"/>
        <v>648.25987816020552</v>
      </c>
      <c r="CC60" s="59">
        <f t="shared" si="11"/>
        <v>941.59321149353877</v>
      </c>
      <c r="CD60" s="59">
        <f ca="1">AVERAGE(OFFSET($CC$3,0,0,'Données projet'!$E$12+1,1))-AVERAGE(OFFSET($H$3,0,0,'Données projet'!$E$12+1,1))</f>
        <v>695.0879239758051</v>
      </c>
      <c r="CE60" s="59">
        <f t="shared" si="40"/>
        <v>226.22150997227476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39.745729734063318</v>
      </c>
      <c r="CM60" s="21">
        <f>EXP(-LN(2)/2)*CM59+(1-EXP(-LN(2)/2))/(LN(2)/2)*CG60*CJ60*VLOOKUP('Données projet'!$B$12,Paramètres!$A$1:$I$89,3,0)*0.475*44/12</f>
        <v>1.1243838074327408</v>
      </c>
      <c r="CN60" s="22">
        <f t="shared" si="12"/>
        <v>40.87011354149606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14.073749999999997</v>
      </c>
      <c r="CT60" s="12">
        <f>IF('Données projet'!$A$140&gt;35,CT59+CS60-DB59,IF(A60&lt;'Données projet'!$A$140,$CQ$205^A60,IF(A60='Données projet'!$A$140,'Données projet'!$B$140,CT59+CS60-DB59)))</f>
        <v>332.50625000000014</v>
      </c>
      <c r="CU60" s="17">
        <f>CT60*VLOOKUP('Données projet'!$B$13,Paramètres!$A$1:$I$89,3,0)*VLOOKUP('Données projet'!$B$13,Paramètres!$A$1:$I$89,5,0)</f>
        <v>337.16133750000017</v>
      </c>
      <c r="CV60" s="13">
        <f t="shared" si="41"/>
        <v>78.913174906838691</v>
      </c>
      <c r="CW60" s="20">
        <f t="shared" si="13"/>
        <v>724.66310910857771</v>
      </c>
      <c r="CX60" s="59">
        <f t="shared" si="14"/>
        <v>1017.9964424419111</v>
      </c>
      <c r="CY60" s="59">
        <f ca="1">AVERAGE(OFFSET($CX$3,0,0,'Données projet'!$E$13+1,1))-AVERAGE(OFFSET($H$3,0,0,'Données projet'!$E$13+1,1))</f>
        <v>773.15074145293738</v>
      </c>
      <c r="CZ60" s="59">
        <f t="shared" si="42"/>
        <v>248.49577986312505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44.54262815024336</v>
      </c>
      <c r="DH60" s="21">
        <f>EXP(-LN(2)/2)*DH59+(1-EXP(-LN(2)/2))/(LN(2)/2)*DB60*DE60*VLOOKUP('Données projet'!$B$13,Paramètres!$A$1:$I$89,3,0)*0.475*44/12</f>
        <v>1.2600853014332447</v>
      </c>
      <c r="DI60" s="22">
        <f t="shared" si="15"/>
        <v>45.802713451676603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12.346666666666669</v>
      </c>
      <c r="DO60" s="12">
        <f>IF('Données projet'!$A$166&gt;35,DO59+DN60-DW59,IF(A60&lt;'Données projet'!$A$166,$DL$205^A60,IF(A60='Données projet'!$A$166,'Données projet'!$B$166,DO59+DN60-DW59)))</f>
        <v>301.08999999999992</v>
      </c>
      <c r="DP60" s="17">
        <f>DO60*VLOOKUP('Données projet'!$B$14,Paramètres!$A$1:$I$89,3,0)*VLOOKUP('Données projet'!$B$14,Paramètres!$A$1:$I$89,5,0)</f>
        <v>140.91011999999995</v>
      </c>
      <c r="DQ60" s="13">
        <f t="shared" si="43"/>
        <v>36.505422512536292</v>
      </c>
      <c r="DR60" s="20">
        <f t="shared" si="16"/>
        <v>308.99873654266725</v>
      </c>
      <c r="DS60" s="59">
        <f t="shared" si="17"/>
        <v>602.33206987600056</v>
      </c>
      <c r="DT60" s="59">
        <f ca="1">AVERAGE(OFFSET($DS$3,0,0,'Données projet'!$E$14+1,1))-AVERAGE(OFFSET($H$3,0,0,'Données projet'!$E$14+1,1))</f>
        <v>293.15557501692803</v>
      </c>
      <c r="DU60" s="59">
        <f t="shared" si="44"/>
        <v>237.1930412773068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7.6998093861028529</v>
      </c>
      <c r="EB60" s="21">
        <f>EXP(-LN(2)/25)*EB59+(1-EXP(-LN(2)/25))/(LN(2)/25)*Calculateur!DW60*Calculateur!DY60*VLOOKUP('Données projet'!$B$14,Paramètres!$A$1:$I$89,3,0)*0.475*44/12</f>
        <v>10.823962387813403</v>
      </c>
      <c r="EC60" s="21">
        <f>EXP(-LN(2)/2)*EC59+(1-EXP(-LN(2)/2))/(LN(2)/2)*DW60*DZ60*VLOOKUP('Données projet'!$B$14,Paramètres!$A$1:$I$89,3,0)*0.475*44/12</f>
        <v>2.556720245280276</v>
      </c>
      <c r="ED60" s="22">
        <f t="shared" si="18"/>
        <v>21.08049201919653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10.091249999999999</v>
      </c>
      <c r="EJ60" s="12">
        <f>IF('Données projet'!$A$192&gt;35,EJ59+EI60-ER59,IF(A60&lt;'Données projet'!$A$192,$EG$205^A60,IF(A60='Données projet'!$A$192,'Données projet'!$B$192,EJ59+EI60-ER59)))</f>
        <v>274.98374999999982</v>
      </c>
      <c r="EK60" s="17">
        <f>EJ60*VLOOKUP('Données projet'!$B$15,Paramètres!$A$1:$I$89,3,0)*VLOOKUP('Données projet'!$B$15,Paramètres!$A$1:$I$89,5,0)</f>
        <v>164.44028249999988</v>
      </c>
      <c r="EL60" s="13">
        <f t="shared" si="45"/>
        <v>41.842432378587262</v>
      </c>
      <c r="EM60" s="20">
        <f t="shared" si="19"/>
        <v>359.2757284135393</v>
      </c>
      <c r="EN60" s="59">
        <f t="shared" si="20"/>
        <v>652.60906174687261</v>
      </c>
      <c r="EO60" s="59">
        <f ca="1">AVERAGE(OFFSET($EN$3,0,0,'Données projet'!$E$15+1,1))-AVERAGE(OFFSET($H$3,0,0,'Données projet'!$E$15+1,1))</f>
        <v>225.86663363047296</v>
      </c>
      <c r="EP60" s="59">
        <f t="shared" si="46"/>
        <v>258.08349727304397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35.902440562954212</v>
      </c>
      <c r="EW60" s="21">
        <f>EXP(-LN(2)/25)*EW59+(1-EXP(-LN(2)/25))/(LN(2)/25)*Calculateur!ER60*Calculateur!ET60*VLOOKUP('Données projet'!$B$15,Paramètres!$A$1:$I$89,3,0)*0.475*44/12</f>
        <v>16.352877863068457</v>
      </c>
      <c r="EX60" s="21">
        <f>EXP(-LN(2)/2)*EX59+(1-EXP(-LN(2)/2))/(LN(2)/2)*ER60*EU60*VLOOKUP('Données projet'!$B$15,Paramètres!$A$1:$I$89,3,0)*0.475*44/12</f>
        <v>3.673981120870609</v>
      </c>
      <c r="EY60" s="22">
        <f t="shared" si="21"/>
        <v>55.929299546893276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1.1368683772161603E-13</v>
      </c>
      <c r="O61" s="13">
        <f>N61*VLOOKUP('Données projet'!$B$9,Paramètres!$A$1:$I$89,3,0)*VLOOKUP('Données projet'!$B$9,Paramètres!$A$1:$I$89,5,0)</f>
        <v>6.7984728957526396E-14</v>
      </c>
      <c r="P61" s="13">
        <f t="shared" si="33"/>
        <v>1.0682447123141398E-12</v>
      </c>
      <c r="Q61" s="20">
        <f t="shared" si="53"/>
        <v>1.978932943548152E-12</v>
      </c>
      <c r="R61" s="59">
        <f t="shared" si="0"/>
        <v>293.3333333333353</v>
      </c>
      <c r="S61" s="59">
        <f ca="1">AVERAGE(OFFSET($R$3,0,0,'Données projet'!$E$9+1,1))-AVERAGE(OFFSET($H$3,0,0,'Données projet'!$E$9+1,1))</f>
        <v>388.12151914648013</v>
      </c>
      <c r="T61" s="59">
        <f t="shared" si="34"/>
        <v>481.43684454382793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171.10753743114213</v>
      </c>
      <c r="AA61" s="21">
        <f>EXP(-LN(2)/25)*AA60+(1-EXP(-LN(2)/25))/(LN(2)/25)*Calculateur!V61*Calculateur!X61*VLOOKUP('Données projet'!$B$9,Paramètres!$A$1:$I$89,3,0)*0.475*44/12</f>
        <v>58.342421184131979</v>
      </c>
      <c r="AB61" s="21">
        <f>EXP(-LN(2)/2)*AB60+(1-EXP(-LN(2)/2))/(LN(2)/2)*V61*Y61*VLOOKUP('Données projet'!$B$9,Paramètres!$A$1:$I$89,3,0)*0.475*44/12</f>
        <v>38.65215602101992</v>
      </c>
      <c r="AC61" s="22">
        <f t="shared" si="3"/>
        <v>268.102114636294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14.113999999999999</v>
      </c>
      <c r="AI61" s="13">
        <f>IF('Données projet'!$A$62&gt;35,AI60+AH61-AQ60,IF(A61&lt;'Données projet'!$A$62,$AF$205^A61,IF(A61='Données projet'!$A$62,'Données projet'!$B$62,AI60+AH61-AQ60)))</f>
        <v>412.71199999999988</v>
      </c>
      <c r="AJ61" s="13">
        <f>AI61*VLOOKUP('Données projet'!$B$10,Paramètres!$A$1:$I$89,3,0)*VLOOKUP('Données projet'!$B$10,Paramètres!$A$1:$I$89,5,0)</f>
        <v>246.80177599999993</v>
      </c>
      <c r="AK61" s="13">
        <f t="shared" si="35"/>
        <v>59.900576970210864</v>
      </c>
      <c r="AL61" s="20">
        <f t="shared" si="4"/>
        <v>534.17326475645041</v>
      </c>
      <c r="AM61" s="59">
        <f t="shared" si="5"/>
        <v>827.50659808978367</v>
      </c>
      <c r="AN61" s="59">
        <f ca="1">AVERAGE(OFFSET($AM$3,0,0,'Données projet'!$E$10+1,1))-AVERAGE(OFFSET($H$3,0,0,'Données projet'!$E$10+1,1))</f>
        <v>349.71285006949597</v>
      </c>
      <c r="AO61" s="59">
        <f t="shared" si="36"/>
        <v>258.51550516456842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30.751125732620523</v>
      </c>
      <c r="AV61" s="21">
        <f>EXP(-LN(2)/25)*AV60+(1-EXP(-LN(2)/25))/(LN(2)/25)*Calculateur!AQ61*Calculateur!AS61*VLOOKUP('Données projet'!$B$10,Paramètres!$A$1:$I$89,3,0)*0.475*44/12</f>
        <v>15.186205330341592</v>
      </c>
      <c r="AW61" s="21">
        <f>EXP(-LN(2)/2)*AW60+(1-EXP(-LN(2)/2))/(LN(2)/2)*AQ61*AT61*VLOOKUP('Données projet'!$B$10,Paramètres!$A$1:$I$89,3,0)*0.475*44/12</f>
        <v>0.62371170420438893</v>
      </c>
      <c r="AX61" s="21">
        <f t="shared" si="6"/>
        <v>46.561042767166505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3.3333333333333313</v>
      </c>
      <c r="BD61" s="12">
        <f>IF('Données projet'!$A$88&gt;35,BD60+BC61-BL60,IF(A61&lt;'Données projet'!$A$88,$BA$205^A61,IF(A61='Données projet'!$A$88,'Données projet'!$B$88,BD60+BC61-BL60)))</f>
        <v>126.02564102564105</v>
      </c>
      <c r="BE61" s="13">
        <f>BD61*VLOOKUP('Données projet'!$B$11,Paramètres!$A$1:$I$89,3,0)*VLOOKUP('Données projet'!$B$11,Paramètres!$A$1:$I$89,5,0)</f>
        <v>131.72200000000004</v>
      </c>
      <c r="BF61" s="13">
        <f t="shared" si="37"/>
        <v>34.393957720446124</v>
      </c>
      <c r="BG61" s="20">
        <f t="shared" si="7"/>
        <v>289.31862636311035</v>
      </c>
      <c r="BH61" s="59">
        <f t="shared" si="8"/>
        <v>582.65195969644367</v>
      </c>
      <c r="BI61" s="59">
        <f ca="1">AVERAGE(OFFSET($BH$3,0,0,'Données projet'!$E$11+1,1))-AVERAGE(OFFSET($H$3,0,0,'Données projet'!$E$11+1,1))</f>
        <v>260.74709892624571</v>
      </c>
      <c r="BJ61" s="59">
        <f t="shared" si="38"/>
        <v>237.17381692184887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0.60023013163379302</v>
      </c>
      <c r="BQ61" s="21">
        <f>EXP(-LN(2)/25)*BQ60+(1-EXP(-LN(2)/25))/(LN(2)/25)*Calculateur!BL61*Calculateur!BN61*VLOOKUP('Données projet'!$B$11,Paramètres!$A$1:$I$89,3,0)*0.475*44/12</f>
        <v>17.727961807704204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18.328191939337998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346.58</v>
      </c>
      <c r="BW61" s="12">
        <f>VLOOKUP(A61,'Données projet'!$A$113:$I$133,9,0)</f>
        <v>14.073749999999997</v>
      </c>
      <c r="BX61" s="12">
        <f t="array" ref="BX61">INDEX(BW:BW,MIN(IF(ISNUMBER(BW61:BW257),ROW(BW61:BW257),"")))</f>
        <v>14.073749999999997</v>
      </c>
      <c r="BY61" s="12">
        <f>IF('Données projet'!$A$114&gt;35,BY60+BX61-CG60,IF(A61&lt;'Données projet'!$A$114,$BV$205^A61,IF(A61='Données projet'!$A$114,'Données projet'!$B$114,BY60+BX61-CG60)))</f>
        <v>346.58000000000015</v>
      </c>
      <c r="BZ61" s="13">
        <f>BY61*VLOOKUP('Données projet'!$B$12,Paramètres!$A$1:$I$89,3,0)*VLOOKUP('Données projet'!$B$12,Paramètres!$A$1:$I$89,5,0)</f>
        <v>313.58558400000015</v>
      </c>
      <c r="CA61" s="13">
        <f t="shared" si="39"/>
        <v>74.017140903550782</v>
      </c>
      <c r="CB61" s="20">
        <f t="shared" si="10"/>
        <v>675.07474587368461</v>
      </c>
      <c r="CC61" s="59">
        <f t="shared" si="11"/>
        <v>968.40807920701786</v>
      </c>
      <c r="CD61" s="59">
        <f ca="1">AVERAGE(OFFSET($CC$3,0,0,'Données projet'!$E$12+1,1))-AVERAGE(OFFSET($H$3,0,0,'Données projet'!$E$12+1,1))</f>
        <v>695.0879239758051</v>
      </c>
      <c r="CE61" s="59">
        <f t="shared" si="40"/>
        <v>226.22150997227476</v>
      </c>
      <c r="CF61" s="15">
        <f>IF(ISNA(VLOOKUP(A61,'Données projet'!$A$113:$I$133,3,0)),0,VLOOKUP(A61,'Données projet'!$A$113:$I$133,3,0))</f>
        <v>4</v>
      </c>
      <c r="CG61" s="15">
        <f>IF(ISNA(VLOOKUP(A61,'Données projet'!$A$113:$I$133,4,0)),0,VLOOKUP(A61,'Données projet'!$A$113:$I$133,4,0))</f>
        <v>65.819999999999993</v>
      </c>
      <c r="CH61" s="16">
        <f>IF(ISNA(VLOOKUP(A61,'Données projet'!$A$113:$I$133,5,0)),0%,VLOOKUP(A61,'Données projet'!$A$113:$I$133,5,0)*VLOOKUP('Données projet'!$B$12,Paramètres!$A$1:$I$89,7,0))</f>
        <v>0.15049999999999999</v>
      </c>
      <c r="CI61" s="16">
        <f>IF(ISNA(VLOOKUP(A61,'Données projet'!$A$113:$I$133,6,0)),0%,VLOOKUP(A61,'Données projet'!$A$113:$I$133,6,0)*VLOOKUP('Données projet'!$B$12,Paramètres!$A$1:$I$89,7,0))</f>
        <v>8.6000000000000007E-2</v>
      </c>
      <c r="CJ61" s="16">
        <f>IF(ISNA(VLOOKUP(A61,'Données projet'!$A$113:$I$133,7,0)),0%,VLOOKUP(A61,'Données projet'!$A$113:$I$133,7,0))</f>
        <v>0.1</v>
      </c>
      <c r="CK61" s="21">
        <f>EXP(-LN(2)/35)*CK60+(1-EXP(-LN(2)/35))/(LN(2)/35)*CG61*CH61*VLOOKUP('Données projet'!$B$12,Paramètres!$A$1:$I$89,3,0)*0.475*44/12</f>
        <v>9.9081843910064524</v>
      </c>
      <c r="CL61" s="21">
        <f>EXP(-LN(2)/25)*CL60+(1-EXP(-LN(2)/25))/(LN(2)/25)*Calculateur!CG61*Calculateur!CI61*VLOOKUP('Données projet'!$B$12,Paramètres!$A$1:$I$89,3,0)*0.475*44/12</f>
        <v>44.298407575059599</v>
      </c>
      <c r="CM61" s="21">
        <f>EXP(-LN(2)/2)*CM60+(1-EXP(-LN(2)/2))/(LN(2)/2)*CG61*CJ61*VLOOKUP('Données projet'!$B$12,Paramètres!$A$1:$I$89,3,0)*0.475*44/12</f>
        <v>6.414133563560716</v>
      </c>
      <c r="CN61" s="22">
        <f t="shared" si="12"/>
        <v>60.620725529626768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346.58</v>
      </c>
      <c r="CR61" s="12">
        <f>VLOOKUP(A61,'Données projet'!$A$139:$I$159,9,0)</f>
        <v>14.073749999999997</v>
      </c>
      <c r="CS61" s="12">
        <f t="array" ref="CS61">INDEX(CR:CR,MIN(IF(ISNUMBER(CR61:CR257),ROW(CR61:CR257),"")))</f>
        <v>14.073749999999997</v>
      </c>
      <c r="CT61" s="12">
        <f>IF('Données projet'!$A$140&gt;35,CT60+CS61-DB60,IF(A61&lt;'Données projet'!$A$140,$CQ$205^A61,IF(A61='Données projet'!$A$140,'Données projet'!$B$140,CT60+CS61-DB60)))</f>
        <v>346.58000000000015</v>
      </c>
      <c r="CU61" s="17">
        <f>CT61*VLOOKUP('Données projet'!$B$13,Paramètres!$A$1:$I$89,3,0)*VLOOKUP('Données projet'!$B$13,Paramètres!$A$1:$I$89,5,0)</f>
        <v>351.43212000000017</v>
      </c>
      <c r="CV61" s="13">
        <f t="shared" si="41"/>
        <v>81.857329501014519</v>
      </c>
      <c r="CW61" s="20">
        <f t="shared" si="13"/>
        <v>754.64579121426732</v>
      </c>
      <c r="CX61" s="59">
        <f t="shared" si="14"/>
        <v>1047.9791245476006</v>
      </c>
      <c r="CY61" s="59">
        <f ca="1">AVERAGE(OFFSET($CX$3,0,0,'Données projet'!$E$13+1,1))-AVERAGE(OFFSET($H$3,0,0,'Données projet'!$E$13+1,1))</f>
        <v>773.15074145293738</v>
      </c>
      <c r="CZ61" s="59">
        <f t="shared" si="42"/>
        <v>248.49577986312505</v>
      </c>
      <c r="DA61" s="15">
        <f>IF(ISNA(VLOOKUP(A61,'Données projet'!$A$139:$I$159,3,0)),0,VLOOKUP(A61,'Données projet'!$A$139:$I$159,3,0))</f>
        <v>4</v>
      </c>
      <c r="DB61" s="15">
        <f>IF(ISNA(VLOOKUP(A61,'Données projet'!$A$139:$I$159,4,0)),0,VLOOKUP(A61,'Données projet'!$A$139:$I$159,4,0))</f>
        <v>65.819999999999993</v>
      </c>
      <c r="DC61" s="16">
        <f>IF(ISNA(VLOOKUP(A61,'Données projet'!$A$139:$I$159,5,0)),0%,VLOOKUP(A61,'Données projet'!$A$139:$I$159,5,0)*VLOOKUP('Données projet'!$B$13,Paramètres!$A$1:$I$89,7,0))</f>
        <v>0.15049999999999999</v>
      </c>
      <c r="DD61" s="16">
        <f>IF(ISNA(VLOOKUP(A61,'Données projet'!$A$139:$I$159,6,0)),0%,VLOOKUP(A61,'Données projet'!$A$139:$I$159,6,0)*VLOOKUP('Données projet'!$B$13,Paramètres!$A$1:$I$89,7,0))</f>
        <v>8.6000000000000007E-2</v>
      </c>
      <c r="DE61" s="16">
        <f>IF(ISNA(VLOOKUP(A61,'Données projet'!$A$139:$I$159,7,0)),0%,VLOOKUP(A61,'Données projet'!$A$139:$I$159,7,0))</f>
        <v>0.1</v>
      </c>
      <c r="DF61" s="21">
        <f>EXP(-LN(2)/35)*DF60+(1-EXP(-LN(2)/35))/(LN(2)/35)*DB61*DC61*VLOOKUP('Données projet'!$B$13,Paramètres!$A$1:$I$89,3,0)*0.475*44/12</f>
        <v>11.103999748541716</v>
      </c>
      <c r="DG61" s="21">
        <f>EXP(-LN(2)/25)*DG60+(1-EXP(-LN(2)/25))/(LN(2)/25)*Calculateur!DB61*Calculateur!DD61*VLOOKUP('Données projet'!$B$13,Paramètres!$A$1:$I$89,3,0)*0.475*44/12</f>
        <v>49.64476710998057</v>
      </c>
      <c r="DH61" s="21">
        <f>EXP(-LN(2)/2)*DH60+(1-EXP(-LN(2)/2))/(LN(2)/2)*DB61*DE61*VLOOKUP('Données projet'!$B$13,Paramètres!$A$1:$I$89,3,0)*0.475*44/12</f>
        <v>7.1882531315766647</v>
      </c>
      <c r="DI61" s="22">
        <f t="shared" si="15"/>
        <v>67.937019990098946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12.346666666666669</v>
      </c>
      <c r="DO61" s="12">
        <f>IF('Données projet'!$A$166&gt;35,DO60+DN61-DW60,IF(A61&lt;'Données projet'!$A$166,$DL$205^A61,IF(A61='Données projet'!$A$166,'Données projet'!$B$166,DO60+DN61-DW60)))</f>
        <v>313.43666666666661</v>
      </c>
      <c r="DP61" s="17">
        <f>DO61*VLOOKUP('Données projet'!$B$14,Paramètres!$A$1:$I$89,3,0)*VLOOKUP('Données projet'!$B$14,Paramètres!$A$1:$I$89,5,0)</f>
        <v>146.68835999999999</v>
      </c>
      <c r="DQ61" s="13">
        <f t="shared" si="43"/>
        <v>37.82502850366479</v>
      </c>
      <c r="DR61" s="20">
        <f t="shared" si="16"/>
        <v>321.36081831054946</v>
      </c>
      <c r="DS61" s="59">
        <f t="shared" si="17"/>
        <v>614.69415164388283</v>
      </c>
      <c r="DT61" s="59">
        <f ca="1">AVERAGE(OFFSET($DS$3,0,0,'Données projet'!$E$14+1,1))-AVERAGE(OFFSET($H$3,0,0,'Données projet'!$E$14+1,1))</f>
        <v>293.15557501692803</v>
      </c>
      <c r="DU61" s="59">
        <f t="shared" si="44"/>
        <v>237.1930412773068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7.5488208204613683</v>
      </c>
      <c r="EB61" s="21">
        <f>EXP(-LN(2)/25)*EB60+(1-EXP(-LN(2)/25))/(LN(2)/25)*Calculateur!DW61*Calculateur!DY61*VLOOKUP('Données projet'!$B$14,Paramètres!$A$1:$I$89,3,0)*0.475*44/12</f>
        <v>10.527980567111202</v>
      </c>
      <c r="EC61" s="21">
        <f>EXP(-LN(2)/2)*EC60+(1-EXP(-LN(2)/2))/(LN(2)/2)*DW61*DZ61*VLOOKUP('Données projet'!$B$14,Paramètres!$A$1:$I$89,3,0)*0.475*44/12</f>
        <v>1.8078742230346163</v>
      </c>
      <c r="ED61" s="22">
        <f t="shared" si="18"/>
        <v>19.884675610607186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10.091249999999999</v>
      </c>
      <c r="EJ61" s="12">
        <f>IF('Données projet'!$A$192&gt;35,EJ60+EI61-ER60,IF(A61&lt;'Données projet'!$A$192,$EG$205^A61,IF(A61='Données projet'!$A$192,'Données projet'!$B$192,EJ60+EI61-ER60)))</f>
        <v>285.07499999999982</v>
      </c>
      <c r="EK61" s="17">
        <f>EJ61*VLOOKUP('Données projet'!$B$15,Paramètres!$A$1:$I$89,3,0)*VLOOKUP('Données projet'!$B$15,Paramètres!$A$1:$I$89,5,0)</f>
        <v>170.47484999999989</v>
      </c>
      <c r="EL61" s="13">
        <f t="shared" si="45"/>
        <v>43.196356918040692</v>
      </c>
      <c r="EM61" s="20">
        <f t="shared" si="19"/>
        <v>372.14401871558738</v>
      </c>
      <c r="EN61" s="59">
        <f t="shared" si="20"/>
        <v>665.47735204892069</v>
      </c>
      <c r="EO61" s="59">
        <f ca="1">AVERAGE(OFFSET($EN$3,0,0,'Données projet'!$E$15+1,1))-AVERAGE(OFFSET($H$3,0,0,'Données projet'!$E$15+1,1))</f>
        <v>225.86663363047296</v>
      </c>
      <c r="EP61" s="59">
        <f t="shared" si="46"/>
        <v>258.08349727304397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35.198415601841141</v>
      </c>
      <c r="EW61" s="21">
        <f>EXP(-LN(2)/25)*EW60+(1-EXP(-LN(2)/25))/(LN(2)/25)*Calculateur!ER61*Calculateur!ET61*VLOOKUP('Données projet'!$B$15,Paramètres!$A$1:$I$89,3,0)*0.475*44/12</f>
        <v>15.905707557942378</v>
      </c>
      <c r="EX61" s="21">
        <f>EXP(-LN(2)/2)*EX60+(1-EXP(-LN(2)/2))/(LN(2)/2)*ER61*EU61*VLOOKUP('Données projet'!$B$15,Paramètres!$A$1:$I$89,3,0)*0.475*44/12</f>
        <v>2.5978969645189607</v>
      </c>
      <c r="EY61" s="22">
        <f t="shared" si="21"/>
        <v>53.702020124302479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1.1368683772161603E-13</v>
      </c>
      <c r="O62" s="13">
        <f>N62*VLOOKUP('Données projet'!$B$9,Paramètres!$A$1:$I$89,3,0)*VLOOKUP('Données projet'!$B$9,Paramètres!$A$1:$I$89,5,0)</f>
        <v>6.7984728957526396E-14</v>
      </c>
      <c r="P62" s="13">
        <f t="shared" si="33"/>
        <v>1.0682447123141398E-12</v>
      </c>
      <c r="Q62" s="20">
        <f t="shared" si="53"/>
        <v>1.978932943548152E-12</v>
      </c>
      <c r="R62" s="59">
        <f t="shared" si="0"/>
        <v>293.3333333333353</v>
      </c>
      <c r="S62" s="59">
        <f ca="1">AVERAGE(OFFSET($R$3,0,0,'Données projet'!$E$9+1,1))-AVERAGE(OFFSET($H$3,0,0,'Données projet'!$E$9+1,1))</f>
        <v>388.12151914648013</v>
      </c>
      <c r="T62" s="59">
        <f t="shared" si="34"/>
        <v>481.43684454382793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167.75222298741005</v>
      </c>
      <c r="AA62" s="21">
        <f>EXP(-LN(2)/25)*AA61+(1-EXP(-LN(2)/25))/(LN(2)/25)*Calculateur!V62*Calculateur!X62*VLOOKUP('Données projet'!$B$9,Paramètres!$A$1:$I$89,3,0)*0.475*44/12</f>
        <v>56.747044608757307</v>
      </c>
      <c r="AB62" s="21">
        <f>EXP(-LN(2)/2)*AB61+(1-EXP(-LN(2)/2))/(LN(2)/2)*V62*Y62*VLOOKUP('Données projet'!$B$9,Paramètres!$A$1:$I$89,3,0)*0.475*44/12</f>
        <v>27.331201629943628</v>
      </c>
      <c r="AC62" s="22">
        <f t="shared" si="3"/>
        <v>251.83046922611098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14.113999999999999</v>
      </c>
      <c r="AI62" s="13">
        <f>IF('Données projet'!$A$62&gt;35,AI61+AH62-AQ61,IF(A62&lt;'Données projet'!$A$62,$AF$205^A62,IF(A62='Données projet'!$A$62,'Données projet'!$B$62,AI61+AH62-AQ61)))</f>
        <v>426.82599999999985</v>
      </c>
      <c r="AJ62" s="13">
        <f>AI62*VLOOKUP('Données projet'!$B$10,Paramètres!$A$1:$I$89,3,0)*VLOOKUP('Données projet'!$B$10,Paramètres!$A$1:$I$89,5,0)</f>
        <v>255.24194799999992</v>
      </c>
      <c r="AK62" s="13">
        <f t="shared" si="35"/>
        <v>61.707065896857912</v>
      </c>
      <c r="AL62" s="20">
        <f t="shared" si="4"/>
        <v>552.01953253702732</v>
      </c>
      <c r="AM62" s="59">
        <f t="shared" si="5"/>
        <v>845.35286587036057</v>
      </c>
      <c r="AN62" s="59">
        <f ca="1">AVERAGE(OFFSET($AM$3,0,0,'Données projet'!$E$10+1,1))-AVERAGE(OFFSET($H$3,0,0,'Données projet'!$E$10+1,1))</f>
        <v>349.71285006949597</v>
      </c>
      <c r="AO62" s="59">
        <f t="shared" si="36"/>
        <v>258.51550516456842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30.148114913338496</v>
      </c>
      <c r="AV62" s="21">
        <f>EXP(-LN(2)/25)*AV61+(1-EXP(-LN(2)/25))/(LN(2)/25)*Calculateur!AQ62*Calculateur!AS62*VLOOKUP('Données projet'!$B$10,Paramètres!$A$1:$I$89,3,0)*0.475*44/12</f>
        <v>14.770937746975571</v>
      </c>
      <c r="AW62" s="21">
        <f>EXP(-LN(2)/2)*AW61+(1-EXP(-LN(2)/2))/(LN(2)/2)*AQ62*AT62*VLOOKUP('Données projet'!$B$10,Paramètres!$A$1:$I$89,3,0)*0.475*44/12</f>
        <v>0.44103077554834152</v>
      </c>
      <c r="AX62" s="21">
        <f t="shared" si="6"/>
        <v>45.360083435862407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3.3333333333333313</v>
      </c>
      <c r="BD62" s="12">
        <f>IF('Données projet'!$A$88&gt;35,BD61+BC62-BL61,IF(A62&lt;'Données projet'!$A$88,$BA$205^A62,IF(A62='Données projet'!$A$88,'Données projet'!$B$88,BD61+BC62-BL61)))</f>
        <v>129.35897435897439</v>
      </c>
      <c r="BE62" s="13">
        <f>BD62*VLOOKUP('Données projet'!$B$11,Paramètres!$A$1:$I$89,3,0)*VLOOKUP('Données projet'!$B$11,Paramètres!$A$1:$I$89,5,0)</f>
        <v>135.20600000000005</v>
      </c>
      <c r="BF62" s="13">
        <f t="shared" si="37"/>
        <v>35.196550291268018</v>
      </c>
      <c r="BG62" s="20">
        <f t="shared" si="7"/>
        <v>296.78444175729186</v>
      </c>
      <c r="BH62" s="59">
        <f t="shared" si="8"/>
        <v>590.11777509062517</v>
      </c>
      <c r="BI62" s="59">
        <f ca="1">AVERAGE(OFFSET($BH$3,0,0,'Données projet'!$E$11+1,1))-AVERAGE(OFFSET($H$3,0,0,'Données projet'!$E$11+1,1))</f>
        <v>260.74709892624571</v>
      </c>
      <c r="BJ62" s="59">
        <f t="shared" si="38"/>
        <v>237.17381692184887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0.58845998485668483</v>
      </c>
      <c r="BQ62" s="21">
        <f>EXP(-LN(2)/25)*BQ61+(1-EXP(-LN(2)/25))/(LN(2)/25)*Calculateur!BL62*Calculateur!BN62*VLOOKUP('Données projet'!$B$11,Paramètres!$A$1:$I$89,3,0)*0.475*44/12</f>
        <v>17.243189759799538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17.831649744656222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13.520000000000003</v>
      </c>
      <c r="BY62" s="12">
        <f>IF('Données projet'!$A$114&gt;35,BY61+BX62-CG61,IF(A62&lt;'Données projet'!$A$114,$BV$205^A62,IF(A62='Données projet'!$A$114,'Données projet'!$B$114,BY61+BX62-CG61)))</f>
        <v>294.28000000000014</v>
      </c>
      <c r="BZ62" s="13">
        <f>BY62*VLOOKUP('Données projet'!$B$12,Paramètres!$A$1:$I$89,3,0)*VLOOKUP('Données projet'!$B$12,Paramètres!$A$1:$I$89,5,0)</f>
        <v>266.26454400000011</v>
      </c>
      <c r="CA62" s="13">
        <f t="shared" si="39"/>
        <v>64.055869609957142</v>
      </c>
      <c r="CB62" s="20">
        <f t="shared" si="10"/>
        <v>575.30805370400878</v>
      </c>
      <c r="CC62" s="59">
        <f t="shared" si="11"/>
        <v>868.64138703734216</v>
      </c>
      <c r="CD62" s="59">
        <f ca="1">AVERAGE(OFFSET($CC$3,0,0,'Données projet'!$E$12+1,1))-AVERAGE(OFFSET($H$3,0,0,'Données projet'!$E$12+1,1))</f>
        <v>695.0879239758051</v>
      </c>
      <c r="CE62" s="59">
        <f t="shared" si="40"/>
        <v>226.22150997227476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9.7138909384945578</v>
      </c>
      <c r="CL62" s="21">
        <f>EXP(-LN(2)/25)*CL61+(1-EXP(-LN(2)/25))/(LN(2)/25)*Calculateur!CG62*Calculateur!CI62*VLOOKUP('Données projet'!$B$12,Paramètres!$A$1:$I$89,3,0)*0.475*44/12</f>
        <v>43.087065290367583</v>
      </c>
      <c r="CM62" s="21">
        <f>EXP(-LN(2)/2)*CM61+(1-EXP(-LN(2)/2))/(LN(2)/2)*CG62*CJ62*VLOOKUP('Données projet'!$B$12,Paramètres!$A$1:$I$89,3,0)*0.475*44/12</f>
        <v>4.5354773382300175</v>
      </c>
      <c r="CN62" s="22">
        <f t="shared" si="12"/>
        <v>57.336433567092158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13.520000000000003</v>
      </c>
      <c r="CT62" s="12">
        <f>IF('Données projet'!$A$140&gt;35,CT61+CS62-DB61,IF(A62&lt;'Données projet'!$A$140,$CQ$205^A62,IF(A62='Données projet'!$A$140,'Données projet'!$B$140,CT61+CS62-DB61)))</f>
        <v>294.28000000000014</v>
      </c>
      <c r="CU62" s="17">
        <f>CT62*VLOOKUP('Données projet'!$B$13,Paramètres!$A$1:$I$89,3,0)*VLOOKUP('Données projet'!$B$13,Paramètres!$A$1:$I$89,5,0)</f>
        <v>298.39992000000018</v>
      </c>
      <c r="CV62" s="13">
        <f t="shared" si="41"/>
        <v>70.840920915451676</v>
      </c>
      <c r="CW62" s="20">
        <f t="shared" si="13"/>
        <v>643.09446459441199</v>
      </c>
      <c r="CX62" s="59">
        <f t="shared" si="14"/>
        <v>936.42779792774536</v>
      </c>
      <c r="CY62" s="59">
        <f ca="1">AVERAGE(OFFSET($CX$3,0,0,'Données projet'!$E$13+1,1))-AVERAGE(OFFSET($H$3,0,0,'Données projet'!$E$13+1,1))</f>
        <v>773.15074145293738</v>
      </c>
      <c r="CZ62" s="59">
        <f t="shared" si="42"/>
        <v>248.49577986312505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10.886257086243903</v>
      </c>
      <c r="DG62" s="21">
        <f>EXP(-LN(2)/25)*DG61+(1-EXP(-LN(2)/25))/(LN(2)/25)*Calculateur!DB62*Calculateur!DD62*VLOOKUP('Données projet'!$B$13,Paramètres!$A$1:$I$89,3,0)*0.475*44/12</f>
        <v>48.287228342653314</v>
      </c>
      <c r="DH62" s="21">
        <f>EXP(-LN(2)/2)*DH61+(1-EXP(-LN(2)/2))/(LN(2)/2)*DB62*DE62*VLOOKUP('Données projet'!$B$13,Paramètres!$A$1:$I$89,3,0)*0.475*44/12</f>
        <v>5.0828625342232963</v>
      </c>
      <c r="DI62" s="22">
        <f t="shared" si="15"/>
        <v>64.256347963120518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12.346666666666669</v>
      </c>
      <c r="DO62" s="12">
        <f>IF('Données projet'!$A$166&gt;35,DO61+DN62-DW61,IF(A62&lt;'Données projet'!$A$166,$DL$205^A62,IF(A62='Données projet'!$A$166,'Données projet'!$B$166,DO61+DN62-DW61)))</f>
        <v>325.7833333333333</v>
      </c>
      <c r="DP62" s="17">
        <f>DO62*VLOOKUP('Données projet'!$B$14,Paramètres!$A$1:$I$89,3,0)*VLOOKUP('Données projet'!$B$14,Paramètres!$A$1:$I$89,5,0)</f>
        <v>152.46659999999997</v>
      </c>
      <c r="DQ62" s="13">
        <f t="shared" si="43"/>
        <v>39.138596113258984</v>
      </c>
      <c r="DR62" s="20">
        <f t="shared" si="16"/>
        <v>333.71238323059265</v>
      </c>
      <c r="DS62" s="59">
        <f t="shared" si="17"/>
        <v>627.04571656392591</v>
      </c>
      <c r="DT62" s="59">
        <f ca="1">AVERAGE(OFFSET($DS$3,0,0,'Données projet'!$E$14+1,1))-AVERAGE(OFFSET($H$3,0,0,'Données projet'!$E$14+1,1))</f>
        <v>293.15557501692803</v>
      </c>
      <c r="DU62" s="59">
        <f t="shared" si="44"/>
        <v>237.1930412773068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7.4007930484981816</v>
      </c>
      <c r="EB62" s="21">
        <f>EXP(-LN(2)/25)*EB61+(1-EXP(-LN(2)/25))/(LN(2)/25)*Calculateur!DW62*Calculateur!DY62*VLOOKUP('Données projet'!$B$14,Paramètres!$A$1:$I$89,3,0)*0.475*44/12</f>
        <v>10.240092384861111</v>
      </c>
      <c r="EC62" s="21">
        <f>EXP(-LN(2)/2)*EC61+(1-EXP(-LN(2)/2))/(LN(2)/2)*DW62*DZ62*VLOOKUP('Données projet'!$B$14,Paramètres!$A$1:$I$89,3,0)*0.475*44/12</f>
        <v>1.2783601226401382</v>
      </c>
      <c r="ED62" s="22">
        <f t="shared" si="18"/>
        <v>18.919245555999431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10.091249999999999</v>
      </c>
      <c r="EJ62" s="12">
        <f>IF('Données projet'!$A$192&gt;35,EJ61+EI62-ER61,IF(A62&lt;'Données projet'!$A$192,$EG$205^A62,IF(A62='Données projet'!$A$192,'Données projet'!$B$192,EJ61+EI62-ER61)))</f>
        <v>295.16624999999982</v>
      </c>
      <c r="EK62" s="17">
        <f>EJ62*VLOOKUP('Données projet'!$B$15,Paramètres!$A$1:$I$89,3,0)*VLOOKUP('Données projet'!$B$15,Paramètres!$A$1:$I$89,5,0)</f>
        <v>176.5094174999999</v>
      </c>
      <c r="EL62" s="13">
        <f t="shared" si="45"/>
        <v>44.544713003092248</v>
      </c>
      <c r="EM62" s="20">
        <f t="shared" si="19"/>
        <v>385.00261062621888</v>
      </c>
      <c r="EN62" s="59">
        <f t="shared" si="20"/>
        <v>678.3359439595522</v>
      </c>
      <c r="EO62" s="59">
        <f ca="1">AVERAGE(OFFSET($EN$3,0,0,'Données projet'!$E$15+1,1))-AVERAGE(OFFSET($H$3,0,0,'Données projet'!$E$15+1,1))</f>
        <v>225.86663363047296</v>
      </c>
      <c r="EP62" s="59">
        <f t="shared" si="46"/>
        <v>258.08349727304397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34.508196140802674</v>
      </c>
      <c r="EW62" s="21">
        <f>EXP(-LN(2)/25)*EW61+(1-EXP(-LN(2)/25))/(LN(2)/25)*Calculateur!ER62*Calculateur!ET62*VLOOKUP('Données projet'!$B$15,Paramètres!$A$1:$I$89,3,0)*0.475*44/12</f>
        <v>15.470765148325636</v>
      </c>
      <c r="EX62" s="21">
        <f>EXP(-LN(2)/2)*EX61+(1-EXP(-LN(2)/2))/(LN(2)/2)*ER62*EU62*VLOOKUP('Données projet'!$B$15,Paramètres!$A$1:$I$89,3,0)*0.475*44/12</f>
        <v>1.836990560435305</v>
      </c>
      <c r="EY62" s="22">
        <f t="shared" si="21"/>
        <v>51.815951849563611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1.1368683772161603E-13</v>
      </c>
      <c r="O63" s="13">
        <f>N63*VLOOKUP('Données projet'!$B$9,Paramètres!$A$1:$I$89,3,0)*VLOOKUP('Données projet'!$B$9,Paramètres!$A$1:$I$89,5,0)</f>
        <v>6.7984728957526396E-14</v>
      </c>
      <c r="P63" s="13">
        <f t="shared" si="33"/>
        <v>1.0682447123141398E-12</v>
      </c>
      <c r="Q63" s="20">
        <f t="shared" si="53"/>
        <v>1.978932943548152E-12</v>
      </c>
      <c r="R63" s="59">
        <f t="shared" si="0"/>
        <v>293.3333333333353</v>
      </c>
      <c r="S63" s="59">
        <f ca="1">AVERAGE(OFFSET($R$3,0,0,'Données projet'!$E$9+1,1))-AVERAGE(OFFSET($H$3,0,0,'Données projet'!$E$9+1,1))</f>
        <v>388.12151914648013</v>
      </c>
      <c r="T63" s="59">
        <f t="shared" si="34"/>
        <v>481.43684454382793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164.46270421337982</v>
      </c>
      <c r="AA63" s="21">
        <f>EXP(-LN(2)/25)*AA62+(1-EXP(-LN(2)/25))/(LN(2)/25)*Calculateur!V63*Calculateur!X63*VLOOKUP('Données projet'!$B$9,Paramètres!$A$1:$I$89,3,0)*0.475*44/12</f>
        <v>55.195293689733461</v>
      </c>
      <c r="AB63" s="21">
        <f>EXP(-LN(2)/2)*AB62+(1-EXP(-LN(2)/2))/(LN(2)/2)*V63*Y63*VLOOKUP('Données projet'!$B$9,Paramètres!$A$1:$I$89,3,0)*0.475*44/12</f>
        <v>19.32607801050996</v>
      </c>
      <c r="AC63" s="22">
        <f t="shared" si="3"/>
        <v>238.98407591362326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14.113999999999999</v>
      </c>
      <c r="AH63" s="12">
        <f t="array" ref="AH63">INDEX(AG:AG,MIN(IF(ISNUMBER(AG63:AG259),ROW(AG63:AG259),"")))</f>
        <v>14.113999999999999</v>
      </c>
      <c r="AI63" s="13">
        <f>IF('Données projet'!$A$62&gt;35,AI62+AH63-AQ62,IF(A63&lt;'Données projet'!$A$62,$AF$205^A63,IF(A63='Données projet'!$A$62,'Données projet'!$B$62,AI62+AH63-AQ62)))</f>
        <v>440.93999999999983</v>
      </c>
      <c r="AJ63" s="13">
        <f>AI63*VLOOKUP('Données projet'!$B$10,Paramètres!$A$1:$I$89,3,0)*VLOOKUP('Données projet'!$B$10,Paramètres!$A$1:$I$89,5,0)</f>
        <v>263.68211999999988</v>
      </c>
      <c r="AK63" s="13">
        <f t="shared" si="35"/>
        <v>63.506613606650006</v>
      </c>
      <c r="AL63" s="20">
        <f t="shared" si="4"/>
        <v>569.85371103158184</v>
      </c>
      <c r="AM63" s="59">
        <f t="shared" si="5"/>
        <v>863.18704436491521</v>
      </c>
      <c r="AN63" s="59">
        <f ca="1">AVERAGE(OFFSET($AM$3,0,0,'Données projet'!$E$10+1,1))-AVERAGE(OFFSET($H$3,0,0,'Données projet'!$E$10+1,1))</f>
        <v>349.71285006949597</v>
      </c>
      <c r="AO63" s="59">
        <f t="shared" si="36"/>
        <v>258.51550516456842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69.839999999999975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44.515755621175032</v>
      </c>
      <c r="AV63" s="21">
        <f>EXP(-LN(2)/25)*AV62+(1-EXP(-LN(2)/25))/(LN(2)/25)*Calculateur!AQ63*Calculateur!AS63*VLOOKUP('Données projet'!$B$10,Paramètres!$A$1:$I$89,3,0)*0.475*44/12</f>
        <v>19.333668428072521</v>
      </c>
      <c r="AW63" s="21">
        <f>EXP(-LN(2)/2)*AW62+(1-EXP(-LN(2)/2))/(LN(2)/2)*AQ63*AT63*VLOOKUP('Données projet'!$B$10,Paramètres!$A$1:$I$89,3,0)*0.475*44/12</f>
        <v>9.7692382497482964</v>
      </c>
      <c r="AX63" s="21">
        <f t="shared" si="6"/>
        <v>73.618662298995844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132.69230769230768</v>
      </c>
      <c r="BB63" s="12">
        <f>VLOOKUP(A63,'Données projet'!$A$87:$I$107,9,0)</f>
        <v>3.3333333333333313</v>
      </c>
      <c r="BC63" s="12">
        <f t="array" ref="BC63">INDEX(BB:BB,MIN(IF(ISNUMBER(BB63:BB259),ROW(BB63:BB259),"")))</f>
        <v>3.3333333333333313</v>
      </c>
      <c r="BD63" s="12">
        <f>IF('Données projet'!$A$88&gt;35,BD62+BC63-BL62,IF(A63&lt;'Données projet'!$A$88,$BA$205^A63,IF(A63='Données projet'!$A$88,'Données projet'!$B$88,BD62+BC63-BL62)))</f>
        <v>132.69230769230774</v>
      </c>
      <c r="BE63" s="13">
        <f>BD63*VLOOKUP('Données projet'!$B$11,Paramètres!$A$1:$I$89,3,0)*VLOOKUP('Données projet'!$B$11,Paramètres!$A$1:$I$89,5,0)</f>
        <v>138.69000000000005</v>
      </c>
      <c r="BF63" s="13">
        <f t="shared" si="37"/>
        <v>35.996738887121495</v>
      </c>
      <c r="BG63" s="20">
        <f t="shared" si="7"/>
        <v>304.24607022840337</v>
      </c>
      <c r="BH63" s="59">
        <f t="shared" si="8"/>
        <v>597.57940356173663</v>
      </c>
      <c r="BI63" s="59">
        <f ca="1">AVERAGE(OFFSET($BH$3,0,0,'Données projet'!$E$11+1,1))-AVERAGE(OFFSET($H$3,0,0,'Données projet'!$E$11+1,1))</f>
        <v>260.74709892624571</v>
      </c>
      <c r="BJ63" s="59">
        <f t="shared" si="38"/>
        <v>237.17381692184887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11.538461538461538</v>
      </c>
      <c r="BM63" s="16">
        <f>IF(ISNA(VLOOKUP(A63,'Données projet'!$A$87:$I$107,5,0)),0%,VLOOKUP(A63,'Données projet'!$A$87:$I$107,5,0)*VLOOKUP('Données projet'!$B$11,Paramètres!$A$1:$I$89,7,0))</f>
        <v>4.3000000000000003E-2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1.1501954728969925</v>
      </c>
      <c r="BQ63" s="21">
        <f>EXP(-LN(2)/25)*BQ62+(1-EXP(-LN(2)/25))/(LN(2)/25)*Calculateur!BL63*Calculateur!BN63*VLOOKUP('Données projet'!$B$11,Paramètres!$A$1:$I$89,3,0)*0.475*44/12</f>
        <v>19.626761968937593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20.776957441834586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13.520000000000003</v>
      </c>
      <c r="BY63" s="12">
        <f>IF('Données projet'!$A$114&gt;35,BY62+BX63-CG62,IF(A63&lt;'Données projet'!$A$114,$BV$205^A63,IF(A63='Données projet'!$A$114,'Données projet'!$B$114,BY62+BX63-CG62)))</f>
        <v>307.80000000000013</v>
      </c>
      <c r="BZ63" s="13">
        <f>BY63*VLOOKUP('Données projet'!$B$12,Paramètres!$A$1:$I$89,3,0)*VLOOKUP('Données projet'!$B$12,Paramètres!$A$1:$I$89,5,0)</f>
        <v>278.4974400000001</v>
      </c>
      <c r="CA63" s="13">
        <f t="shared" si="39"/>
        <v>66.649375389445709</v>
      </c>
      <c r="CB63" s="20">
        <f t="shared" si="10"/>
        <v>601.13070346995141</v>
      </c>
      <c r="CC63" s="59">
        <f t="shared" si="11"/>
        <v>894.46403680328467</v>
      </c>
      <c r="CD63" s="59">
        <f ca="1">AVERAGE(OFFSET($CC$3,0,0,'Données projet'!$E$12+1,1))-AVERAGE(OFFSET($H$3,0,0,'Données projet'!$E$12+1,1))</f>
        <v>695.0879239758051</v>
      </c>
      <c r="CE63" s="59">
        <f t="shared" si="40"/>
        <v>226.22150997227476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9.5234074620791187</v>
      </c>
      <c r="CL63" s="21">
        <f>EXP(-LN(2)/25)*CL62+(1-EXP(-LN(2)/25))/(LN(2)/25)*Calculateur!CG63*Calculateur!CI63*VLOOKUP('Données projet'!$B$12,Paramètres!$A$1:$I$89,3,0)*0.475*44/12</f>
        <v>41.908847224152197</v>
      </c>
      <c r="CM63" s="21">
        <f>EXP(-LN(2)/2)*CM62+(1-EXP(-LN(2)/2))/(LN(2)/2)*CG63*CJ63*VLOOKUP('Données projet'!$B$12,Paramètres!$A$1:$I$89,3,0)*0.475*44/12</f>
        <v>3.2070667817803584</v>
      </c>
      <c r="CN63" s="22">
        <f t="shared" si="12"/>
        <v>54.639321468011673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13.520000000000003</v>
      </c>
      <c r="CT63" s="12">
        <f>IF('Données projet'!$A$140&gt;35,CT62+CS63-DB62,IF(A63&lt;'Données projet'!$A$140,$CQ$205^A63,IF(A63='Données projet'!$A$140,'Données projet'!$B$140,CT62+CS63-DB62)))</f>
        <v>307.80000000000013</v>
      </c>
      <c r="CU63" s="17">
        <f>CT63*VLOOKUP('Données projet'!$B$13,Paramètres!$A$1:$I$89,3,0)*VLOOKUP('Données projet'!$B$13,Paramètres!$A$1:$I$89,5,0)</f>
        <v>312.10920000000016</v>
      </c>
      <c r="CV63" s="13">
        <f t="shared" si="41"/>
        <v>73.709141094761392</v>
      </c>
      <c r="CW63" s="20">
        <f t="shared" si="13"/>
        <v>671.96694407337634</v>
      </c>
      <c r="CX63" s="59">
        <f t="shared" si="14"/>
        <v>965.30027740670971</v>
      </c>
      <c r="CY63" s="59">
        <f ca="1">AVERAGE(OFFSET($CX$3,0,0,'Données projet'!$E$13+1,1))-AVERAGE(OFFSET($H$3,0,0,'Données projet'!$E$13+1,1))</f>
        <v>773.15074145293738</v>
      </c>
      <c r="CZ63" s="59">
        <f t="shared" si="42"/>
        <v>248.49577986312505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10.672784224743841</v>
      </c>
      <c r="DG63" s="21">
        <f>EXP(-LN(2)/25)*DG62+(1-EXP(-LN(2)/25))/(LN(2)/25)*Calculateur!DB63*Calculateur!DD63*VLOOKUP('Données projet'!$B$13,Paramètres!$A$1:$I$89,3,0)*0.475*44/12</f>
        <v>46.966811544308484</v>
      </c>
      <c r="DH63" s="21">
        <f>EXP(-LN(2)/2)*DH62+(1-EXP(-LN(2)/2))/(LN(2)/2)*DB63*DE63*VLOOKUP('Données projet'!$B$13,Paramètres!$A$1:$I$89,3,0)*0.475*44/12</f>
        <v>3.5941265657883332</v>
      </c>
      <c r="DI63" s="22">
        <f t="shared" si="15"/>
        <v>61.233722334840664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12.346666666666669</v>
      </c>
      <c r="DO63" s="12">
        <f>IF('Données projet'!$A$166&gt;35,DO62+DN63-DW62,IF(A63&lt;'Données projet'!$A$166,$DL$205^A63,IF(A63='Données projet'!$A$166,'Données projet'!$B$166,DO62+DN63-DW62)))</f>
        <v>338.13</v>
      </c>
      <c r="DP63" s="17">
        <f>DO63*VLOOKUP('Données projet'!$B$14,Paramètres!$A$1:$I$89,3,0)*VLOOKUP('Données projet'!$B$14,Paramètres!$A$1:$I$89,5,0)</f>
        <v>158.24484000000001</v>
      </c>
      <c r="DQ63" s="13">
        <f t="shared" si="43"/>
        <v>40.446380385466902</v>
      </c>
      <c r="DR63" s="20">
        <f t="shared" si="16"/>
        <v>346.05387550468822</v>
      </c>
      <c r="DS63" s="59">
        <f t="shared" si="17"/>
        <v>639.38720883802148</v>
      </c>
      <c r="DT63" s="59">
        <f ca="1">AVERAGE(OFFSET($DS$3,0,0,'Données projet'!$E$14+1,1))-AVERAGE(OFFSET($H$3,0,0,'Données projet'!$E$14+1,1))</f>
        <v>293.15557501692803</v>
      </c>
      <c r="DU63" s="59">
        <f t="shared" si="44"/>
        <v>237.1930412773068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7.2556680108551674</v>
      </c>
      <c r="EB63" s="21">
        <f>EXP(-LN(2)/25)*EB62+(1-EXP(-LN(2)/25))/(LN(2)/25)*Calculateur!DW63*Calculateur!DY63*VLOOKUP('Données projet'!$B$14,Paramètres!$A$1:$I$89,3,0)*0.475*44/12</f>
        <v>9.9600765200940291</v>
      </c>
      <c r="EC63" s="21">
        <f>EXP(-LN(2)/2)*EC62+(1-EXP(-LN(2)/2))/(LN(2)/2)*DW63*DZ63*VLOOKUP('Données projet'!$B$14,Paramètres!$A$1:$I$89,3,0)*0.475*44/12</f>
        <v>0.90393711151730838</v>
      </c>
      <c r="ED63" s="22">
        <f t="shared" si="18"/>
        <v>18.119681642466503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10.091249999999999</v>
      </c>
      <c r="EJ63" s="12">
        <f>IF('Données projet'!$A$192&gt;35,EJ62+EI63-ER62,IF(A63&lt;'Données projet'!$A$192,$EG$205^A63,IF(A63='Données projet'!$A$192,'Données projet'!$B$192,EJ62+EI63-ER62)))</f>
        <v>305.25749999999982</v>
      </c>
      <c r="EK63" s="17">
        <f>EJ63*VLOOKUP('Données projet'!$B$15,Paramètres!$A$1:$I$89,3,0)*VLOOKUP('Données projet'!$B$15,Paramètres!$A$1:$I$89,5,0)</f>
        <v>182.54398499999991</v>
      </c>
      <c r="EL63" s="13">
        <f t="shared" si="45"/>
        <v>45.887712831532099</v>
      </c>
      <c r="EM63" s="20">
        <f t="shared" si="19"/>
        <v>397.85187372325157</v>
      </c>
      <c r="EN63" s="59">
        <f t="shared" si="20"/>
        <v>691.18520705658489</v>
      </c>
      <c r="EO63" s="59">
        <f ca="1">AVERAGE(OFFSET($EN$3,0,0,'Données projet'!$E$15+1,1))-AVERAGE(OFFSET($H$3,0,0,'Données projet'!$E$15+1,1))</f>
        <v>225.86663363047296</v>
      </c>
      <c r="EP63" s="59">
        <f t="shared" si="46"/>
        <v>258.08349727304397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33.831511462402872</v>
      </c>
      <c r="EW63" s="21">
        <f>EXP(-LN(2)/25)*EW62+(1-EXP(-LN(2)/25))/(LN(2)/25)*Calculateur!ER63*Calculateur!ET63*VLOOKUP('Données projet'!$B$15,Paramètres!$A$1:$I$89,3,0)*0.475*44/12</f>
        <v>15.047716261772491</v>
      </c>
      <c r="EX63" s="21">
        <f>EXP(-LN(2)/2)*EX62+(1-EXP(-LN(2)/2))/(LN(2)/2)*ER63*EU63*VLOOKUP('Données projet'!$B$15,Paramètres!$A$1:$I$89,3,0)*0.475*44/12</f>
        <v>1.2989484822594806</v>
      </c>
      <c r="EY63" s="22">
        <f t="shared" si="21"/>
        <v>50.178176206434848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388.12151914648013</v>
      </c>
      <c r="T64" s="59">
        <f t="shared" si="34"/>
        <v>481.43684454382793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161.23769089609999</v>
      </c>
      <c r="AA64" s="21">
        <f>EXP(-LN(2)/25)*AA63+(1-EXP(-LN(2)/25))/(LN(2)/25)*Calculateur!V64*Calculateur!X64*VLOOKUP('Données projet'!$B$9,Paramètres!$A$1:$I$89,3,0)*0.475*44/12</f>
        <v>53.685975481193353</v>
      </c>
      <c r="AB64" s="21">
        <f>EXP(-LN(2)/2)*AB63+(1-EXP(-LN(2)/2))/(LN(2)/2)*V64*Y64*VLOOKUP('Données projet'!$B$9,Paramètres!$A$1:$I$89,3,0)*0.475*44/12</f>
        <v>13.665600814971814</v>
      </c>
      <c r="AC64" s="22">
        <f t="shared" si="3"/>
        <v>228.58926719226514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382.99699999999984</v>
      </c>
      <c r="AJ64" s="13">
        <f>AI64*VLOOKUP('Données projet'!$B$10,Paramètres!$A$1:$I$89,3,0)*VLOOKUP('Données projet'!$B$10,Paramètres!$A$1:$I$89,5,0)</f>
        <v>229.03220599999992</v>
      </c>
      <c r="AK64" s="13">
        <f t="shared" si="35"/>
        <v>56.073370514455313</v>
      </c>
      <c r="AL64" s="20">
        <f t="shared" si="4"/>
        <v>496.55887909600943</v>
      </c>
      <c r="AM64" s="59">
        <f t="shared" si="5"/>
        <v>789.89221242934275</v>
      </c>
      <c r="AN64" s="59">
        <f ca="1">AVERAGE(OFFSET($AM$3,0,0,'Données projet'!$E$10+1,1))-AVERAGE(OFFSET($H$3,0,0,'Données projet'!$E$10+1,1))</f>
        <v>349.71285006949597</v>
      </c>
      <c r="AO64" s="59">
        <f t="shared" si="36"/>
        <v>258.51550516456842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43.642828805373689</v>
      </c>
      <c r="AV64" s="21">
        <f>EXP(-LN(2)/25)*AV63+(1-EXP(-LN(2)/25))/(LN(2)/25)*Calculateur!AQ64*Calculateur!AS64*VLOOKUP('Données projet'!$B$10,Paramètres!$A$1:$I$89,3,0)*0.475*44/12</f>
        <v>18.804988248193443</v>
      </c>
      <c r="AW64" s="21">
        <f>EXP(-LN(2)/2)*AW63+(1-EXP(-LN(2)/2))/(LN(2)/2)*AQ64*AT64*VLOOKUP('Données projet'!$B$10,Paramètres!$A$1:$I$89,3,0)*0.475*44/12</f>
        <v>6.9078946134240198</v>
      </c>
      <c r="AX64" s="21">
        <f t="shared" si="6"/>
        <v>69.355711666991155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3.2051282051282071</v>
      </c>
      <c r="BD64" s="12">
        <f>IF('Données projet'!$A$88&gt;35,BD63+BC64-BL63,IF(A64&lt;'Données projet'!$A$88,$BA$205^A64,IF(A64='Données projet'!$A$88,'Données projet'!$B$88,BD63+BC64-BL63)))</f>
        <v>124.35897435897441</v>
      </c>
      <c r="BE64" s="13">
        <f>BD64*VLOOKUP('Données projet'!$B$11,Paramètres!$A$1:$I$89,3,0)*VLOOKUP('Données projet'!$B$11,Paramètres!$A$1:$I$89,5,0)</f>
        <v>129.98000000000008</v>
      </c>
      <c r="BF64" s="13">
        <f t="shared" si="37"/>
        <v>33.991737878182434</v>
      </c>
      <c r="BG64" s="20">
        <f t="shared" si="7"/>
        <v>285.58411013783456</v>
      </c>
      <c r="BH64" s="59">
        <f t="shared" si="8"/>
        <v>578.91744347116787</v>
      </c>
      <c r="BI64" s="59">
        <f ca="1">AVERAGE(OFFSET($BH$3,0,0,'Données projet'!$E$11+1,1))-AVERAGE(OFFSET($H$3,0,0,'Données projet'!$E$11+1,1))</f>
        <v>260.74709892624571</v>
      </c>
      <c r="BJ64" s="59">
        <f t="shared" si="38"/>
        <v>237.17381692184887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1.1276408412234487</v>
      </c>
      <c r="BQ64" s="21">
        <f>EXP(-LN(2)/25)*BQ63+(1-EXP(-LN(2)/25))/(LN(2)/25)*Calculateur!BL64*Calculateur!BN64*VLOOKUP('Données projet'!$B$11,Paramètres!$A$1:$I$89,3,0)*0.475*44/12</f>
        <v>19.090067130770439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20.217707971993889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13.520000000000003</v>
      </c>
      <c r="BY64" s="12">
        <f>IF('Données projet'!$A$114&gt;35,BY63+BX64-CG63,IF(A64&lt;'Données projet'!$A$114,$BV$205^A64,IF(A64='Données projet'!$A$114,'Données projet'!$B$114,BY63+BX64-CG63)))</f>
        <v>321.32000000000011</v>
      </c>
      <c r="BZ64" s="13">
        <f>BY64*VLOOKUP('Données projet'!$B$12,Paramètres!$A$1:$I$89,3,0)*VLOOKUP('Données projet'!$B$12,Paramètres!$A$1:$I$89,5,0)</f>
        <v>290.73033600000008</v>
      </c>
      <c r="CA64" s="13">
        <f t="shared" si="39"/>
        <v>69.229650371802393</v>
      </c>
      <c r="CB64" s="20">
        <f t="shared" si="10"/>
        <v>626.93030959755595</v>
      </c>
      <c r="CC64" s="59">
        <f t="shared" si="11"/>
        <v>920.26364293088932</v>
      </c>
      <c r="CD64" s="59">
        <f ca="1">AVERAGE(OFFSET($CC$3,0,0,'Données projet'!$E$12+1,1))-AVERAGE(OFFSET($H$3,0,0,'Données projet'!$E$12+1,1))</f>
        <v>695.0879239758051</v>
      </c>
      <c r="CE64" s="59">
        <f t="shared" si="40"/>
        <v>226.22150997227476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9.3366592504527368</v>
      </c>
      <c r="CL64" s="21">
        <f>EXP(-LN(2)/25)*CL63+(1-EXP(-LN(2)/25))/(LN(2)/25)*Calculateur!CG64*Calculateur!CI64*VLOOKUP('Données projet'!$B$12,Paramètres!$A$1:$I$89,3,0)*0.475*44/12</f>
        <v>40.762847592917261</v>
      </c>
      <c r="CM64" s="21">
        <f>EXP(-LN(2)/2)*CM63+(1-EXP(-LN(2)/2))/(LN(2)/2)*CG64*CJ64*VLOOKUP('Données projet'!$B$12,Paramètres!$A$1:$I$89,3,0)*0.475*44/12</f>
        <v>2.2677386691150092</v>
      </c>
      <c r="CN64" s="22">
        <f t="shared" si="12"/>
        <v>52.367245512485006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13.520000000000003</v>
      </c>
      <c r="CT64" s="12">
        <f>IF('Données projet'!$A$140&gt;35,CT63+CS64-DB63,IF(A64&lt;'Données projet'!$A$140,$CQ$205^A64,IF(A64='Données projet'!$A$140,'Données projet'!$B$140,CT63+CS64-DB63)))</f>
        <v>321.32000000000011</v>
      </c>
      <c r="CU64" s="17">
        <f>CT64*VLOOKUP('Données projet'!$B$13,Paramètres!$A$1:$I$89,3,0)*VLOOKUP('Données projet'!$B$13,Paramètres!$A$1:$I$89,5,0)</f>
        <v>325.81848000000014</v>
      </c>
      <c r="CV64" s="13">
        <f t="shared" si="41"/>
        <v>76.562729018526539</v>
      </c>
      <c r="CW64" s="20">
        <f t="shared" si="13"/>
        <v>700.81393904060053</v>
      </c>
      <c r="CX64" s="59">
        <f t="shared" si="14"/>
        <v>994.1472723739339</v>
      </c>
      <c r="CY64" s="59">
        <f ca="1">AVERAGE(OFFSET($CX$3,0,0,'Données projet'!$E$13+1,1))-AVERAGE(OFFSET($H$3,0,0,'Données projet'!$E$13+1,1))</f>
        <v>773.15074145293738</v>
      </c>
      <c r="CZ64" s="59">
        <f t="shared" si="42"/>
        <v>248.49577986312505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10.463497435852206</v>
      </c>
      <c r="DG64" s="21">
        <f>EXP(-LN(2)/25)*DG63+(1-EXP(-LN(2)/25))/(LN(2)/25)*Calculateur!DB64*Calculateur!DD64*VLOOKUP('Données projet'!$B$13,Paramètres!$A$1:$I$89,3,0)*0.475*44/12</f>
        <v>45.682501612752091</v>
      </c>
      <c r="DH64" s="21">
        <f>EXP(-LN(2)/2)*DH63+(1-EXP(-LN(2)/2))/(LN(2)/2)*DB64*DE64*VLOOKUP('Données projet'!$B$13,Paramètres!$A$1:$I$89,3,0)*0.475*44/12</f>
        <v>2.5414312671116486</v>
      </c>
      <c r="DI64" s="22">
        <f t="shared" si="15"/>
        <v>58.687430315715943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12.346666666666669</v>
      </c>
      <c r="DO64" s="12">
        <f>IF('Données projet'!$A$166&gt;35,DO63+DN64-DW63,IF(A64&lt;'Données projet'!$A$166,$DL$205^A64,IF(A64='Données projet'!$A$166,'Données projet'!$B$166,DO63+DN64-DW63)))</f>
        <v>350.47666666666669</v>
      </c>
      <c r="DP64" s="17">
        <f>DO64*VLOOKUP('Données projet'!$B$14,Paramètres!$A$1:$I$89,3,0)*VLOOKUP('Données projet'!$B$14,Paramètres!$A$1:$I$89,5,0)</f>
        <v>164.02307999999999</v>
      </c>
      <c r="DQ64" s="13">
        <f t="shared" si="43"/>
        <v>41.748616683259272</v>
      </c>
      <c r="DR64" s="20">
        <f t="shared" si="16"/>
        <v>358.3857050566765</v>
      </c>
      <c r="DS64" s="59">
        <f t="shared" si="17"/>
        <v>651.71903839000981</v>
      </c>
      <c r="DT64" s="59">
        <f ca="1">AVERAGE(OFFSET($DS$3,0,0,'Données projet'!$E$14+1,1))-AVERAGE(OFFSET($H$3,0,0,'Données projet'!$E$14+1,1))</f>
        <v>293.15557501692803</v>
      </c>
      <c r="DU64" s="59">
        <f t="shared" si="44"/>
        <v>237.1930412773068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7.1133887866828003</v>
      </c>
      <c r="EB64" s="21">
        <f>EXP(-LN(2)/25)*EB63+(1-EXP(-LN(2)/25))/(LN(2)/25)*Calculateur!DW64*Calculateur!DY64*VLOOKUP('Données projet'!$B$14,Paramètres!$A$1:$I$89,3,0)*0.475*44/12</f>
        <v>9.687717703874398</v>
      </c>
      <c r="EC64" s="21">
        <f>EXP(-LN(2)/2)*EC63+(1-EXP(-LN(2)/2))/(LN(2)/2)*DW64*DZ64*VLOOKUP('Données projet'!$B$14,Paramètres!$A$1:$I$89,3,0)*0.475*44/12</f>
        <v>0.63918006132006921</v>
      </c>
      <c r="ED64" s="22">
        <f t="shared" si="18"/>
        <v>17.440286551877268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10.091249999999999</v>
      </c>
      <c r="EJ64" s="12">
        <f>IF('Données projet'!$A$192&gt;35,EJ63+EI64-ER63,IF(A64&lt;'Données projet'!$A$192,$EG$205^A64,IF(A64='Données projet'!$A$192,'Données projet'!$B$192,EJ63+EI64-ER63)))</f>
        <v>315.34874999999982</v>
      </c>
      <c r="EK64" s="17">
        <f>EJ64*VLOOKUP('Données projet'!$B$15,Paramètres!$A$1:$I$89,3,0)*VLOOKUP('Données projet'!$B$15,Paramètres!$A$1:$I$89,5,0)</f>
        <v>188.57855249999992</v>
      </c>
      <c r="EL64" s="13">
        <f t="shared" si="45"/>
        <v>47.22555377520267</v>
      </c>
      <c r="EM64" s="20">
        <f t="shared" si="19"/>
        <v>410.69215176264447</v>
      </c>
      <c r="EN64" s="59">
        <f t="shared" si="20"/>
        <v>704.02548509597773</v>
      </c>
      <c r="EO64" s="59">
        <f ca="1">AVERAGE(OFFSET($EN$3,0,0,'Données projet'!$E$15+1,1))-AVERAGE(OFFSET($H$3,0,0,'Données projet'!$E$15+1,1))</f>
        <v>225.86663363047296</v>
      </c>
      <c r="EP64" s="59">
        <f t="shared" si="46"/>
        <v>258.08349727304397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33.168096157809586</v>
      </c>
      <c r="EW64" s="21">
        <f>EXP(-LN(2)/25)*EW63+(1-EXP(-LN(2)/25))/(LN(2)/25)*Calculateur!ER64*Calculateur!ET64*VLOOKUP('Données projet'!$B$15,Paramètres!$A$1:$I$89,3,0)*0.475*44/12</f>
        <v>14.636235669269317</v>
      </c>
      <c r="EX64" s="21">
        <f>EXP(-LN(2)/2)*EX63+(1-EXP(-LN(2)/2))/(LN(2)/2)*ER64*EU64*VLOOKUP('Données projet'!$B$15,Paramètres!$A$1:$I$89,3,0)*0.475*44/12</f>
        <v>0.91849528021765259</v>
      </c>
      <c r="EY64" s="22">
        <f t="shared" si="21"/>
        <v>48.72282710729656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388.12151914648013</v>
      </c>
      <c r="T65" s="59">
        <f t="shared" si="34"/>
        <v>481.43684454382793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158.07591812290812</v>
      </c>
      <c r="AA65" s="21">
        <f>EXP(-LN(2)/25)*AA64+(1-EXP(-LN(2)/25))/(LN(2)/25)*Calculateur!V65*Calculateur!X65*VLOOKUP('Données projet'!$B$9,Paramètres!$A$1:$I$89,3,0)*0.475*44/12</f>
        <v>52.21792965843737</v>
      </c>
      <c r="AB65" s="21">
        <f>EXP(-LN(2)/2)*AB64+(1-EXP(-LN(2)/2))/(LN(2)/2)*V65*Y65*VLOOKUP('Données projet'!$B$9,Paramètres!$A$1:$I$89,3,0)*0.475*44/12</f>
        <v>9.6630390052549799</v>
      </c>
      <c r="AC65" s="22">
        <f t="shared" si="3"/>
        <v>219.95688678660048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394.89399999999983</v>
      </c>
      <c r="AJ65" s="13">
        <f>AI65*VLOOKUP('Données projet'!$B$10,Paramètres!$A$1:$I$89,3,0)*VLOOKUP('Données projet'!$B$10,Paramètres!$A$1:$I$89,5,0)</f>
        <v>236.14661199999995</v>
      </c>
      <c r="AK65" s="13">
        <f t="shared" si="35"/>
        <v>57.609675887529612</v>
      </c>
      <c r="AL65" s="20">
        <f t="shared" si="4"/>
        <v>511.6255347374472</v>
      </c>
      <c r="AM65" s="59">
        <f t="shared" si="5"/>
        <v>804.95886807078045</v>
      </c>
      <c r="AN65" s="59">
        <f ca="1">AVERAGE(OFFSET($AM$3,0,0,'Données projet'!$E$10+1,1))-AVERAGE(OFFSET($H$3,0,0,'Données projet'!$E$10+1,1))</f>
        <v>349.71285006949597</v>
      </c>
      <c r="AO65" s="59">
        <f t="shared" si="36"/>
        <v>258.51550516456842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42.787019551997425</v>
      </c>
      <c r="AV65" s="21">
        <f>EXP(-LN(2)/25)*AV64+(1-EXP(-LN(2)/25))/(LN(2)/25)*Calculateur!AQ65*Calculateur!AS65*VLOOKUP('Données projet'!$B$10,Paramètres!$A$1:$I$89,3,0)*0.475*44/12</f>
        <v>18.290764855635238</v>
      </c>
      <c r="AW65" s="21">
        <f>EXP(-LN(2)/2)*AW64+(1-EXP(-LN(2)/2))/(LN(2)/2)*AQ65*AT65*VLOOKUP('Données projet'!$B$10,Paramètres!$A$1:$I$89,3,0)*0.475*44/12</f>
        <v>4.8846191248741491</v>
      </c>
      <c r="AX65" s="21">
        <f t="shared" si="6"/>
        <v>65.962403532506812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3.2051282051282071</v>
      </c>
      <c r="BD65" s="12">
        <f>IF('Données projet'!$A$88&gt;35,BD64+BC65-BL64,IF(A65&lt;'Données projet'!$A$88,$BA$205^A65,IF(A65='Données projet'!$A$88,'Données projet'!$B$88,BD64+BC65-BL64)))</f>
        <v>127.56410256410261</v>
      </c>
      <c r="BE65" s="13">
        <f>BD65*VLOOKUP('Données projet'!$B$11,Paramètres!$A$1:$I$89,3,0)*VLOOKUP('Données projet'!$B$11,Paramètres!$A$1:$I$89,5,0)</f>
        <v>133.33000000000007</v>
      </c>
      <c r="BF65" s="13">
        <f t="shared" si="37"/>
        <v>34.764688219504073</v>
      </c>
      <c r="BG65" s="20">
        <f t="shared" si="7"/>
        <v>292.76491531563642</v>
      </c>
      <c r="BH65" s="59">
        <f t="shared" si="8"/>
        <v>586.09824864896973</v>
      </c>
      <c r="BI65" s="59">
        <f ca="1">AVERAGE(OFFSET($BH$3,0,0,'Données projet'!$E$11+1,1))-AVERAGE(OFFSET($H$3,0,0,'Données projet'!$E$11+1,1))</f>
        <v>260.74709892624571</v>
      </c>
      <c r="BJ65" s="59">
        <f t="shared" si="38"/>
        <v>237.17381692184887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1.1055284921200561</v>
      </c>
      <c r="BQ65" s="21">
        <f>EXP(-LN(2)/25)*BQ64+(1-EXP(-LN(2)/25))/(LN(2)/25)*Calculateur!BL65*Calculateur!BN65*VLOOKUP('Données projet'!$B$11,Paramètres!$A$1:$I$89,3,0)*0.475*44/12</f>
        <v>18.568048241176523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19.673576733296578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13.520000000000003</v>
      </c>
      <c r="BY65" s="12">
        <f>IF('Données projet'!$A$114&gt;35,BY64+BX65-CG64,IF(A65&lt;'Données projet'!$A$114,$BV$205^A65,IF(A65='Données projet'!$A$114,'Données projet'!$B$114,BY64+BX65-CG64)))</f>
        <v>334.84000000000009</v>
      </c>
      <c r="BZ65" s="13">
        <f>BY65*VLOOKUP('Données projet'!$B$12,Paramètres!$A$1:$I$89,3,0)*VLOOKUP('Données projet'!$B$12,Paramètres!$A$1:$I$89,5,0)</f>
        <v>302.96323200000006</v>
      </c>
      <c r="CA65" s="13">
        <f t="shared" si="39"/>
        <v>71.797314916159678</v>
      </c>
      <c r="CB65" s="20">
        <f t="shared" si="10"/>
        <v>652.70795254564484</v>
      </c>
      <c r="CC65" s="59">
        <f t="shared" si="11"/>
        <v>946.04128587897821</v>
      </c>
      <c r="CD65" s="59">
        <f ca="1">AVERAGE(OFFSET($CC$3,0,0,'Données projet'!$E$12+1,1))-AVERAGE(OFFSET($H$3,0,0,'Données projet'!$E$12+1,1))</f>
        <v>695.0879239758051</v>
      </c>
      <c r="CE65" s="59">
        <f t="shared" si="40"/>
        <v>226.22150997227476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9.1535730573511866</v>
      </c>
      <c r="CL65" s="21">
        <f>EXP(-LN(2)/25)*CL64+(1-EXP(-LN(2)/25))/(LN(2)/25)*Calculateur!CG65*Calculateur!CI65*VLOOKUP('Données projet'!$B$12,Paramètres!$A$1:$I$89,3,0)*0.475*44/12</f>
        <v>39.648185381863946</v>
      </c>
      <c r="CM65" s="21">
        <f>EXP(-LN(2)/2)*CM64+(1-EXP(-LN(2)/2))/(LN(2)/2)*CG65*CJ65*VLOOKUP('Données projet'!$B$12,Paramètres!$A$1:$I$89,3,0)*0.475*44/12</f>
        <v>1.6035333908901794</v>
      </c>
      <c r="CN65" s="22">
        <f t="shared" si="12"/>
        <v>50.405291830105313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13.520000000000003</v>
      </c>
      <c r="CT65" s="12">
        <f>IF('Données projet'!$A$140&gt;35,CT64+CS65-DB64,IF(A65&lt;'Données projet'!$A$140,$CQ$205^A65,IF(A65='Données projet'!$A$140,'Données projet'!$B$140,CT64+CS65-DB64)))</f>
        <v>334.84000000000009</v>
      </c>
      <c r="CU65" s="17">
        <f>CT65*VLOOKUP('Données projet'!$B$13,Paramètres!$A$1:$I$89,3,0)*VLOOKUP('Données projet'!$B$13,Paramètres!$A$1:$I$89,5,0)</f>
        <v>339.52776000000011</v>
      </c>
      <c r="CV65" s="13">
        <f t="shared" si="41"/>
        <v>79.402370756774886</v>
      </c>
      <c r="CW65" s="20">
        <f t="shared" si="13"/>
        <v>729.63664440138302</v>
      </c>
      <c r="CX65" s="59">
        <f t="shared" si="14"/>
        <v>1022.9699777347164</v>
      </c>
      <c r="CY65" s="59">
        <f ca="1">AVERAGE(OFFSET($CX$3,0,0,'Données projet'!$E$13+1,1))-AVERAGE(OFFSET($H$3,0,0,'Données projet'!$E$13+1,1))</f>
        <v>773.15074145293738</v>
      </c>
      <c r="CZ65" s="59">
        <f t="shared" si="42"/>
        <v>248.49577986312505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10.258314633238401</v>
      </c>
      <c r="DG65" s="21">
        <f>EXP(-LN(2)/25)*DG64+(1-EXP(-LN(2)/25))/(LN(2)/25)*Calculateur!DB65*Calculateur!DD65*VLOOKUP('Données projet'!$B$13,Paramètres!$A$1:$I$89,3,0)*0.475*44/12</f>
        <v>44.433311203813034</v>
      </c>
      <c r="DH65" s="21">
        <f>EXP(-LN(2)/2)*DH64+(1-EXP(-LN(2)/2))/(LN(2)/2)*DB65*DE65*VLOOKUP('Données projet'!$B$13,Paramètres!$A$1:$I$89,3,0)*0.475*44/12</f>
        <v>1.7970632828941668</v>
      </c>
      <c r="DI65" s="22">
        <f t="shared" si="15"/>
        <v>56.488689119945597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12.346666666666669</v>
      </c>
      <c r="DO65" s="12">
        <f>IF('Données projet'!$A$166&gt;35,DO64+DN65-DW64,IF(A65&lt;'Données projet'!$A$166,$DL$205^A65,IF(A65='Données projet'!$A$166,'Données projet'!$B$166,DO64+DN65-DW64)))</f>
        <v>362.82333333333338</v>
      </c>
      <c r="DP65" s="17">
        <f>DO65*VLOOKUP('Données projet'!$B$14,Paramètres!$A$1:$I$89,3,0)*VLOOKUP('Données projet'!$B$14,Paramètres!$A$1:$I$89,5,0)</f>
        <v>169.80132</v>
      </c>
      <c r="DQ65" s="13">
        <f t="shared" si="43"/>
        <v>43.045522846538063</v>
      </c>
      <c r="DR65" s="20">
        <f t="shared" si="16"/>
        <v>370.70825129105378</v>
      </c>
      <c r="DS65" s="59">
        <f t="shared" si="17"/>
        <v>664.04158462438704</v>
      </c>
      <c r="DT65" s="59">
        <f ca="1">AVERAGE(OFFSET($DS$3,0,0,'Données projet'!$E$14+1,1))-AVERAGE(OFFSET($H$3,0,0,'Données projet'!$E$14+1,1))</f>
        <v>293.15557501692803</v>
      </c>
      <c r="DU65" s="59">
        <f t="shared" si="44"/>
        <v>237.1930412773068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6.9738995713146954</v>
      </c>
      <c r="EB65" s="21">
        <f>EXP(-LN(2)/25)*EB64+(1-EXP(-LN(2)/25))/(LN(2)/25)*Calculateur!DW65*Calculateur!DY65*VLOOKUP('Données projet'!$B$14,Paramètres!$A$1:$I$89,3,0)*0.475*44/12</f>
        <v>9.4228065538070194</v>
      </c>
      <c r="EC65" s="21">
        <f>EXP(-LN(2)/2)*EC64+(1-EXP(-LN(2)/2))/(LN(2)/2)*DW65*DZ65*VLOOKUP('Données projet'!$B$14,Paramètres!$A$1:$I$89,3,0)*0.475*44/12</f>
        <v>0.45196855575865424</v>
      </c>
      <c r="ED65" s="22">
        <f t="shared" si="18"/>
        <v>16.848674680880368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325.44</v>
      </c>
      <c r="EH65" s="12">
        <f>VLOOKUP(A65,'Données projet'!$A$191:$I$211,9,0)</f>
        <v>10.091249999999999</v>
      </c>
      <c r="EI65" s="12">
        <f t="array" ref="EI65">INDEX(EH:EH,MIN(IF(ISNUMBER(EH65:EH261),ROW(EH65:EH261),"")))</f>
        <v>10.091249999999999</v>
      </c>
      <c r="EJ65" s="12">
        <f>IF('Données projet'!$A$192&gt;35,EJ64+EI65-ER64,IF(A65&lt;'Données projet'!$A$192,$EG$205^A65,IF(A65='Données projet'!$A$192,'Données projet'!$B$192,EJ64+EI65-ER64)))</f>
        <v>325.43999999999983</v>
      </c>
      <c r="EK65" s="17">
        <f>EJ65*VLOOKUP('Données projet'!$B$15,Paramètres!$A$1:$I$89,3,0)*VLOOKUP('Données projet'!$B$15,Paramètres!$A$1:$I$89,5,0)</f>
        <v>194.61311999999992</v>
      </c>
      <c r="EL65" s="13">
        <f t="shared" si="45"/>
        <v>48.558419856804839</v>
      </c>
      <c r="EM65" s="20">
        <f t="shared" si="19"/>
        <v>423.52376525060163</v>
      </c>
      <c r="EN65" s="59">
        <f t="shared" si="20"/>
        <v>716.85709858393489</v>
      </c>
      <c r="EO65" s="59">
        <f ca="1">AVERAGE(OFFSET($EN$3,0,0,'Données projet'!$E$15+1,1))-AVERAGE(OFFSET($H$3,0,0,'Données projet'!$E$15+1,1))</f>
        <v>225.86663363047296</v>
      </c>
      <c r="EP65" s="59">
        <f t="shared" si="46"/>
        <v>258.08349727304397</v>
      </c>
      <c r="EQ65" s="15">
        <f>IF(ISNA(VLOOKUP(A65,'Données projet'!$A$191:$I$211,3,0)),0,VLOOKUP(A65,'Données projet'!$A$191:$I$211,3,0))</f>
        <v>6</v>
      </c>
      <c r="ER65" s="15">
        <f>IF(ISNA(VLOOKUP(A65,'Données projet'!$A$191:$I$211,4,0)),0,VLOOKUP(A65,'Données projet'!$A$191:$I$211,4,0))</f>
        <v>325.44</v>
      </c>
      <c r="ES65" s="16">
        <f>IF(ISNA(VLOOKUP(A65,'Données projet'!$A$191:$I$211,5,0)),0%,VLOOKUP(A65,'Données projet'!$A$191:$I$211,5,0)*VLOOKUP('Données projet'!$B$15,Paramètres!$A$1:$I$89,7,0))</f>
        <v>0.27</v>
      </c>
      <c r="ET65" s="16">
        <f>IF(ISNA(VLOOKUP(A65,'Données projet'!$A$191:$I$211,6,0)),0%,VLOOKUP(A65,'Données projet'!$A$191:$I$211,6,0)*VLOOKUP('Données projet'!$B$15,Paramètres!$A$1:$I$89,7,0))</f>
        <v>9.0000000000000011E-2</v>
      </c>
      <c r="EU65" s="16">
        <f>IF(ISNA(VLOOKUP(A65,'Données projet'!$A$191:$I$211,7,0)),0%,VLOOKUP(A65,'Données projet'!$A$191:$I$211,7,0))</f>
        <v>0.2</v>
      </c>
      <c r="EV65" s="21">
        <f>EXP(-LN(2)/35)*EV64+(1-EXP(-LN(2)/35))/(LN(2)/35)*ER65*ES65*VLOOKUP('Données projet'!$B$15,Paramètres!$A$1:$I$89,3,0)*0.475*44/12</f>
        <v>102.22273886232725</v>
      </c>
      <c r="EW65" s="21">
        <f>EXP(-LN(2)/25)*EW64+(1-EXP(-LN(2)/25))/(LN(2)/25)*Calculateur!ER65*Calculateur!ET65*VLOOKUP('Données projet'!$B$15,Paramètres!$A$1:$I$89,3,0)*0.475*44/12</f>
        <v>37.379538202754901</v>
      </c>
      <c r="EX65" s="21">
        <f>EXP(-LN(2)/2)*EX64+(1-EXP(-LN(2)/2))/(LN(2)/2)*ER65*EU65*VLOOKUP('Données projet'!$B$15,Paramètres!$A$1:$I$89,3,0)*0.475*44/12</f>
        <v>44.718926238408507</v>
      </c>
      <c r="EY65" s="22">
        <f t="shared" si="21"/>
        <v>184.32120330349065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388.12151914648013</v>
      </c>
      <c r="T66" s="59">
        <f t="shared" si="34"/>
        <v>481.43684454382793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154.97614578530758</v>
      </c>
      <c r="AA66" s="21">
        <f>EXP(-LN(2)/25)*AA65+(1-EXP(-LN(2)/25))/(LN(2)/25)*Calculateur!V66*Calculateur!X66*VLOOKUP('Données projet'!$B$9,Paramètres!$A$1:$I$89,3,0)*0.475*44/12</f>
        <v>50.790027625905829</v>
      </c>
      <c r="AB66" s="21">
        <f>EXP(-LN(2)/2)*AB65+(1-EXP(-LN(2)/2))/(LN(2)/2)*V66*Y66*VLOOKUP('Données projet'!$B$9,Paramètres!$A$1:$I$89,3,0)*0.475*44/12</f>
        <v>6.832800407485907</v>
      </c>
      <c r="AC66" s="22">
        <f t="shared" si="3"/>
        <v>212.59897381869931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406.79099999999983</v>
      </c>
      <c r="AJ66" s="13">
        <f>AI66*VLOOKUP('Données projet'!$B$10,Paramètres!$A$1:$I$89,3,0)*VLOOKUP('Données projet'!$B$10,Paramètres!$A$1:$I$89,5,0)</f>
        <v>243.26101799999989</v>
      </c>
      <c r="AK66" s="13">
        <f t="shared" si="35"/>
        <v>59.140602334121624</v>
      </c>
      <c r="AL66" s="20">
        <f t="shared" si="4"/>
        <v>526.68282208192829</v>
      </c>
      <c r="AM66" s="59">
        <f t="shared" si="5"/>
        <v>820.01615541526166</v>
      </c>
      <c r="AN66" s="59">
        <f ca="1">AVERAGE(OFFSET($AM$3,0,0,'Données projet'!$E$10+1,1))-AVERAGE(OFFSET($H$3,0,0,'Données projet'!$E$10+1,1))</f>
        <v>349.71285006949597</v>
      </c>
      <c r="AO66" s="59">
        <f t="shared" si="36"/>
        <v>258.51550516456842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41.947992196087768</v>
      </c>
      <c r="AV66" s="21">
        <f>EXP(-LN(2)/25)*AV65+(1-EXP(-LN(2)/25))/(LN(2)/25)*Calculateur!AQ66*Calculateur!AS66*VLOOKUP('Données projet'!$B$10,Paramètres!$A$1:$I$89,3,0)*0.475*44/12</f>
        <v>17.790602928788374</v>
      </c>
      <c r="AW66" s="21">
        <f>EXP(-LN(2)/2)*AW65+(1-EXP(-LN(2)/2))/(LN(2)/2)*AQ66*AT66*VLOOKUP('Données projet'!$B$10,Paramètres!$A$1:$I$89,3,0)*0.475*44/12</f>
        <v>3.4539473067120103</v>
      </c>
      <c r="AX66" s="21">
        <f t="shared" si="6"/>
        <v>63.192542431588151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3.2051282051282071</v>
      </c>
      <c r="BD66" s="12">
        <f>IF('Données projet'!$A$88&gt;35,BD65+BC66-BL65,IF(A66&lt;'Données projet'!$A$88,$BA$205^A66,IF(A66='Données projet'!$A$88,'Données projet'!$B$88,BD65+BC66-BL65)))</f>
        <v>130.76923076923083</v>
      </c>
      <c r="BE66" s="13">
        <f>BD66*VLOOKUP('Données projet'!$B$11,Paramètres!$A$1:$I$89,3,0)*VLOOKUP('Données projet'!$B$11,Paramètres!$A$1:$I$89,5,0)</f>
        <v>136.68000000000006</v>
      </c>
      <c r="BF66" s="13">
        <f t="shared" si="37"/>
        <v>35.535381023829878</v>
      </c>
      <c r="BG66" s="20">
        <f t="shared" si="7"/>
        <v>299.94178861650374</v>
      </c>
      <c r="BH66" s="59">
        <f t="shared" si="8"/>
        <v>593.27512194983706</v>
      </c>
      <c r="BI66" s="59">
        <f ca="1">AVERAGE(OFFSET($BH$3,0,0,'Données projet'!$E$11+1,1))-AVERAGE(OFFSET($H$3,0,0,'Données projet'!$E$11+1,1))</f>
        <v>260.74709892624571</v>
      </c>
      <c r="BJ66" s="59">
        <f t="shared" si="38"/>
        <v>237.17381692184887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1.0838497526953799</v>
      </c>
      <c r="BQ66" s="21">
        <f>EXP(-LN(2)/25)*BQ65+(1-EXP(-LN(2)/25))/(LN(2)/25)*Calculateur!BL66*Calculateur!BN66*VLOOKUP('Données projet'!$B$11,Paramètres!$A$1:$I$89,3,0)*0.475*44/12</f>
        <v>18.060303985570332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19.144153738265711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13.520000000000003</v>
      </c>
      <c r="BY66" s="12">
        <f>IF('Données projet'!$A$114&gt;35,BY65+BX66-CG65,IF(A66&lt;'Données projet'!$A$114,$BV$205^A66,IF(A66='Données projet'!$A$114,'Données projet'!$B$114,BY65+BX66-CG65)))</f>
        <v>348.36000000000007</v>
      </c>
      <c r="BZ66" s="13">
        <f>BY66*VLOOKUP('Données projet'!$B$12,Paramètres!$A$1:$I$89,3,0)*VLOOKUP('Données projet'!$B$12,Paramètres!$A$1:$I$89,5,0)</f>
        <v>315.19612800000004</v>
      </c>
      <c r="CA66" s="13">
        <f t="shared" si="39"/>
        <v>74.352936449224345</v>
      </c>
      <c r="CB66" s="20">
        <f t="shared" si="10"/>
        <v>678.46462058239911</v>
      </c>
      <c r="CC66" s="59">
        <f t="shared" si="11"/>
        <v>971.79795391573248</v>
      </c>
      <c r="CD66" s="59">
        <f ca="1">AVERAGE(OFFSET($CC$3,0,0,'Données projet'!$E$12+1,1))-AVERAGE(OFFSET($H$3,0,0,'Données projet'!$E$12+1,1))</f>
        <v>695.0879239758051</v>
      </c>
      <c r="CE66" s="59">
        <f t="shared" si="40"/>
        <v>226.22150997227476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8.9740770728248069</v>
      </c>
      <c r="CL66" s="21">
        <f>EXP(-LN(2)/25)*CL65+(1-EXP(-LN(2)/25))/(LN(2)/25)*Calculateur!CG66*Calculateur!CI66*VLOOKUP('Données projet'!$B$12,Paramètres!$A$1:$I$89,3,0)*0.475*44/12</f>
        <v>38.564003667589425</v>
      </c>
      <c r="CM66" s="21">
        <f>EXP(-LN(2)/2)*CM65+(1-EXP(-LN(2)/2))/(LN(2)/2)*CG66*CJ66*VLOOKUP('Données projet'!$B$12,Paramètres!$A$1:$I$89,3,0)*0.475*44/12</f>
        <v>1.1338693345575048</v>
      </c>
      <c r="CN66" s="22">
        <f t="shared" si="12"/>
        <v>48.671950074971733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13.520000000000003</v>
      </c>
      <c r="CT66" s="12">
        <f>IF('Données projet'!$A$140&gt;35,CT65+CS66-DB65,IF(A66&lt;'Données projet'!$A$140,$CQ$205^A66,IF(A66='Données projet'!$A$140,'Données projet'!$B$140,CT65+CS66-DB65)))</f>
        <v>348.36000000000007</v>
      </c>
      <c r="CU66" s="17">
        <f>CT66*VLOOKUP('Données projet'!$B$13,Paramètres!$A$1:$I$89,3,0)*VLOOKUP('Données projet'!$B$13,Paramètres!$A$1:$I$89,5,0)</f>
        <v>353.23704000000009</v>
      </c>
      <c r="CV66" s="13">
        <f t="shared" si="41"/>
        <v>82.228693840296231</v>
      </c>
      <c r="CW66" s="20">
        <f t="shared" si="13"/>
        <v>758.43615310518271</v>
      </c>
      <c r="CX66" s="59">
        <f t="shared" si="14"/>
        <v>1051.769486438516</v>
      </c>
      <c r="CY66" s="59">
        <f ca="1">AVERAGE(OFFSET($CX$3,0,0,'Données projet'!$E$13+1,1))-AVERAGE(OFFSET($H$3,0,0,'Données projet'!$E$13+1,1))</f>
        <v>773.15074145293738</v>
      </c>
      <c r="CZ66" s="59">
        <f t="shared" si="42"/>
        <v>248.49577986312505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10.057155340234699</v>
      </c>
      <c r="DG66" s="21">
        <f>EXP(-LN(2)/25)*DG65+(1-EXP(-LN(2)/25))/(LN(2)/25)*Calculateur!DB66*Calculateur!DD66*VLOOKUP('Données projet'!$B$13,Paramètres!$A$1:$I$89,3,0)*0.475*44/12</f>
        <v>43.218279972298483</v>
      </c>
      <c r="DH66" s="21">
        <f>EXP(-LN(2)/2)*DH65+(1-EXP(-LN(2)/2))/(LN(2)/2)*DB66*DE66*VLOOKUP('Données projet'!$B$13,Paramètres!$A$1:$I$89,3,0)*0.475*44/12</f>
        <v>1.2707156335558245</v>
      </c>
      <c r="DI66" s="22">
        <f t="shared" si="15"/>
        <v>54.546150946089007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375.17</v>
      </c>
      <c r="DM66" s="12">
        <f>VLOOKUP(A66,'Données projet'!$A$165:$I$185,9,0)</f>
        <v>12.346666666666669</v>
      </c>
      <c r="DN66" s="12">
        <f t="array" ref="DN66">INDEX(DM:DM,MIN(IF(ISNUMBER(DM66:DM262),ROW(DM66:DM262),"")))</f>
        <v>12.346666666666669</v>
      </c>
      <c r="DO66" s="12">
        <f>IF('Données projet'!$A$166&gt;35,DO65+DN66-DW65,IF(A66&lt;'Données projet'!$A$166,$DL$205^A66,IF(A66='Données projet'!$A$166,'Données projet'!$B$166,DO65+DN66-DW65)))</f>
        <v>375.17000000000007</v>
      </c>
      <c r="DP66" s="17">
        <f>DO66*VLOOKUP('Données projet'!$B$14,Paramètres!$A$1:$I$89,3,0)*VLOOKUP('Données projet'!$B$14,Paramètres!$A$1:$I$89,5,0)</f>
        <v>175.57956000000001</v>
      </c>
      <c r="DQ66" s="13">
        <f t="shared" si="43"/>
        <v>44.337301048235936</v>
      </c>
      <c r="DR66" s="20">
        <f t="shared" si="16"/>
        <v>383.02186632567759</v>
      </c>
      <c r="DS66" s="59">
        <f t="shared" si="17"/>
        <v>676.35519965901085</v>
      </c>
      <c r="DT66" s="59">
        <f ca="1">AVERAGE(OFFSET($DS$3,0,0,'Données projet'!$E$14+1,1))-AVERAGE(OFFSET($H$3,0,0,'Données projet'!$E$14+1,1))</f>
        <v>293.15557501692803</v>
      </c>
      <c r="DU66" s="59">
        <f t="shared" si="44"/>
        <v>237.1930412773068</v>
      </c>
      <c r="DV66" s="15">
        <f>IF(ISNA(VLOOKUP(A66,'Données projet'!$A$165:$I$185,3,0)),0,VLOOKUP(A66,'Données projet'!$A$165:$I$185,3,0))</f>
        <v>2</v>
      </c>
      <c r="DW66" s="15">
        <f>IF(ISNA(VLOOKUP(A66,'Données projet'!$A$165:$I$185,4,0)),0,VLOOKUP(A66,'Données projet'!$A$165:$I$185,4,0))</f>
        <v>115.59000000000003</v>
      </c>
      <c r="DX66" s="16">
        <f>IF(ISNA(VLOOKUP(A66,'Données projet'!$A$165:$I$185,5,0)),0%,VLOOKUP(A66,'Données projet'!$A$165:$I$185,5,0)*VLOOKUP('Données projet'!$B$14,Paramètres!$A$1:$I$89,7,0))</f>
        <v>0.33</v>
      </c>
      <c r="DY66" s="16">
        <f>IF(ISNA(VLOOKUP(A66,'Données projet'!$A$165:$I$185,6,0)),0%,VLOOKUP(A66,'Données projet'!$A$165:$I$185,6,0)*VLOOKUP('Données projet'!$B$14,Paramètres!$A$1:$I$89,7,0))</f>
        <v>0.11000000000000001</v>
      </c>
      <c r="DZ66" s="16">
        <f>IF(ISNA(VLOOKUP(A66,'Données projet'!$A$165:$I$185,7,0)),0%,VLOOKUP(A66,'Données projet'!$A$165:$I$185,7,0))</f>
        <v>0.2</v>
      </c>
      <c r="EA66" s="21">
        <f>EXP(-LN(2)/35)*EA65+(1-EXP(-LN(2)/35))/(LN(2)/35)*DW66*DX66*VLOOKUP('Données projet'!$B$14,Paramètres!$A$1:$I$89,3,0)*0.475*44/12</f>
        <v>30.51860234421331</v>
      </c>
      <c r="EB66" s="21">
        <f>EXP(-LN(2)/25)*EB65+(1-EXP(-LN(2)/25))/(LN(2)/25)*Calculateur!DW66*Calculateur!DY66*VLOOKUP('Données projet'!$B$14,Paramètres!$A$1:$I$89,3,0)*0.475*44/12</f>
        <v>17.027877336903668</v>
      </c>
      <c r="EC66" s="21">
        <f>EXP(-LN(2)/2)*EC65+(1-EXP(-LN(2)/2))/(LN(2)/2)*DW66*DZ66*VLOOKUP('Données projet'!$B$14,Paramètres!$A$1:$I$89,3,0)*0.475*44/12</f>
        <v>12.569464877633518</v>
      </c>
      <c r="ED66" s="22">
        <f t="shared" si="18"/>
        <v>60.115944558750499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-1.7053025658242404E-13</v>
      </c>
      <c r="EK66" s="17">
        <f>EJ66*VLOOKUP('Données projet'!$B$15,Paramètres!$A$1:$I$89,3,0)*VLOOKUP('Données projet'!$B$15,Paramètres!$A$1:$I$89,5,0)</f>
        <v>-1.0197709343628959E-13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225.86663363047296</v>
      </c>
      <c r="EP66" s="59">
        <f t="shared" si="46"/>
        <v>258.08349727304397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100.2182133029512</v>
      </c>
      <c r="EW66" s="21">
        <f>EXP(-LN(2)/25)*EW65+(1-EXP(-LN(2)/25))/(LN(2)/25)*Calculateur!ER66*Calculateur!ET66*VLOOKUP('Données projet'!$B$15,Paramètres!$A$1:$I$89,3,0)*0.475*44/12</f>
        <v>36.357392764896083</v>
      </c>
      <c r="EX66" s="21">
        <f>EXP(-LN(2)/2)*EX65+(1-EXP(-LN(2)/2))/(LN(2)/2)*ER66*EU66*VLOOKUP('Données projet'!$B$15,Paramètres!$A$1:$I$89,3,0)*0.475*44/12</f>
        <v>31.621055990559686</v>
      </c>
      <c r="EY66" s="22">
        <f t="shared" si="21"/>
        <v>168.19666205840696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388.12151914648013</v>
      </c>
      <c r="T67" s="59">
        <f t="shared" si="34"/>
        <v>481.43684454382793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151.93715809257296</v>
      </c>
      <c r="AA67" s="21">
        <f>EXP(-LN(2)/25)*AA66+(1-EXP(-LN(2)/25))/(LN(2)/25)*Calculateur!V67*Calculateur!X67*VLOOKUP('Données projet'!$B$9,Paramètres!$A$1:$I$89,3,0)*0.475*44/12</f>
        <v>49.401171649543961</v>
      </c>
      <c r="AB67" s="21">
        <f>EXP(-LN(2)/2)*AB66+(1-EXP(-LN(2)/2))/(LN(2)/2)*V67*Y67*VLOOKUP('Données projet'!$B$9,Paramètres!$A$1:$I$89,3,0)*0.475*44/12</f>
        <v>4.83151950262749</v>
      </c>
      <c r="AC67" s="22">
        <f t="shared" si="3"/>
        <v>206.1698492447444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418.68799999999982</v>
      </c>
      <c r="AJ67" s="13">
        <f>AI67*VLOOKUP('Données projet'!$B$10,Paramètres!$A$1:$I$89,3,0)*VLOOKUP('Données projet'!$B$10,Paramètres!$A$1:$I$89,5,0)</f>
        <v>250.37542399999992</v>
      </c>
      <c r="AK67" s="13">
        <f t="shared" si="35"/>
        <v>60.666325229387866</v>
      </c>
      <c r="AL67" s="20">
        <f t="shared" si="4"/>
        <v>541.73104657451711</v>
      </c>
      <c r="AM67" s="59">
        <f t="shared" si="5"/>
        <v>835.06437990785048</v>
      </c>
      <c r="AN67" s="59">
        <f ca="1">AVERAGE(OFFSET($AM$3,0,0,'Données projet'!$E$10+1,1))-AVERAGE(OFFSET($H$3,0,0,'Données projet'!$E$10+1,1))</f>
        <v>349.71285006949597</v>
      </c>
      <c r="AO67" s="59">
        <f t="shared" si="36"/>
        <v>258.51550516456842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41.125417654871342</v>
      </c>
      <c r="AV67" s="21">
        <f>EXP(-LN(2)/25)*AV66+(1-EXP(-LN(2)/25))/(LN(2)/25)*Calculateur!AQ67*Calculateur!AS67*VLOOKUP('Données projet'!$B$10,Paramètres!$A$1:$I$89,3,0)*0.475*44/12</f>
        <v>17.30411795613351</v>
      </c>
      <c r="AW67" s="21">
        <f>EXP(-LN(2)/2)*AW66+(1-EXP(-LN(2)/2))/(LN(2)/2)*AQ67*AT67*VLOOKUP('Données projet'!$B$10,Paramètres!$A$1:$I$89,3,0)*0.475*44/12</f>
        <v>2.442309562437075</v>
      </c>
      <c r="AX67" s="21">
        <f t="shared" si="6"/>
        <v>60.871845173441926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3.2051282051282071</v>
      </c>
      <c r="BD67" s="12">
        <f>IF('Données projet'!$A$88&gt;35,BD66+BC67-BL66,IF(A67&lt;'Données projet'!$A$88,$BA$205^A67,IF(A67='Données projet'!$A$88,'Données projet'!$B$88,BD66+BC67-BL66)))</f>
        <v>133.97435897435903</v>
      </c>
      <c r="BE67" s="13">
        <f>BD67*VLOOKUP('Données projet'!$B$11,Paramètres!$A$1:$I$89,3,0)*VLOOKUP('Données projet'!$B$11,Paramètres!$A$1:$I$89,5,0)</f>
        <v>140.03000000000006</v>
      </c>
      <c r="BF67" s="13">
        <f t="shared" si="37"/>
        <v>36.303877988030095</v>
      </c>
      <c r="BG67" s="20">
        <f t="shared" si="7"/>
        <v>307.11483749581919</v>
      </c>
      <c r="BH67" s="59">
        <f t="shared" si="8"/>
        <v>600.44817082915256</v>
      </c>
      <c r="BI67" s="59">
        <f ca="1">AVERAGE(OFFSET($BH$3,0,0,'Données projet'!$E$11+1,1))-AVERAGE(OFFSET($H$3,0,0,'Données projet'!$E$11+1,1))</f>
        <v>260.74709892624571</v>
      </c>
      <c r="BJ67" s="59">
        <f t="shared" si="38"/>
        <v>237.17381692184887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1.062596120128096</v>
      </c>
      <c r="BQ67" s="21">
        <f>EXP(-LN(2)/25)*BQ66+(1-EXP(-LN(2)/25))/(LN(2)/25)*Calculateur!BL67*Calculateur!BN67*VLOOKUP('Données projet'!$B$11,Paramètres!$A$1:$I$89,3,0)*0.475*44/12</f>
        <v>17.566444023334803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18.629040143462898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13.520000000000003</v>
      </c>
      <c r="BY67" s="12">
        <f>IF('Données projet'!$A$114&gt;35,BY66+BX67-CG66,IF(A67&lt;'Données projet'!$A$114,$BV$205^A67,IF(A67='Données projet'!$A$114,'Données projet'!$B$114,BY66+BX67-CG66)))</f>
        <v>361.88000000000005</v>
      </c>
      <c r="BZ67" s="13">
        <f>BY67*VLOOKUP('Données projet'!$B$12,Paramètres!$A$1:$I$89,3,0)*VLOOKUP('Données projet'!$B$12,Paramètres!$A$1:$I$89,5,0)</f>
        <v>327.42902400000003</v>
      </c>
      <c r="CA67" s="13">
        <f t="shared" si="39"/>
        <v>76.897035859574302</v>
      </c>
      <c r="CB67" s="20">
        <f t="shared" si="10"/>
        <v>704.20122092209192</v>
      </c>
      <c r="CC67" s="59">
        <f t="shared" si="11"/>
        <v>997.53455425542529</v>
      </c>
      <c r="CD67" s="59">
        <f ca="1">AVERAGE(OFFSET($CC$3,0,0,'Données projet'!$E$12+1,1))-AVERAGE(OFFSET($H$3,0,0,'Données projet'!$E$12+1,1))</f>
        <v>695.0879239758051</v>
      </c>
      <c r="CE67" s="59">
        <f t="shared" si="40"/>
        <v>226.22150997227476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8.7981008950732491</v>
      </c>
      <c r="CL67" s="21">
        <f>EXP(-LN(2)/25)*CL66+(1-EXP(-LN(2)/25))/(LN(2)/25)*Calculateur!CG67*Calculateur!CI67*VLOOKUP('Données projet'!$B$12,Paramètres!$A$1:$I$89,3,0)*0.475*44/12</f>
        <v>37.509468959306382</v>
      </c>
      <c r="CM67" s="21">
        <f>EXP(-LN(2)/2)*CM66+(1-EXP(-LN(2)/2))/(LN(2)/2)*CG67*CJ67*VLOOKUP('Données projet'!$B$12,Paramètres!$A$1:$I$89,3,0)*0.475*44/12</f>
        <v>0.80176669544508983</v>
      </c>
      <c r="CN67" s="22">
        <f t="shared" si="12"/>
        <v>47.109336549824718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13.520000000000003</v>
      </c>
      <c r="CT67" s="12">
        <f>IF('Données projet'!$A$140&gt;35,CT66+CS67-DB66,IF(A67&lt;'Données projet'!$A$140,$CQ$205^A67,IF(A67='Données projet'!$A$140,'Données projet'!$B$140,CT66+CS67-DB66)))</f>
        <v>361.88000000000005</v>
      </c>
      <c r="CU67" s="17">
        <f>CT67*VLOOKUP('Données projet'!$B$13,Paramètres!$A$1:$I$89,3,0)*VLOOKUP('Données projet'!$B$13,Paramètres!$A$1:$I$89,5,0)</f>
        <v>366.94632000000007</v>
      </c>
      <c r="CV67" s="13">
        <f t="shared" si="41"/>
        <v>85.042274332249107</v>
      </c>
      <c r="CW67" s="20">
        <f t="shared" si="13"/>
        <v>787.21346846200061</v>
      </c>
      <c r="CX67" s="59">
        <f t="shared" si="14"/>
        <v>1080.546801795334</v>
      </c>
      <c r="CY67" s="59">
        <f ca="1">AVERAGE(OFFSET($CX$3,0,0,'Données projet'!$E$13+1,1))-AVERAGE(OFFSET($H$3,0,0,'Données projet'!$E$13+1,1))</f>
        <v>773.15074145293738</v>
      </c>
      <c r="CZ67" s="59">
        <f t="shared" si="42"/>
        <v>248.49577986312505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9.8599406582717464</v>
      </c>
      <c r="DG67" s="21">
        <f>EXP(-LN(2)/25)*DG66+(1-EXP(-LN(2)/25))/(LN(2)/25)*Calculateur!DB67*Calculateur!DD67*VLOOKUP('Données projet'!$B$13,Paramètres!$A$1:$I$89,3,0)*0.475*44/12</f>
        <v>42.036473833705415</v>
      </c>
      <c r="DH67" s="21">
        <f>EXP(-LN(2)/2)*DH66+(1-EXP(-LN(2)/2))/(LN(2)/2)*DB67*DE67*VLOOKUP('Données projet'!$B$13,Paramètres!$A$1:$I$89,3,0)*0.475*44/12</f>
        <v>0.89853164144708353</v>
      </c>
      <c r="DI67" s="22">
        <f t="shared" si="15"/>
        <v>52.794946133424247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11.327500000000001</v>
      </c>
      <c r="DO67" s="12">
        <f>IF('Données projet'!$A$166&gt;35,DO66+DN67-DW66,IF(A67&lt;'Données projet'!$A$166,$DL$205^A67,IF(A67='Données projet'!$A$166,'Données projet'!$B$166,DO66+DN67-DW66)))</f>
        <v>270.90750000000003</v>
      </c>
      <c r="DP67" s="17">
        <f>DO67*VLOOKUP('Données projet'!$B$14,Paramètres!$A$1:$I$89,3,0)*VLOOKUP('Données projet'!$B$14,Paramètres!$A$1:$I$89,5,0)</f>
        <v>126.78471000000002</v>
      </c>
      <c r="DQ67" s="13">
        <f t="shared" si="43"/>
        <v>33.252320782096213</v>
      </c>
      <c r="DR67" s="20">
        <f t="shared" si="16"/>
        <v>278.73116194548425</v>
      </c>
      <c r="DS67" s="59">
        <f t="shared" si="17"/>
        <v>572.0644952788175</v>
      </c>
      <c r="DT67" s="59">
        <f ca="1">AVERAGE(OFFSET($DS$3,0,0,'Données projet'!$E$14+1,1))-AVERAGE(OFFSET($H$3,0,0,'Données projet'!$E$14+1,1))</f>
        <v>293.15557501692803</v>
      </c>
      <c r="DU67" s="59">
        <f t="shared" si="44"/>
        <v>237.1930412773068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29.920151166752685</v>
      </c>
      <c r="EB67" s="21">
        <f>EXP(-LN(2)/25)*EB66+(1-EXP(-LN(2)/25))/(LN(2)/25)*Calculateur!DW67*Calculateur!DY67*VLOOKUP('Données projet'!$B$14,Paramètres!$A$1:$I$89,3,0)*0.475*44/12</f>
        <v>16.562249135668885</v>
      </c>
      <c r="EC67" s="21">
        <f>EXP(-LN(2)/2)*EC66+(1-EXP(-LN(2)/2))/(LN(2)/2)*DW67*DZ67*VLOOKUP('Données projet'!$B$14,Paramètres!$A$1:$I$89,3,0)*0.475*44/12</f>
        <v>8.8879538508607983</v>
      </c>
      <c r="ED67" s="22">
        <f t="shared" si="18"/>
        <v>55.370354153282364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-1.7053025658242404E-13</v>
      </c>
      <c r="EK67" s="17">
        <f>EJ67*VLOOKUP('Données projet'!$B$15,Paramètres!$A$1:$I$89,3,0)*VLOOKUP('Données projet'!$B$15,Paramètres!$A$1:$I$89,5,0)</f>
        <v>-1.0197709343628959E-13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225.86663363047296</v>
      </c>
      <c r="EP67" s="59">
        <f t="shared" si="46"/>
        <v>258.08349727304397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98.252995267154645</v>
      </c>
      <c r="EW67" s="21">
        <f>EXP(-LN(2)/25)*EW66+(1-EXP(-LN(2)/25))/(LN(2)/25)*Calculateur!ER67*Calculateur!ET67*VLOOKUP('Données projet'!$B$15,Paramètres!$A$1:$I$89,3,0)*0.475*44/12</f>
        <v>35.36319794778781</v>
      </c>
      <c r="EX67" s="21">
        <f>EXP(-LN(2)/2)*EX66+(1-EXP(-LN(2)/2))/(LN(2)/2)*ER67*EU67*VLOOKUP('Données projet'!$B$15,Paramètres!$A$1:$I$89,3,0)*0.475*44/12</f>
        <v>22.359463119204257</v>
      </c>
      <c r="EY67" s="22">
        <f t="shared" si="21"/>
        <v>155.97565633414672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388.12151914648013</v>
      </c>
      <c r="T68" s="59">
        <f t="shared" si="34"/>
        <v>481.43684454382793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148.95776309489338</v>
      </c>
      <c r="AA68" s="21">
        <f>EXP(-LN(2)/25)*AA67+(1-EXP(-LN(2)/25))/(LN(2)/25)*Calculateur!V68*Calculateur!X68*VLOOKUP('Données projet'!$B$9,Paramètres!$A$1:$I$89,3,0)*0.475*44/12</f>
        <v>48.050294012892472</v>
      </c>
      <c r="AB68" s="21">
        <f>EXP(-LN(2)/2)*AB67+(1-EXP(-LN(2)/2))/(LN(2)/2)*V68*Y68*VLOOKUP('Données projet'!$B$9,Paramètres!$A$1:$I$89,3,0)*0.475*44/12</f>
        <v>3.4164002037429535</v>
      </c>
      <c r="AC68" s="22">
        <f t="shared" ref="AC68:AC131" si="57">SUM(Z68:AB68)</f>
        <v>200.42445731152881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430.58499999999981</v>
      </c>
      <c r="AJ68" s="13">
        <f>AI68*VLOOKUP('Données projet'!$B$10,Paramètres!$A$1:$I$89,3,0)*VLOOKUP('Données projet'!$B$10,Paramètres!$A$1:$I$89,5,0)</f>
        <v>257.48982999999993</v>
      </c>
      <c r="AK68" s="13">
        <f t="shared" si="35"/>
        <v>62.187009415011673</v>
      </c>
      <c r="AL68" s="20">
        <f t="shared" ref="AL68:AL131" si="58">(AJ68+AK68)*0.475*44/12</f>
        <v>556.77049531447858</v>
      </c>
      <c r="AM68" s="59">
        <f t="shared" ref="AM68:AM131" si="59">AL68+(AD68+AE68)*44/12</f>
        <v>850.10382864781195</v>
      </c>
      <c r="AN68" s="59">
        <f ca="1">AVERAGE(OFFSET($AM$3,0,0,'Données projet'!$E$10+1,1))-AVERAGE(OFFSET($H$3,0,0,'Données projet'!$E$10+1,1))</f>
        <v>349.71285006949597</v>
      </c>
      <c r="AO68" s="59">
        <f t="shared" si="36"/>
        <v>258.51550516456842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40.31897329868724</v>
      </c>
      <c r="AV68" s="21">
        <f>EXP(-LN(2)/25)*AV67+(1-EXP(-LN(2)/25))/(LN(2)/25)*Calculateur!AQ68*Calculateur!AS68*VLOOKUP('Données projet'!$B$10,Paramètres!$A$1:$I$89,3,0)*0.475*44/12</f>
        <v>16.830935940639026</v>
      </c>
      <c r="AW68" s="21">
        <f>EXP(-LN(2)/2)*AW67+(1-EXP(-LN(2)/2))/(LN(2)/2)*AQ68*AT68*VLOOKUP('Données projet'!$B$10,Paramètres!$A$1:$I$89,3,0)*0.475*44/12</f>
        <v>1.7269736533560056</v>
      </c>
      <c r="AX68" s="21">
        <f t="shared" ref="AX68:AX131" si="60">SUM(AU68:AW68)</f>
        <v>58.876882892682268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137.17948717948718</v>
      </c>
      <c r="BB68" s="12">
        <f>VLOOKUP(A68,'Données projet'!$A$87:$I$107,9,0)</f>
        <v>3.2051282051282071</v>
      </c>
      <c r="BC68" s="12">
        <f t="array" ref="BC68">INDEX(BB:BB,MIN(IF(ISNUMBER(BB68:BB264),ROW(BB68:BB264),"")))</f>
        <v>3.2051282051282071</v>
      </c>
      <c r="BD68" s="12">
        <f>IF('Données projet'!$A$88&gt;35,BD67+BC68-BL67,IF(A68&lt;'Données projet'!$A$88,$BA$205^A68,IF(A68='Données projet'!$A$88,'Données projet'!$B$88,BD67+BC68-BL67)))</f>
        <v>137.17948717948724</v>
      </c>
      <c r="BE68" s="13">
        <f>BD68*VLOOKUP('Données projet'!$B$11,Paramètres!$A$1:$I$89,3,0)*VLOOKUP('Données projet'!$B$11,Paramètres!$A$1:$I$89,5,0)</f>
        <v>143.38000000000008</v>
      </c>
      <c r="BF68" s="13">
        <f t="shared" si="37"/>
        <v>37.070237688614164</v>
      </c>
      <c r="BG68" s="20">
        <f t="shared" ref="BG68:BG131" si="61">(BE68+BF68)*0.475*44/12</f>
        <v>314.28416397433648</v>
      </c>
      <c r="BH68" s="59">
        <f t="shared" ref="BH68:BH131" si="62">BG68+(AY68+AZ68)*44/12</f>
        <v>607.61749730766974</v>
      </c>
      <c r="BI68" s="59">
        <f ca="1">AVERAGE(OFFSET($BH$3,0,0,'Données projet'!$E$11+1,1))-AVERAGE(OFFSET($H$3,0,0,'Données projet'!$E$11+1,1))</f>
        <v>260.74709892624571</v>
      </c>
      <c r="BJ68" s="59">
        <f t="shared" si="38"/>
        <v>237.17381692184887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10.897435897435898</v>
      </c>
      <c r="BM68" s="16">
        <f>IF(ISNA(VLOOKUP(A68,'Données projet'!$A$87:$I$107,5,0)),0%,VLOOKUP(A68,'Données projet'!$A$87:$I$107,5,0)*VLOOKUP('Données projet'!$B$11,Paramètres!$A$1:$I$89,7,0))</f>
        <v>4.3000000000000003E-2</v>
      </c>
      <c r="BN68" s="16">
        <f>IF(ISNA(VLOOKUP(A68,'Données projet'!$A$87:$I$107,6,0)),0%,VLOOKUP(A68,'Données projet'!$A$87:$I$107,6,0)*VLOOKUP('Données projet'!$B$11,Paramètres!$A$1:$I$89,7,0))</f>
        <v>0.215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1.5831854861158741</v>
      </c>
      <c r="BQ68" s="21">
        <f>EXP(-LN(2)/25)*BQ67+(1-EXP(-LN(2)/25))/(LN(2)/25)*Calculateur!BL68*Calculateur!BN68*VLOOKUP('Données projet'!$B$11,Paramètres!$A$1:$I$89,3,0)*0.475*44/12</f>
        <v>19.782560819865079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21.365746305980952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13.520000000000003</v>
      </c>
      <c r="BY68" s="12">
        <f>IF('Données projet'!$A$114&gt;35,BY67+BX68-CG67,IF(A68&lt;'Données projet'!$A$114,$BV$205^A68,IF(A68='Données projet'!$A$114,'Données projet'!$B$114,BY67+BX68-CG67)))</f>
        <v>375.40000000000003</v>
      </c>
      <c r="BZ68" s="13">
        <f>BY68*VLOOKUP('Données projet'!$B$12,Paramètres!$A$1:$I$89,3,0)*VLOOKUP('Données projet'!$B$12,Paramètres!$A$1:$I$89,5,0)</f>
        <v>339.66192000000001</v>
      </c>
      <c r="CA68" s="13">
        <f t="shared" si="39"/>
        <v>79.430092909514357</v>
      </c>
      <c r="CB68" s="20">
        <f t="shared" ref="CB68:CB131" si="64">(BZ68+CA68)*0.475*44/12</f>
        <v>729.91858915073738</v>
      </c>
      <c r="CC68" s="59">
        <f t="shared" ref="CC68:CC131" si="65">CB68+(BT68+BU68)*44/12</f>
        <v>1023.2519224840707</v>
      </c>
      <c r="CD68" s="59">
        <f ca="1">AVERAGE(OFFSET($CC$3,0,0,'Données projet'!$E$12+1,1))-AVERAGE(OFFSET($H$3,0,0,'Données projet'!$E$12+1,1))</f>
        <v>695.0879239758051</v>
      </c>
      <c r="CE68" s="59">
        <f t="shared" si="40"/>
        <v>226.22150997227476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8.6255755028325289</v>
      </c>
      <c r="CL68" s="21">
        <f>EXP(-LN(2)/25)*CL67+(1-EXP(-LN(2)/25))/(LN(2)/25)*Calculateur!CG68*Calculateur!CI68*VLOOKUP('Données projet'!$B$12,Paramètres!$A$1:$I$89,3,0)*0.475*44/12</f>
        <v>36.483770558076905</v>
      </c>
      <c r="CM68" s="21">
        <f>EXP(-LN(2)/2)*CM67+(1-EXP(-LN(2)/2))/(LN(2)/2)*CG68*CJ68*VLOOKUP('Données projet'!$B$12,Paramètres!$A$1:$I$89,3,0)*0.475*44/12</f>
        <v>0.56693466727875241</v>
      </c>
      <c r="CN68" s="22">
        <f t="shared" ref="CN68:CN131" si="66">SUM(CK68:CM68)</f>
        <v>45.676280728188182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13.520000000000003</v>
      </c>
      <c r="CT68" s="12">
        <f>IF('Données projet'!$A$140&gt;35,CT67+CS68-DB67,IF(A68&lt;'Données projet'!$A$140,$CQ$205^A68,IF(A68='Données projet'!$A$140,'Données projet'!$B$140,CT67+CS68-DB67)))</f>
        <v>375.40000000000003</v>
      </c>
      <c r="CU68" s="17">
        <f>CT68*VLOOKUP('Données projet'!$B$13,Paramètres!$A$1:$I$89,3,0)*VLOOKUP('Données projet'!$B$13,Paramètres!$A$1:$I$89,5,0)</f>
        <v>380.65560000000005</v>
      </c>
      <c r="CV68" s="13">
        <f t="shared" si="41"/>
        <v>87.843642813260757</v>
      </c>
      <c r="CW68" s="20">
        <f t="shared" ref="CW68:CW131" si="67">(CU68+CV68)*0.475*44/12</f>
        <v>815.96951456642921</v>
      </c>
      <c r="CX68" s="59">
        <f t="shared" ref="CX68:CX131" si="68">CW68+(CO68+CP68)*44/12</f>
        <v>1109.3028478997626</v>
      </c>
      <c r="CY68" s="59">
        <f ca="1">AVERAGE(OFFSET($CX$3,0,0,'Données projet'!$E$13+1,1))-AVERAGE(OFFSET($H$3,0,0,'Données projet'!$E$13+1,1))</f>
        <v>773.15074145293738</v>
      </c>
      <c r="CZ68" s="59">
        <f t="shared" si="42"/>
        <v>248.49577986312505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9.6665932359330089</v>
      </c>
      <c r="DG68" s="21">
        <f>EXP(-LN(2)/25)*DG67+(1-EXP(-LN(2)/25))/(LN(2)/25)*Calculateur!DB68*Calculateur!DD68*VLOOKUP('Données projet'!$B$13,Paramètres!$A$1:$I$89,3,0)*0.475*44/12</f>
        <v>40.886984246120655</v>
      </c>
      <c r="DH68" s="21">
        <f>EXP(-LN(2)/2)*DH67+(1-EXP(-LN(2)/2))/(LN(2)/2)*DB68*DE68*VLOOKUP('Données projet'!$B$13,Paramètres!$A$1:$I$89,3,0)*0.475*44/12</f>
        <v>0.63535781677791237</v>
      </c>
      <c r="DI68" s="22">
        <f t="shared" ref="DI68:DI131" si="69">SUM(DF68:DH68)</f>
        <v>51.188935298831574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11.327500000000001</v>
      </c>
      <c r="DO68" s="12">
        <f>IF('Données projet'!$A$166&gt;35,DO67+DN68-DW67,IF(A68&lt;'Données projet'!$A$166,$DL$205^A68,IF(A68='Données projet'!$A$166,'Données projet'!$B$166,DO67+DN68-DW67)))</f>
        <v>282.23500000000001</v>
      </c>
      <c r="DP68" s="17">
        <f>DO68*VLOOKUP('Données projet'!$B$14,Paramètres!$A$1:$I$89,3,0)*VLOOKUP('Données projet'!$B$14,Paramètres!$A$1:$I$89,5,0)</f>
        <v>132.08598000000001</v>
      </c>
      <c r="DQ68" s="13">
        <f t="shared" si="43"/>
        <v>34.477920592791357</v>
      </c>
      <c r="DR68" s="20">
        <f t="shared" ref="DR68:DR131" si="70">(DP68+DQ68)*0.475*44/12</f>
        <v>290.09879353244492</v>
      </c>
      <c r="DS68" s="59">
        <f t="shared" ref="DS68:DS131" si="71">DR68+(DJ68+DK68)*44/12</f>
        <v>583.43212686577817</v>
      </c>
      <c r="DT68" s="59">
        <f ca="1">AVERAGE(OFFSET($DS$3,0,0,'Données projet'!$E$14+1,1))-AVERAGE(OFFSET($H$3,0,0,'Données projet'!$E$14+1,1))</f>
        <v>293.15557501692803</v>
      </c>
      <c r="DU68" s="59">
        <f t="shared" si="44"/>
        <v>237.1930412773068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29.333435251862888</v>
      </c>
      <c r="EB68" s="21">
        <f>EXP(-LN(2)/25)*EB67+(1-EXP(-LN(2)/25))/(LN(2)/25)*Calculateur!DW68*Calculateur!DY68*VLOOKUP('Données projet'!$B$14,Paramètres!$A$1:$I$89,3,0)*0.475*44/12</f>
        <v>16.109353562083193</v>
      </c>
      <c r="EC68" s="21">
        <f>EXP(-LN(2)/2)*EC67+(1-EXP(-LN(2)/2))/(LN(2)/2)*DW68*DZ68*VLOOKUP('Données projet'!$B$14,Paramètres!$A$1:$I$89,3,0)*0.475*44/12</f>
        <v>6.2847324388167589</v>
      </c>
      <c r="ED68" s="22">
        <f t="shared" ref="ED68:ED131" si="72">SUM(EA68:EC68)</f>
        <v>51.727521252762841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-1.7053025658242404E-13</v>
      </c>
      <c r="EK68" s="17">
        <f>EJ68*VLOOKUP('Données projet'!$B$15,Paramètres!$A$1:$I$89,3,0)*VLOOKUP('Données projet'!$B$15,Paramètres!$A$1:$I$89,5,0)</f>
        <v>-1.0197709343628959E-13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225.86663363047296</v>
      </c>
      <c r="EP68" s="59">
        <f t="shared" si="46"/>
        <v>258.08349727304397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96.326313958375422</v>
      </c>
      <c r="EW68" s="21">
        <f>EXP(-LN(2)/25)*EW67+(1-EXP(-LN(2)/25))/(LN(2)/25)*Calculateur!ER68*Calculateur!ET68*VLOOKUP('Données projet'!$B$15,Paramètres!$A$1:$I$89,3,0)*0.475*44/12</f>
        <v>34.396189440235794</v>
      </c>
      <c r="EX68" s="21">
        <f>EXP(-LN(2)/2)*EX67+(1-EXP(-LN(2)/2))/(LN(2)/2)*ER68*EU68*VLOOKUP('Données projet'!$B$15,Paramètres!$A$1:$I$89,3,0)*0.475*44/12</f>
        <v>15.810527995279845</v>
      </c>
      <c r="EY68" s="22">
        <f t="shared" ref="EY68:EY131" si="75">SUM(EV68:EX68)</f>
        <v>146.53303139389106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388.12151914648013</v>
      </c>
      <c r="T69" s="59">
        <f t="shared" ref="T69:T132" si="88">$T$3</f>
        <v>481.43684454382793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146.0367922158668</v>
      </c>
      <c r="AA69" s="21">
        <f>EXP(-LN(2)/25)*AA68+(1-EXP(-LN(2)/25))/(LN(2)/25)*Calculateur!V69*Calculateur!X69*VLOOKUP('Données projet'!$B$9,Paramètres!$A$1:$I$89,3,0)*0.475*44/12</f>
        <v>46.736356196254789</v>
      </c>
      <c r="AB69" s="21">
        <f>EXP(-LN(2)/2)*AB68+(1-EXP(-LN(2)/2))/(LN(2)/2)*V69*Y69*VLOOKUP('Données projet'!$B$9,Paramètres!$A$1:$I$89,3,0)*0.475*44/12</f>
        <v>2.415759751313745</v>
      </c>
      <c r="AC69" s="22">
        <f t="shared" si="57"/>
        <v>195.18890816343534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442.4819999999998</v>
      </c>
      <c r="AJ69" s="13">
        <f>AI69*VLOOKUP('Données projet'!$B$10,Paramètres!$A$1:$I$89,3,0)*VLOOKUP('Données projet'!$B$10,Paramètres!$A$1:$I$89,5,0)</f>
        <v>264.6042359999999</v>
      </c>
      <c r="AK69" s="13">
        <f t="shared" ref="AK69:AK132" si="89">EXP(-1.0587+0.8836*LN(AJ69)+0.284)</f>
        <v>63.702810105204811</v>
      </c>
      <c r="AL69" s="20">
        <f t="shared" si="58"/>
        <v>571.80143863323156</v>
      </c>
      <c r="AM69" s="59">
        <f t="shared" si="59"/>
        <v>865.13477196656481</v>
      </c>
      <c r="AN69" s="59">
        <f ca="1">AVERAGE(OFFSET($AM$3,0,0,'Données projet'!$E$10+1,1))-AVERAGE(OFFSET($H$3,0,0,'Données projet'!$E$10+1,1))</f>
        <v>349.71285006949597</v>
      </c>
      <c r="AO69" s="59">
        <f t="shared" ref="AO69:AO132" si="90">$AO$3</f>
        <v>258.51550516456842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39.528342824445424</v>
      </c>
      <c r="AV69" s="21">
        <f>EXP(-LN(2)/25)*AV68+(1-EXP(-LN(2)/25))/(LN(2)/25)*Calculateur!AQ69*Calculateur!AS69*VLOOKUP('Données projet'!$B$10,Paramètres!$A$1:$I$89,3,0)*0.475*44/12</f>
        <v>16.370693112241799</v>
      </c>
      <c r="AW69" s="21">
        <f>EXP(-LN(2)/2)*AW68+(1-EXP(-LN(2)/2))/(LN(2)/2)*AQ69*AT69*VLOOKUP('Données projet'!$B$10,Paramètres!$A$1:$I$89,3,0)*0.475*44/12</f>
        <v>1.2211547812185377</v>
      </c>
      <c r="AX69" s="21">
        <f t="shared" si="60"/>
        <v>57.120190717905764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2.9487179487179476</v>
      </c>
      <c r="BD69" s="12">
        <f>IF('Données projet'!$A$88&gt;35,BD68+BC69-BL68,IF(A69&lt;'Données projet'!$A$88,$BA$205^A69,IF(A69='Données projet'!$A$88,'Données projet'!$B$88,BD68+BC69-BL68)))</f>
        <v>129.23076923076928</v>
      </c>
      <c r="BE69" s="13">
        <f>BD69*VLOOKUP('Données projet'!$B$11,Paramètres!$A$1:$I$89,3,0)*VLOOKUP('Données projet'!$B$11,Paramètres!$A$1:$I$89,5,0)</f>
        <v>135.07200000000006</v>
      </c>
      <c r="BF69" s="13">
        <f t="shared" ref="BF69:BF132" si="91">EXP(-1.0587+0.8836*LN(BE69)+0.284)</f>
        <v>35.165726241361661</v>
      </c>
      <c r="BG69" s="20">
        <f t="shared" si="61"/>
        <v>296.49737320370497</v>
      </c>
      <c r="BH69" s="59">
        <f t="shared" si="62"/>
        <v>589.83070653703828</v>
      </c>
      <c r="BI69" s="59">
        <f ca="1">AVERAGE(OFFSET($BH$3,0,0,'Données projet'!$E$11+1,1))-AVERAGE(OFFSET($H$3,0,0,'Données projet'!$E$11+1,1))</f>
        <v>260.74709892624571</v>
      </c>
      <c r="BJ69" s="59">
        <f t="shared" ref="BJ69:BJ132" si="92">$BJ$3</f>
        <v>237.17381692184887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1.5521401843809386</v>
      </c>
      <c r="BQ69" s="21">
        <f>EXP(-LN(2)/25)*BQ68+(1-EXP(-LN(2)/25))/(LN(2)/25)*Calculateur!BL69*Calculateur!BN69*VLOOKUP('Données projet'!$B$11,Paramètres!$A$1:$I$89,3,0)*0.475*44/12</f>
        <v>19.241605653926207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20.793745838307146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388.92</v>
      </c>
      <c r="BW69" s="12">
        <f>VLOOKUP(A69,'Données projet'!$A$113:$I$133,9,0)</f>
        <v>13.520000000000003</v>
      </c>
      <c r="BX69" s="12">
        <f t="array" ref="BX69">INDEX(BW:BW,MIN(IF(ISNUMBER(BW69:BW265),ROW(BW69:BW265),"")))</f>
        <v>13.520000000000003</v>
      </c>
      <c r="BY69" s="12">
        <f>IF('Données projet'!$A$114&gt;35,BY68+BX69-CG68,IF(A69&lt;'Données projet'!$A$114,$BV$205^A69,IF(A69='Données projet'!$A$114,'Données projet'!$B$114,BY68+BX69-CG68)))</f>
        <v>388.92</v>
      </c>
      <c r="BZ69" s="13">
        <f>BY69*VLOOKUP('Données projet'!$B$12,Paramètres!$A$1:$I$89,3,0)*VLOOKUP('Données projet'!$B$12,Paramètres!$A$1:$I$89,5,0)</f>
        <v>351.89481599999999</v>
      </c>
      <c r="CA69" s="13">
        <f t="shared" ref="CA69:CA132" si="93">EXP(-1.0587+0.8836*LN(BZ69)+0.284)</f>
        <v>81.952550845391471</v>
      </c>
      <c r="CB69" s="20">
        <f t="shared" si="64"/>
        <v>755.61749725572326</v>
      </c>
      <c r="CC69" s="59">
        <f t="shared" si="65"/>
        <v>1048.9508305890565</v>
      </c>
      <c r="CD69" s="59">
        <f ca="1">AVERAGE(OFFSET($CC$3,0,0,'Données projet'!$E$12+1,1))-AVERAGE(OFFSET($H$3,0,0,'Données projet'!$E$12+1,1))</f>
        <v>695.0879239758051</v>
      </c>
      <c r="CE69" s="59">
        <f t="shared" ref="CE69:CE132" si="94">$CE$3</f>
        <v>226.22150997227476</v>
      </c>
      <c r="CF69" s="15">
        <f>IF(ISNA(VLOOKUP(A69,'Données projet'!$A$113:$I$133,3,0)),0,VLOOKUP(A69,'Données projet'!$A$113:$I$133,3,0))</f>
        <v>5</v>
      </c>
      <c r="CG69" s="15">
        <f>IF(ISNA(VLOOKUP(A69,'Données projet'!$A$113:$I$133,4,0)),0,VLOOKUP(A69,'Données projet'!$A$113:$I$133,4,0))</f>
        <v>76.480000000000018</v>
      </c>
      <c r="CH69" s="16">
        <f>IF(ISNA(VLOOKUP(A69,'Données projet'!$A$113:$I$133,5,0)),0%,VLOOKUP(A69,'Données projet'!$A$113:$I$133,5,0)*VLOOKUP('Données projet'!$B$12,Paramètres!$A$1:$I$89,7,0))</f>
        <v>0.15049999999999999</v>
      </c>
      <c r="CI69" s="16">
        <f>IF(ISNA(VLOOKUP(A69,'Données projet'!$A$113:$I$133,6,0)),0%,VLOOKUP(A69,'Données projet'!$A$113:$I$133,6,0)*VLOOKUP('Données projet'!$B$12,Paramètres!$A$1:$I$89,7,0))</f>
        <v>8.6000000000000007E-2</v>
      </c>
      <c r="CJ69" s="16">
        <f>IF(ISNA(VLOOKUP(A69,'Données projet'!$A$113:$I$133,7,0)),0%,VLOOKUP(A69,'Données projet'!$A$113:$I$133,7,0))</f>
        <v>0.1</v>
      </c>
      <c r="CK69" s="21">
        <f>EXP(-LN(2)/35)*CK68+(1-EXP(-LN(2)/35))/(LN(2)/35)*CG69*CH69*VLOOKUP('Données projet'!$B$12,Paramètres!$A$1:$I$89,3,0)*0.475*44/12</f>
        <v>19.969315972517677</v>
      </c>
      <c r="CL69" s="21">
        <f>EXP(-LN(2)/25)*CL68+(1-EXP(-LN(2)/25))/(LN(2)/25)*Calculateur!CG69*Calculateur!CI69*VLOOKUP('Données projet'!$B$12,Paramètres!$A$1:$I$89,3,0)*0.475*44/12</f>
        <v>42.039006869624131</v>
      </c>
      <c r="CM69" s="21">
        <f>EXP(-LN(2)/2)*CM68+(1-EXP(-LN(2)/2))/(LN(2)/2)*CG69*CJ69*VLOOKUP('Données projet'!$B$12,Paramètres!$A$1:$I$89,3,0)*0.475*44/12</f>
        <v>6.9300050567802831</v>
      </c>
      <c r="CN69" s="22">
        <f t="shared" si="66"/>
        <v>68.938327898922097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388.92</v>
      </c>
      <c r="CR69" s="12">
        <f>VLOOKUP(A69,'Données projet'!$A$139:$I$159,9,0)</f>
        <v>13.520000000000003</v>
      </c>
      <c r="CS69" s="12">
        <f t="array" ref="CS69">INDEX(CR:CR,MIN(IF(ISNUMBER(CR69:CR265),ROW(CR69:CR265),"")))</f>
        <v>13.520000000000003</v>
      </c>
      <c r="CT69" s="12">
        <f>IF('Données projet'!$A$140&gt;35,CT68+CS69-DB68,IF(A69&lt;'Données projet'!$A$140,$CQ$205^A69,IF(A69='Données projet'!$A$140,'Données projet'!$B$140,CT68+CS69-DB68)))</f>
        <v>388.92</v>
      </c>
      <c r="CU69" s="17">
        <f>CT69*VLOOKUP('Données projet'!$B$13,Paramètres!$A$1:$I$89,3,0)*VLOOKUP('Données projet'!$B$13,Paramètres!$A$1:$I$89,5,0)</f>
        <v>394.36488000000008</v>
      </c>
      <c r="CV69" s="13">
        <f t="shared" ref="CV69:CV132" si="95">EXP(-1.0587+0.8836*LN(CU69)+0.284)</f>
        <v>90.633289480086219</v>
      </c>
      <c r="CW69" s="20">
        <f t="shared" si="67"/>
        <v>844.70514517781703</v>
      </c>
      <c r="CX69" s="59">
        <f t="shared" si="68"/>
        <v>1138.0384785111503</v>
      </c>
      <c r="CY69" s="59">
        <f ca="1">AVERAGE(OFFSET($CX$3,0,0,'Données projet'!$E$13+1,1))-AVERAGE(OFFSET($H$3,0,0,'Données projet'!$E$13+1,1))</f>
        <v>773.15074145293738</v>
      </c>
      <c r="CZ69" s="59">
        <f t="shared" ref="CZ69:CZ132" si="96">$CZ$3</f>
        <v>248.49577986312505</v>
      </c>
      <c r="DA69" s="15">
        <f>IF(ISNA(VLOOKUP(A69,'Données projet'!$A$139:$I$159,3,0)),0,VLOOKUP(A69,'Données projet'!$A$139:$I$159,3,0))</f>
        <v>5</v>
      </c>
      <c r="DB69" s="15">
        <f>IF(ISNA(VLOOKUP(A69,'Données projet'!$A$139:$I$159,4,0)),0,VLOOKUP(A69,'Données projet'!$A$139:$I$159,4,0))</f>
        <v>76.480000000000018</v>
      </c>
      <c r="DC69" s="16">
        <f>IF(ISNA(VLOOKUP(A69,'Données projet'!$A$139:$I$159,5,0)),0%,VLOOKUP(A69,'Données projet'!$A$139:$I$159,5,0)*VLOOKUP('Données projet'!$B$13,Paramètres!$A$1:$I$89,7,0))</f>
        <v>0.15049999999999999</v>
      </c>
      <c r="DD69" s="16">
        <f>IF(ISNA(VLOOKUP(A69,'Données projet'!$A$139:$I$159,6,0)),0%,VLOOKUP(A69,'Données projet'!$A$139:$I$159,6,0)*VLOOKUP('Données projet'!$B$13,Paramètres!$A$1:$I$89,7,0))</f>
        <v>8.6000000000000007E-2</v>
      </c>
      <c r="DE69" s="16">
        <f>IF(ISNA(VLOOKUP(A69,'Données projet'!$A$139:$I$159,7,0)),0%,VLOOKUP(A69,'Données projet'!$A$139:$I$159,7,0))</f>
        <v>0.1</v>
      </c>
      <c r="DF69" s="21">
        <f>EXP(-LN(2)/35)*DF68+(1-EXP(-LN(2)/35))/(LN(2)/35)*DB69*DC69*VLOOKUP('Données projet'!$B$13,Paramètres!$A$1:$I$89,3,0)*0.475*44/12</f>
        <v>22.379405831269814</v>
      </c>
      <c r="DG69" s="21">
        <f>EXP(-LN(2)/25)*DG68+(1-EXP(-LN(2)/25))/(LN(2)/25)*Calculateur!DB69*Calculateur!DD69*VLOOKUP('Données projet'!$B$13,Paramètres!$A$1:$I$89,3,0)*0.475*44/12</f>
        <v>47.112680112509793</v>
      </c>
      <c r="DH69" s="21">
        <f>EXP(-LN(2)/2)*DH68+(1-EXP(-LN(2)/2))/(LN(2)/2)*DB69*DE69*VLOOKUP('Données projet'!$B$13,Paramètres!$A$1:$I$89,3,0)*0.475*44/12</f>
        <v>7.7663849774261831</v>
      </c>
      <c r="DI69" s="22">
        <f t="shared" si="69"/>
        <v>77.258470921205799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11.327500000000001</v>
      </c>
      <c r="DO69" s="12">
        <f>IF('Données projet'!$A$166&gt;35,DO68+DN69-DW68,IF(A69&lt;'Données projet'!$A$166,$DL$205^A69,IF(A69='Données projet'!$A$166,'Données projet'!$B$166,DO68+DN69-DW68)))</f>
        <v>293.5625</v>
      </c>
      <c r="DP69" s="17">
        <f>DO69*VLOOKUP('Données projet'!$B$14,Paramètres!$A$1:$I$89,3,0)*VLOOKUP('Données projet'!$B$14,Paramètres!$A$1:$I$89,5,0)</f>
        <v>137.38724999999999</v>
      </c>
      <c r="DQ69" s="13">
        <f t="shared" ref="DQ69:DQ132" si="97">EXP(-1.0587+0.8836*LN(DP69)+0.284)</f>
        <v>35.697806485924644</v>
      </c>
      <c r="DR69" s="20">
        <f t="shared" si="70"/>
        <v>301.4564733796521</v>
      </c>
      <c r="DS69" s="59">
        <f t="shared" si="71"/>
        <v>594.78980671298541</v>
      </c>
      <c r="DT69" s="59">
        <f ca="1">AVERAGE(OFFSET($DS$3,0,0,'Données projet'!$E$14+1,1))-AVERAGE(OFFSET($H$3,0,0,'Données projet'!$E$14+1,1))</f>
        <v>293.15557501692803</v>
      </c>
      <c r="DU69" s="59">
        <f t="shared" ref="DU69:DU132" si="98">$DU$3</f>
        <v>237.1930412773068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28.75822447820271</v>
      </c>
      <c r="EB69" s="21">
        <f>EXP(-LN(2)/25)*EB68+(1-EXP(-LN(2)/25))/(LN(2)/25)*Calculateur!DW69*Calculateur!DY69*VLOOKUP('Données projet'!$B$14,Paramètres!$A$1:$I$89,3,0)*0.475*44/12</f>
        <v>15.668842441773943</v>
      </c>
      <c r="EC69" s="21">
        <f>EXP(-LN(2)/2)*EC68+(1-EXP(-LN(2)/2))/(LN(2)/2)*DW69*DZ69*VLOOKUP('Données projet'!$B$14,Paramètres!$A$1:$I$89,3,0)*0.475*44/12</f>
        <v>4.4439769254303991</v>
      </c>
      <c r="ED69" s="22">
        <f t="shared" si="72"/>
        <v>48.871043845407051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-1.7053025658242404E-13</v>
      </c>
      <c r="EK69" s="17">
        <f>EJ69*VLOOKUP('Données projet'!$B$15,Paramètres!$A$1:$I$89,3,0)*VLOOKUP('Données projet'!$B$15,Paramètres!$A$1:$I$89,5,0)</f>
        <v>-1.0197709343628959E-13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225.86663363047296</v>
      </c>
      <c r="EP69" s="59">
        <f t="shared" ref="EP69:EP132" si="100">$EP$3</f>
        <v>258.08349727304397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94.437413694901792</v>
      </c>
      <c r="EW69" s="21">
        <f>EXP(-LN(2)/25)*EW68+(1-EXP(-LN(2)/25))/(LN(2)/25)*Calculateur!ER69*Calculateur!ET69*VLOOKUP('Données projet'!$B$15,Paramètres!$A$1:$I$89,3,0)*0.475*44/12</f>
        <v>33.455623831175558</v>
      </c>
      <c r="EX69" s="21">
        <f>EXP(-LN(2)/2)*EX68+(1-EXP(-LN(2)/2))/(LN(2)/2)*ER69*EU69*VLOOKUP('Données projet'!$B$15,Paramètres!$A$1:$I$89,3,0)*0.475*44/12</f>
        <v>11.17973155960213</v>
      </c>
      <c r="EY69" s="22">
        <f t="shared" si="75"/>
        <v>139.07276908567948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388.12151914648013</v>
      </c>
      <c r="T70" s="59">
        <f t="shared" si="88"/>
        <v>481.43684454382793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143.1730997941616</v>
      </c>
      <c r="AA70" s="21">
        <f>EXP(-LN(2)/25)*AA69+(1-EXP(-LN(2)/25))/(LN(2)/25)*Calculateur!V70*Calculateur!X70*VLOOKUP('Données projet'!$B$9,Paramètres!$A$1:$I$89,3,0)*0.475*44/12</f>
        <v>45.458348078310046</v>
      </c>
      <c r="AB70" s="21">
        <f>EXP(-LN(2)/2)*AB69+(1-EXP(-LN(2)/2))/(LN(2)/2)*V70*Y70*VLOOKUP('Données projet'!$B$9,Paramètres!$A$1:$I$89,3,0)*0.475*44/12</f>
        <v>1.7082001018714768</v>
      </c>
      <c r="AC70" s="22">
        <f t="shared" si="57"/>
        <v>190.33964797434314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454.37899999999979</v>
      </c>
      <c r="AJ70" s="13">
        <f>AI70*VLOOKUP('Données projet'!$B$10,Paramètres!$A$1:$I$89,3,0)*VLOOKUP('Données projet'!$B$10,Paramètres!$A$1:$I$89,5,0)</f>
        <v>271.71864199999993</v>
      </c>
      <c r="AK70" s="13">
        <f t="shared" si="89"/>
        <v>65.213873692530555</v>
      </c>
      <c r="AL70" s="20">
        <f t="shared" si="58"/>
        <v>586.82413149782394</v>
      </c>
      <c r="AM70" s="59">
        <f t="shared" si="59"/>
        <v>880.15746483115731</v>
      </c>
      <c r="AN70" s="59">
        <f ca="1">AVERAGE(OFFSET($AM$3,0,0,'Données projet'!$E$10+1,1))-AVERAGE(OFFSET($H$3,0,0,'Données projet'!$E$10+1,1))</f>
        <v>349.71285006949597</v>
      </c>
      <c r="AO70" s="59">
        <f t="shared" si="90"/>
        <v>258.51550516456842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38.753216131566518</v>
      </c>
      <c r="AV70" s="21">
        <f>EXP(-LN(2)/25)*AV69+(1-EXP(-LN(2)/25))/(LN(2)/25)*Calculateur!AQ70*Calculateur!AS70*VLOOKUP('Données projet'!$B$10,Paramètres!$A$1:$I$89,3,0)*0.475*44/12</f>
        <v>15.923035648190211</v>
      </c>
      <c r="AW70" s="21">
        <f>EXP(-LN(2)/2)*AW69+(1-EXP(-LN(2)/2))/(LN(2)/2)*AQ70*AT70*VLOOKUP('Données projet'!$B$10,Paramètres!$A$1:$I$89,3,0)*0.475*44/12</f>
        <v>0.86348682667800292</v>
      </c>
      <c r="AX70" s="21">
        <f t="shared" si="60"/>
        <v>55.539738606434732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2.9487179487179476</v>
      </c>
      <c r="BD70" s="12">
        <f>IF('Données projet'!$A$88&gt;35,BD69+BC70-BL69,IF(A70&lt;'Données projet'!$A$88,$BA$205^A70,IF(A70='Données projet'!$A$88,'Données projet'!$B$88,BD69+BC70-BL69)))</f>
        <v>132.17948717948724</v>
      </c>
      <c r="BE70" s="13">
        <f>BD70*VLOOKUP('Données projet'!$B$11,Paramètres!$A$1:$I$89,3,0)*VLOOKUP('Données projet'!$B$11,Paramètres!$A$1:$I$89,5,0)</f>
        <v>138.15400000000008</v>
      </c>
      <c r="BF70" s="13">
        <f t="shared" si="91"/>
        <v>35.873786682299354</v>
      </c>
      <c r="BG70" s="20">
        <f t="shared" si="61"/>
        <v>303.09839513833816</v>
      </c>
      <c r="BH70" s="59">
        <f t="shared" si="62"/>
        <v>596.43172847167148</v>
      </c>
      <c r="BI70" s="59">
        <f ca="1">AVERAGE(OFFSET($BH$3,0,0,'Données projet'!$E$11+1,1))-AVERAGE(OFFSET($H$3,0,0,'Données projet'!$E$11+1,1))</f>
        <v>260.74709892624571</v>
      </c>
      <c r="BJ70" s="59">
        <f t="shared" si="92"/>
        <v>237.17381692184887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1.5217036620772608</v>
      </c>
      <c r="BQ70" s="21">
        <f>EXP(-LN(2)/25)*BQ69+(1-EXP(-LN(2)/25))/(LN(2)/25)*Calculateur!BL70*Calculateur!BN70*VLOOKUP('Données projet'!$B$11,Paramètres!$A$1:$I$89,3,0)*0.475*44/12</f>
        <v>18.71544293544753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20.237146597524792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12.795000000000002</v>
      </c>
      <c r="BY70" s="12">
        <f>IF('Données projet'!$A$114&gt;35,BY69+BX70-CG69,IF(A70&lt;'Données projet'!$A$114,$BV$205^A70,IF(A70='Données projet'!$A$114,'Données projet'!$B$114,BY69+BX70-CG69)))</f>
        <v>325.23500000000001</v>
      </c>
      <c r="BZ70" s="13">
        <f>BY70*VLOOKUP('Données projet'!$B$12,Paramètres!$A$1:$I$89,3,0)*VLOOKUP('Données projet'!$B$12,Paramètres!$A$1:$I$89,5,0)</f>
        <v>294.272628</v>
      </c>
      <c r="CA70" s="13">
        <f t="shared" si="93"/>
        <v>69.974442654220198</v>
      </c>
      <c r="CB70" s="20">
        <f t="shared" si="64"/>
        <v>634.39698138943356</v>
      </c>
      <c r="CC70" s="59">
        <f t="shared" si="65"/>
        <v>927.73031472276693</v>
      </c>
      <c r="CD70" s="59">
        <f ca="1">AVERAGE(OFFSET($CC$3,0,0,'Données projet'!$E$12+1,1))-AVERAGE(OFFSET($H$3,0,0,'Données projet'!$E$12+1,1))</f>
        <v>695.0879239758051</v>
      </c>
      <c r="CE70" s="59">
        <f t="shared" si="94"/>
        <v>226.22150997227476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19.577729866376664</v>
      </c>
      <c r="CL70" s="21">
        <f>EXP(-LN(2)/25)*CL69+(1-EXP(-LN(2)/25))/(LN(2)/25)*Calculateur!CG70*Calculateur!CI70*VLOOKUP('Données projet'!$B$12,Paramètres!$A$1:$I$89,3,0)*0.475*44/12</f>
        <v>40.889448016038969</v>
      </c>
      <c r="CM70" s="21">
        <f>EXP(-LN(2)/2)*CM69+(1-EXP(-LN(2)/2))/(LN(2)/2)*CG70*CJ70*VLOOKUP('Données projet'!$B$12,Paramètres!$A$1:$I$89,3,0)*0.475*44/12</f>
        <v>4.900253569306404</v>
      </c>
      <c r="CN70" s="22">
        <f t="shared" si="66"/>
        <v>65.367431451722041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12.795000000000002</v>
      </c>
      <c r="CT70" s="12">
        <f>IF('Données projet'!$A$140&gt;35,CT69+CS70-DB69,IF(A70&lt;'Données projet'!$A$140,$CQ$205^A70,IF(A70='Données projet'!$A$140,'Données projet'!$B$140,CT69+CS70-DB69)))</f>
        <v>325.23500000000001</v>
      </c>
      <c r="CU70" s="17">
        <f>CT70*VLOOKUP('Données projet'!$B$13,Paramètres!$A$1:$I$89,3,0)*VLOOKUP('Données projet'!$B$13,Paramètres!$A$1:$I$89,5,0)</f>
        <v>329.78829000000007</v>
      </c>
      <c r="CV70" s="13">
        <f t="shared" si="95"/>
        <v>77.386412648121677</v>
      </c>
      <c r="CW70" s="20">
        <f t="shared" si="67"/>
        <v>709.16260711214545</v>
      </c>
      <c r="CX70" s="59">
        <f t="shared" si="68"/>
        <v>1002.4959404454787</v>
      </c>
      <c r="CY70" s="59">
        <f ca="1">AVERAGE(OFFSET($CX$3,0,0,'Données projet'!$E$13+1,1))-AVERAGE(OFFSET($H$3,0,0,'Données projet'!$E$13+1,1))</f>
        <v>773.15074145293738</v>
      </c>
      <c r="CZ70" s="59">
        <f t="shared" si="96"/>
        <v>248.49577986312505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21.940559333008334</v>
      </c>
      <c r="DG70" s="21">
        <f>EXP(-LN(2)/25)*DG69+(1-EXP(-LN(2)/25))/(LN(2)/25)*Calculateur!DB70*Calculateur!DD70*VLOOKUP('Données projet'!$B$13,Paramètres!$A$1:$I$89,3,0)*0.475*44/12</f>
        <v>45.824381397285045</v>
      </c>
      <c r="DH70" s="21">
        <f>EXP(-LN(2)/2)*DH69+(1-EXP(-LN(2)/2))/(LN(2)/2)*DB70*DE70*VLOOKUP('Données projet'!$B$13,Paramètres!$A$1:$I$89,3,0)*0.475*44/12</f>
        <v>5.4916634828433866</v>
      </c>
      <c r="DI70" s="22">
        <f t="shared" si="69"/>
        <v>73.256604213136768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11.327500000000001</v>
      </c>
      <c r="DO70" s="12">
        <f>IF('Données projet'!$A$166&gt;35,DO69+DN70-DW69,IF(A70&lt;'Données projet'!$A$166,$DL$205^A70,IF(A70='Données projet'!$A$166,'Données projet'!$B$166,DO69+DN70-DW69)))</f>
        <v>304.89</v>
      </c>
      <c r="DP70" s="17">
        <f>DO70*VLOOKUP('Données projet'!$B$14,Paramètres!$A$1:$I$89,3,0)*VLOOKUP('Données projet'!$B$14,Paramètres!$A$1:$I$89,5,0)</f>
        <v>142.68851999999998</v>
      </c>
      <c r="DQ70" s="13">
        <f t="shared" si="97"/>
        <v>36.912224176610735</v>
      </c>
      <c r="DR70" s="20">
        <f t="shared" si="70"/>
        <v>312.80462944093028</v>
      </c>
      <c r="DS70" s="59">
        <f t="shared" si="71"/>
        <v>606.13796277426354</v>
      </c>
      <c r="DT70" s="59">
        <f ca="1">AVERAGE(OFFSET($DS$3,0,0,'Données projet'!$E$14+1,1))-AVERAGE(OFFSET($H$3,0,0,'Données projet'!$E$14+1,1))</f>
        <v>293.15557501692803</v>
      </c>
      <c r="DU70" s="59">
        <f t="shared" si="98"/>
        <v>237.1930412773068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28.194293236970079</v>
      </c>
      <c r="EB70" s="21">
        <f>EXP(-LN(2)/25)*EB69+(1-EXP(-LN(2)/25))/(LN(2)/25)*Calculateur!DW70*Calculateur!DY70*VLOOKUP('Données projet'!$B$14,Paramètres!$A$1:$I$89,3,0)*0.475*44/12</f>
        <v>15.240377121215023</v>
      </c>
      <c r="EC70" s="21">
        <f>EXP(-LN(2)/2)*EC69+(1-EXP(-LN(2)/2))/(LN(2)/2)*DW70*DZ70*VLOOKUP('Données projet'!$B$14,Paramètres!$A$1:$I$89,3,0)*0.475*44/12</f>
        <v>3.1423662194083795</v>
      </c>
      <c r="ED70" s="22">
        <f t="shared" si="72"/>
        <v>46.577036577593482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-1.7053025658242404E-13</v>
      </c>
      <c r="EK70" s="17">
        <f>EJ70*VLOOKUP('Données projet'!$B$15,Paramètres!$A$1:$I$89,3,0)*VLOOKUP('Données projet'!$B$15,Paramètres!$A$1:$I$89,5,0)</f>
        <v>-1.0197709343628959E-13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225.86663363047296</v>
      </c>
      <c r="EP70" s="59">
        <f t="shared" si="100"/>
        <v>258.08349727304397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92.585553613479476</v>
      </c>
      <c r="EW70" s="21">
        <f>EXP(-LN(2)/25)*EW69+(1-EXP(-LN(2)/25))/(LN(2)/25)*Calculateur!ER70*Calculateur!ET70*VLOOKUP('Données projet'!$B$15,Paramètres!$A$1:$I$89,3,0)*0.475*44/12</f>
        <v>32.540778038157271</v>
      </c>
      <c r="EX70" s="21">
        <f>EXP(-LN(2)/2)*EX69+(1-EXP(-LN(2)/2))/(LN(2)/2)*ER70*EU70*VLOOKUP('Données projet'!$B$15,Paramètres!$A$1:$I$89,3,0)*0.475*44/12</f>
        <v>7.9052639976399242</v>
      </c>
      <c r="EY70" s="22">
        <f t="shared" si="75"/>
        <v>133.03159564927668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388.12151914648013</v>
      </c>
      <c r="T71" s="59">
        <f t="shared" si="88"/>
        <v>481.43684454382793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140.36556263416614</v>
      </c>
      <c r="AA71" s="21">
        <f>EXP(-LN(2)/25)*AA70+(1-EXP(-LN(2)/25))/(LN(2)/25)*Calculateur!V71*Calculateur!X71*VLOOKUP('Données projet'!$B$9,Paramètres!$A$1:$I$89,3,0)*0.475*44/12</f>
        <v>44.215287159558031</v>
      </c>
      <c r="AB71" s="21">
        <f>EXP(-LN(2)/2)*AB70+(1-EXP(-LN(2)/2))/(LN(2)/2)*V71*Y71*VLOOKUP('Données projet'!$B$9,Paramètres!$A$1:$I$89,3,0)*0.475*44/12</f>
        <v>1.2078798756568725</v>
      </c>
      <c r="AC71" s="22">
        <f t="shared" si="57"/>
        <v>185.78872966938104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466.27599999999978</v>
      </c>
      <c r="AJ71" s="13">
        <f>AI71*VLOOKUP('Données projet'!$B$10,Paramètres!$A$1:$I$89,3,0)*VLOOKUP('Données projet'!$B$10,Paramètres!$A$1:$I$89,5,0)</f>
        <v>278.83304799999985</v>
      </c>
      <c r="AK71" s="13">
        <f t="shared" si="89"/>
        <v>66.720338466956676</v>
      </c>
      <c r="AL71" s="20">
        <f t="shared" si="58"/>
        <v>601.83881476328258</v>
      </c>
      <c r="AM71" s="59">
        <f t="shared" si="59"/>
        <v>895.17214809661596</v>
      </c>
      <c r="AN71" s="59">
        <f ca="1">AVERAGE(OFFSET($AM$3,0,0,'Données projet'!$E$10+1,1))-AVERAGE(OFFSET($H$3,0,0,'Données projet'!$E$10+1,1))</f>
        <v>349.71285006949597</v>
      </c>
      <c r="AO71" s="59">
        <f t="shared" si="90"/>
        <v>258.51550516456842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37.993289200354369</v>
      </c>
      <c r="AV71" s="21">
        <f>EXP(-LN(2)/25)*AV70+(1-EXP(-LN(2)/25))/(LN(2)/25)*Calculateur!AQ71*Calculateur!AS71*VLOOKUP('Données projet'!$B$10,Paramètres!$A$1:$I$89,3,0)*0.475*44/12</f>
        <v>15.487619401034397</v>
      </c>
      <c r="AW71" s="21">
        <f>EXP(-LN(2)/2)*AW70+(1-EXP(-LN(2)/2))/(LN(2)/2)*AQ71*AT71*VLOOKUP('Données projet'!$B$10,Paramètres!$A$1:$I$89,3,0)*0.475*44/12</f>
        <v>0.61057739060926897</v>
      </c>
      <c r="AX71" s="21">
        <f t="shared" si="60"/>
        <v>54.091485991998034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2.9487179487179476</v>
      </c>
      <c r="BD71" s="12">
        <f>IF('Données projet'!$A$88&gt;35,BD70+BC71-BL70,IF(A71&lt;'Données projet'!$A$88,$BA$205^A71,IF(A71='Données projet'!$A$88,'Données projet'!$B$88,BD70+BC71-BL70)))</f>
        <v>135.1282051282052</v>
      </c>
      <c r="BE71" s="13">
        <f>BD71*VLOOKUP('Données projet'!$B$11,Paramètres!$A$1:$I$89,3,0)*VLOOKUP('Données projet'!$B$11,Paramètres!$A$1:$I$89,5,0)</f>
        <v>141.23600000000008</v>
      </c>
      <c r="BF71" s="13">
        <f t="shared" si="91"/>
        <v>36.580010725228504</v>
      </c>
      <c r="BG71" s="20">
        <f t="shared" si="61"/>
        <v>309.69621867977315</v>
      </c>
      <c r="BH71" s="59">
        <f t="shared" si="62"/>
        <v>603.02955201310647</v>
      </c>
      <c r="BI71" s="59">
        <f ca="1">AVERAGE(OFFSET($BH$3,0,0,'Données projet'!$E$11+1,1))-AVERAGE(OFFSET($H$3,0,0,'Données projet'!$E$11+1,1))</f>
        <v>260.74709892624571</v>
      </c>
      <c r="BJ71" s="59">
        <f t="shared" si="92"/>
        <v>237.17381692184887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1.4918639814115127</v>
      </c>
      <c r="BQ71" s="21">
        <f>EXP(-LN(2)/25)*BQ70+(1-EXP(-LN(2)/25))/(LN(2)/25)*Calculateur!BL71*Calculateur!BN71*VLOOKUP('Données projet'!$B$11,Paramètres!$A$1:$I$89,3,0)*0.475*44/12</f>
        <v>18.203668164175347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19.69553214558686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12.795000000000002</v>
      </c>
      <c r="BY71" s="12">
        <f>IF('Données projet'!$A$114&gt;35,BY70+BX71-CG70,IF(A71&lt;'Données projet'!$A$114,$BV$205^A71,IF(A71='Données projet'!$A$114,'Données projet'!$B$114,BY70+BX71-CG70)))</f>
        <v>338.03000000000003</v>
      </c>
      <c r="BZ71" s="13">
        <f>BY71*VLOOKUP('Données projet'!$B$12,Paramètres!$A$1:$I$89,3,0)*VLOOKUP('Données projet'!$B$12,Paramètres!$A$1:$I$89,5,0)</f>
        <v>305.84954400000004</v>
      </c>
      <c r="CA71" s="13">
        <f t="shared" si="93"/>
        <v>72.401370969152978</v>
      </c>
      <c r="CB71" s="20">
        <f t="shared" si="64"/>
        <v>658.78701023794144</v>
      </c>
      <c r="CC71" s="59">
        <f t="shared" si="65"/>
        <v>952.12034357127482</v>
      </c>
      <c r="CD71" s="59">
        <f ca="1">AVERAGE(OFFSET($CC$3,0,0,'Données projet'!$E$12+1,1))-AVERAGE(OFFSET($H$3,0,0,'Données projet'!$E$12+1,1))</f>
        <v>695.0879239758051</v>
      </c>
      <c r="CE71" s="59">
        <f t="shared" si="94"/>
        <v>226.22150997227476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19.193822524933136</v>
      </c>
      <c r="CL71" s="21">
        <f>EXP(-LN(2)/25)*CL70+(1-EXP(-LN(2)/25))/(LN(2)/25)*Calculateur!CG71*Calculateur!CI71*VLOOKUP('Données projet'!$B$12,Paramètres!$A$1:$I$89,3,0)*0.475*44/12</f>
        <v>39.771323909757768</v>
      </c>
      <c r="CM71" s="21">
        <f>EXP(-LN(2)/2)*CM70+(1-EXP(-LN(2)/2))/(LN(2)/2)*CG71*CJ71*VLOOKUP('Données projet'!$B$12,Paramètres!$A$1:$I$89,3,0)*0.475*44/12</f>
        <v>3.465002528390142</v>
      </c>
      <c r="CN71" s="22">
        <f t="shared" si="66"/>
        <v>62.430148963081052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12.795000000000002</v>
      </c>
      <c r="CT71" s="12">
        <f>IF('Données projet'!$A$140&gt;35,CT70+CS71-DB70,IF(A71&lt;'Données projet'!$A$140,$CQ$205^A71,IF(A71='Données projet'!$A$140,'Données projet'!$B$140,CT70+CS71-DB70)))</f>
        <v>338.03000000000003</v>
      </c>
      <c r="CU71" s="17">
        <f>CT71*VLOOKUP('Données projet'!$B$13,Paramètres!$A$1:$I$89,3,0)*VLOOKUP('Données projet'!$B$13,Paramètres!$A$1:$I$89,5,0)</f>
        <v>342.76242000000008</v>
      </c>
      <c r="CV71" s="13">
        <f t="shared" si="95"/>
        <v>80.070410818351789</v>
      </c>
      <c r="CW71" s="20">
        <f t="shared" si="67"/>
        <v>736.43384700862953</v>
      </c>
      <c r="CX71" s="59">
        <f t="shared" si="68"/>
        <v>1029.7671803419628</v>
      </c>
      <c r="CY71" s="59">
        <f ca="1">AVERAGE(OFFSET($CX$3,0,0,'Données projet'!$E$13+1,1))-AVERAGE(OFFSET($H$3,0,0,'Données projet'!$E$13+1,1))</f>
        <v>773.15074145293738</v>
      </c>
      <c r="CZ71" s="59">
        <f t="shared" si="96"/>
        <v>248.49577986312505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21.51031834690783</v>
      </c>
      <c r="DG71" s="21">
        <f>EXP(-LN(2)/25)*DG70+(1-EXP(-LN(2)/25))/(LN(2)/25)*Calculateur!DB71*Calculateur!DD71*VLOOKUP('Données projet'!$B$13,Paramètres!$A$1:$I$89,3,0)*0.475*44/12</f>
        <v>44.5713112781768</v>
      </c>
      <c r="DH71" s="21">
        <f>EXP(-LN(2)/2)*DH70+(1-EXP(-LN(2)/2))/(LN(2)/2)*DB71*DE71*VLOOKUP('Données projet'!$B$13,Paramètres!$A$1:$I$89,3,0)*0.475*44/12</f>
        <v>3.8831924887130924</v>
      </c>
      <c r="DI71" s="22">
        <f t="shared" si="69"/>
        <v>69.964822113797723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11.327500000000001</v>
      </c>
      <c r="DO71" s="12">
        <f>IF('Données projet'!$A$166&gt;35,DO70+DN71-DW70,IF(A71&lt;'Données projet'!$A$166,$DL$205^A71,IF(A71='Données projet'!$A$166,'Données projet'!$B$166,DO70+DN71-DW70)))</f>
        <v>316.21749999999997</v>
      </c>
      <c r="DP71" s="17">
        <f>DO71*VLOOKUP('Données projet'!$B$14,Paramètres!$A$1:$I$89,3,0)*VLOOKUP('Données projet'!$B$14,Paramètres!$A$1:$I$89,5,0)</f>
        <v>147.98979</v>
      </c>
      <c r="DQ71" s="13">
        <f t="shared" si="97"/>
        <v>38.121400087534369</v>
      </c>
      <c r="DR71" s="20">
        <f t="shared" si="70"/>
        <v>324.1436560691223</v>
      </c>
      <c r="DS71" s="59">
        <f t="shared" si="71"/>
        <v>617.47698940245562</v>
      </c>
      <c r="DT71" s="59">
        <f ca="1">AVERAGE(OFFSET($DS$3,0,0,'Données projet'!$E$14+1,1))-AVERAGE(OFFSET($H$3,0,0,'Données projet'!$E$14+1,1))</f>
        <v>293.15557501692803</v>
      </c>
      <c r="DU71" s="59">
        <f t="shared" si="98"/>
        <v>237.1930412773068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27.641420343413927</v>
      </c>
      <c r="EB71" s="21">
        <f>EXP(-LN(2)/25)*EB70+(1-EXP(-LN(2)/25))/(LN(2)/25)*Calculateur!DW71*Calculateur!DY71*VLOOKUP('Données projet'!$B$14,Paramètres!$A$1:$I$89,3,0)*0.475*44/12</f>
        <v>14.823628207378798</v>
      </c>
      <c r="EC71" s="21">
        <f>EXP(-LN(2)/2)*EC70+(1-EXP(-LN(2)/2))/(LN(2)/2)*DW71*DZ71*VLOOKUP('Données projet'!$B$14,Paramètres!$A$1:$I$89,3,0)*0.475*44/12</f>
        <v>2.2219884627151996</v>
      </c>
      <c r="ED71" s="22">
        <f t="shared" si="72"/>
        <v>44.687037013507926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-1.7053025658242404E-13</v>
      </c>
      <c r="EK71" s="17">
        <f>EJ71*VLOOKUP('Données projet'!$B$15,Paramètres!$A$1:$I$89,3,0)*VLOOKUP('Données projet'!$B$15,Paramètres!$A$1:$I$89,5,0)</f>
        <v>-1.0197709343628959E-13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225.86663363047296</v>
      </c>
      <c r="EP71" s="59">
        <f t="shared" si="100"/>
        <v>258.08349727304397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90.770007378730739</v>
      </c>
      <c r="EW71" s="21">
        <f>EXP(-LN(2)/25)*EW70+(1-EXP(-LN(2)/25))/(LN(2)/25)*Calculateur!ER71*Calculateur!ET71*VLOOKUP('Données projet'!$B$15,Paramètres!$A$1:$I$89,3,0)*0.475*44/12</f>
        <v>31.650948751458717</v>
      </c>
      <c r="EX71" s="21">
        <f>EXP(-LN(2)/2)*EX70+(1-EXP(-LN(2)/2))/(LN(2)/2)*ER71*EU71*VLOOKUP('Données projet'!$B$15,Paramètres!$A$1:$I$89,3,0)*0.475*44/12</f>
        <v>5.589865779801066</v>
      </c>
      <c r="EY71" s="22">
        <f t="shared" si="75"/>
        <v>128.01082190999051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388.12151914648013</v>
      </c>
      <c r="T72" s="59">
        <f t="shared" si="88"/>
        <v>481.43684454382793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137.61307956544962</v>
      </c>
      <c r="AA72" s="21">
        <f>EXP(-LN(2)/25)*AA71+(1-EXP(-LN(2)/25))/(LN(2)/25)*Calculateur!V72*Calculateur!X72*VLOOKUP('Données projet'!$B$9,Paramètres!$A$1:$I$89,3,0)*0.475*44/12</f>
        <v>43.006217806999018</v>
      </c>
      <c r="AB72" s="21">
        <f>EXP(-LN(2)/2)*AB71+(1-EXP(-LN(2)/2))/(LN(2)/2)*V72*Y72*VLOOKUP('Données projet'!$B$9,Paramètres!$A$1:$I$89,3,0)*0.475*44/12</f>
        <v>0.85410005093573838</v>
      </c>
      <c r="AC72" s="22">
        <f t="shared" si="57"/>
        <v>181.47339742338437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478.17299999999977</v>
      </c>
      <c r="AJ72" s="13">
        <f>AI72*VLOOKUP('Données projet'!$B$10,Paramètres!$A$1:$I$89,3,0)*VLOOKUP('Données projet'!$B$10,Paramètres!$A$1:$I$89,5,0)</f>
        <v>285.94745399999988</v>
      </c>
      <c r="AK72" s="13">
        <f t="shared" si="89"/>
        <v>68.222335259457765</v>
      </c>
      <c r="AL72" s="20">
        <f t="shared" si="58"/>
        <v>616.84571629355526</v>
      </c>
      <c r="AM72" s="59">
        <f t="shared" si="59"/>
        <v>910.17904962688863</v>
      </c>
      <c r="AN72" s="59">
        <f ca="1">AVERAGE(OFFSET($AM$3,0,0,'Données projet'!$E$10+1,1))-AVERAGE(OFFSET($H$3,0,0,'Données projet'!$E$10+1,1))</f>
        <v>349.71285006949597</v>
      </c>
      <c r="AO72" s="59">
        <f t="shared" si="90"/>
        <v>258.51550516456842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37.248263972753627</v>
      </c>
      <c r="AV72" s="21">
        <f>EXP(-LN(2)/25)*AV71+(1-EXP(-LN(2)/25))/(LN(2)/25)*Calculateur!AQ72*Calculateur!AS72*VLOOKUP('Données projet'!$B$10,Paramètres!$A$1:$I$89,3,0)*0.475*44/12</f>
        <v>15.064109634054605</v>
      </c>
      <c r="AW72" s="21">
        <f>EXP(-LN(2)/2)*AW71+(1-EXP(-LN(2)/2))/(LN(2)/2)*AQ72*AT72*VLOOKUP('Données projet'!$B$10,Paramètres!$A$1:$I$89,3,0)*0.475*44/12</f>
        <v>0.43174341333900151</v>
      </c>
      <c r="AX72" s="21">
        <f t="shared" si="60"/>
        <v>52.744117020147229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2.9487179487179476</v>
      </c>
      <c r="BD72" s="12">
        <f>IF('Données projet'!$A$88&gt;35,BD71+BC72-BL71,IF(A72&lt;'Données projet'!$A$88,$BA$205^A72,IF(A72='Données projet'!$A$88,'Données projet'!$B$88,BD71+BC72-BL71)))</f>
        <v>138.07692307692315</v>
      </c>
      <c r="BE72" s="13">
        <f>BD72*VLOOKUP('Données projet'!$B$11,Paramètres!$A$1:$I$89,3,0)*VLOOKUP('Données projet'!$B$11,Paramètres!$A$1:$I$89,5,0)</f>
        <v>144.3180000000001</v>
      </c>
      <c r="BF72" s="13">
        <f t="shared" si="91"/>
        <v>37.284443058265509</v>
      </c>
      <c r="BG72" s="20">
        <f t="shared" si="61"/>
        <v>316.29092165981257</v>
      </c>
      <c r="BH72" s="59">
        <f t="shared" si="62"/>
        <v>609.62425499314588</v>
      </c>
      <c r="BI72" s="59">
        <f ca="1">AVERAGE(OFFSET($BH$3,0,0,'Données projet'!$E$11+1,1))-AVERAGE(OFFSET($H$3,0,0,'Données projet'!$E$11+1,1))</f>
        <v>260.74709892624571</v>
      </c>
      <c r="BJ72" s="59">
        <f t="shared" si="92"/>
        <v>237.17381692184887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1.4626094386832118</v>
      </c>
      <c r="BQ72" s="21">
        <f>EXP(-LN(2)/25)*BQ71+(1-EXP(-LN(2)/25))/(LN(2)/25)*Calculateur!BL72*Calculateur!BN72*VLOOKUP('Données projet'!$B$11,Paramètres!$A$1:$I$89,3,0)*0.475*44/12</f>
        <v>17.70588790093667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19.168497339619883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12.795000000000002</v>
      </c>
      <c r="BY72" s="12">
        <f>IF('Données projet'!$A$114&gt;35,BY71+BX72-CG71,IF(A72&lt;'Données projet'!$A$114,$BV$205^A72,IF(A72='Données projet'!$A$114,'Données projet'!$B$114,BY71+BX72-CG71)))</f>
        <v>350.82500000000005</v>
      </c>
      <c r="BZ72" s="13">
        <f>BY72*VLOOKUP('Données projet'!$B$12,Paramètres!$A$1:$I$89,3,0)*VLOOKUP('Données projet'!$B$12,Paramètres!$A$1:$I$89,5,0)</f>
        <v>317.42646000000008</v>
      </c>
      <c r="CA72" s="13">
        <f t="shared" si="93"/>
        <v>74.817627226984229</v>
      </c>
      <c r="CB72" s="20">
        <f t="shared" si="64"/>
        <v>683.158451920331</v>
      </c>
      <c r="CC72" s="59">
        <f t="shared" si="65"/>
        <v>976.49178525366437</v>
      </c>
      <c r="CD72" s="59">
        <f ca="1">AVERAGE(OFFSET($CC$3,0,0,'Données projet'!$E$12+1,1))-AVERAGE(OFFSET($H$3,0,0,'Données projet'!$E$12+1,1))</f>
        <v>695.0879239758051</v>
      </c>
      <c r="CE72" s="59">
        <f t="shared" si="94"/>
        <v>226.22150997227476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18.81744337229496</v>
      </c>
      <c r="CL72" s="21">
        <f>EXP(-LN(2)/25)*CL71+(1-EXP(-LN(2)/25))/(LN(2)/25)*Calculateur!CG72*Calculateur!CI72*VLOOKUP('Données projet'!$B$12,Paramètres!$A$1:$I$89,3,0)*0.475*44/12</f>
        <v>38.683774965962414</v>
      </c>
      <c r="CM72" s="21">
        <f>EXP(-LN(2)/2)*CM71+(1-EXP(-LN(2)/2))/(LN(2)/2)*CG72*CJ72*VLOOKUP('Données projet'!$B$12,Paramètres!$A$1:$I$89,3,0)*0.475*44/12</f>
        <v>2.4501267846532024</v>
      </c>
      <c r="CN72" s="22">
        <f t="shared" si="66"/>
        <v>59.951345122910574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12.795000000000002</v>
      </c>
      <c r="CT72" s="12">
        <f>IF('Données projet'!$A$140&gt;35,CT71+CS72-DB71,IF(A72&lt;'Données projet'!$A$140,$CQ$205^A72,IF(A72='Données projet'!$A$140,'Données projet'!$B$140,CT71+CS72-DB71)))</f>
        <v>350.82500000000005</v>
      </c>
      <c r="CU72" s="17">
        <f>CT72*VLOOKUP('Données projet'!$B$13,Paramètres!$A$1:$I$89,3,0)*VLOOKUP('Données projet'!$B$13,Paramètres!$A$1:$I$89,5,0)</f>
        <v>355.73655000000002</v>
      </c>
      <c r="CV72" s="13">
        <f t="shared" si="95"/>
        <v>82.742606504941563</v>
      </c>
      <c r="CW72" s="20">
        <f t="shared" si="67"/>
        <v>763.68453091277308</v>
      </c>
      <c r="CX72" s="59">
        <f t="shared" si="68"/>
        <v>1057.0178642461065</v>
      </c>
      <c r="CY72" s="59">
        <f ca="1">AVERAGE(OFFSET($CX$3,0,0,'Données projet'!$E$13+1,1))-AVERAGE(OFFSET($H$3,0,0,'Données projet'!$E$13+1,1))</f>
        <v>773.15074145293738</v>
      </c>
      <c r="CZ72" s="59">
        <f t="shared" si="96"/>
        <v>248.49577986312505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21.088514124123666</v>
      </c>
      <c r="DG72" s="21">
        <f>EXP(-LN(2)/25)*DG71+(1-EXP(-LN(2)/25))/(LN(2)/25)*Calculateur!DB72*Calculateur!DD72*VLOOKUP('Données projet'!$B$13,Paramètres!$A$1:$I$89,3,0)*0.475*44/12</f>
        <v>43.352506427371665</v>
      </c>
      <c r="DH72" s="21">
        <f>EXP(-LN(2)/2)*DH71+(1-EXP(-LN(2)/2))/(LN(2)/2)*DB72*DE72*VLOOKUP('Données projet'!$B$13,Paramètres!$A$1:$I$89,3,0)*0.475*44/12</f>
        <v>2.7458317414216937</v>
      </c>
      <c r="DI72" s="22">
        <f t="shared" si="69"/>
        <v>67.186852292917024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11.327500000000001</v>
      </c>
      <c r="DO72" s="12">
        <f>IF('Données projet'!$A$166&gt;35,DO71+DN72-DW71,IF(A72&lt;'Données projet'!$A$166,$DL$205^A72,IF(A72='Données projet'!$A$166,'Données projet'!$B$166,DO71+DN72-DW71)))</f>
        <v>327.54499999999996</v>
      </c>
      <c r="DP72" s="17">
        <f>DO72*VLOOKUP('Données projet'!$B$14,Paramètres!$A$1:$I$89,3,0)*VLOOKUP('Données projet'!$B$14,Paramètres!$A$1:$I$89,5,0)</f>
        <v>153.29105999999996</v>
      </c>
      <c r="DQ72" s="13">
        <f t="shared" si="97"/>
        <v>39.325543500070239</v>
      </c>
      <c r="DR72" s="20">
        <f t="shared" si="70"/>
        <v>335.47391776262225</v>
      </c>
      <c r="DS72" s="59">
        <f t="shared" si="71"/>
        <v>628.80725109595551</v>
      </c>
      <c r="DT72" s="59">
        <f ca="1">AVERAGE(OFFSET($DS$3,0,0,'Données projet'!$E$14+1,1))-AVERAGE(OFFSET($H$3,0,0,'Données projet'!$E$14+1,1))</f>
        <v>293.15557501692803</v>
      </c>
      <c r="DU72" s="59">
        <f t="shared" si="98"/>
        <v>237.1930412773068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27.099388950081241</v>
      </c>
      <c r="EB72" s="21">
        <f>EXP(-LN(2)/25)*EB71+(1-EXP(-LN(2)/25))/(LN(2)/25)*Calculateur!DW72*Calculateur!DY72*VLOOKUP('Données projet'!$B$14,Paramètres!$A$1:$I$89,3,0)*0.475*44/12</f>
        <v>14.418275314507298</v>
      </c>
      <c r="EC72" s="21">
        <f>EXP(-LN(2)/2)*EC71+(1-EXP(-LN(2)/2))/(LN(2)/2)*DW72*DZ72*VLOOKUP('Données projet'!$B$14,Paramètres!$A$1:$I$89,3,0)*0.475*44/12</f>
        <v>1.5711831097041897</v>
      </c>
      <c r="ED72" s="22">
        <f t="shared" si="72"/>
        <v>43.088847374292726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-1.7053025658242404E-13</v>
      </c>
      <c r="EK72" s="17">
        <f>EJ72*VLOOKUP('Données projet'!$B$15,Paramètres!$A$1:$I$89,3,0)*VLOOKUP('Données projet'!$B$15,Paramètres!$A$1:$I$89,5,0)</f>
        <v>-1.0197709343628959E-13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225.86663363047296</v>
      </c>
      <c r="EP72" s="59">
        <f t="shared" si="100"/>
        <v>258.08349727304397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88.99006289827156</v>
      </c>
      <c r="EW72" s="21">
        <f>EXP(-LN(2)/25)*EW71+(1-EXP(-LN(2)/25))/(LN(2)/25)*Calculateur!ER72*Calculateur!ET72*VLOOKUP('Données projet'!$B$15,Paramètres!$A$1:$I$89,3,0)*0.475*44/12</f>
        <v>30.785451893399024</v>
      </c>
      <c r="EX72" s="21">
        <f>EXP(-LN(2)/2)*EX71+(1-EXP(-LN(2)/2))/(LN(2)/2)*ER72*EU72*VLOOKUP('Données projet'!$B$15,Paramètres!$A$1:$I$89,3,0)*0.475*44/12</f>
        <v>3.9526319988199625</v>
      </c>
      <c r="EY72" s="22">
        <f t="shared" si="75"/>
        <v>123.72814679049056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388.12151914648013</v>
      </c>
      <c r="T73" s="59">
        <f t="shared" si="88"/>
        <v>481.43684454382793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134.91457101086172</v>
      </c>
      <c r="AA73" s="21">
        <f>EXP(-LN(2)/25)*AA72+(1-EXP(-LN(2)/25))/(LN(2)/25)*Calculateur!V73*Calculateur!X73*VLOOKUP('Données projet'!$B$9,Paramètres!$A$1:$I$89,3,0)*0.475*44/12</f>
        <v>41.830210519467926</v>
      </c>
      <c r="AB73" s="21">
        <f>EXP(-LN(2)/2)*AB72+(1-EXP(-LN(2)/2))/(LN(2)/2)*V73*Y73*VLOOKUP('Données projet'!$B$9,Paramètres!$A$1:$I$89,3,0)*0.475*44/12</f>
        <v>0.60393993782843625</v>
      </c>
      <c r="AC73" s="22">
        <f t="shared" si="57"/>
        <v>177.34872146815809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490.07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490.06999999999977</v>
      </c>
      <c r="AJ73" s="13">
        <f>AI73*VLOOKUP('Données projet'!$B$10,Paramètres!$A$1:$I$89,3,0)*VLOOKUP('Données projet'!$B$10,Paramètres!$A$1:$I$89,5,0)</f>
        <v>293.06185999999991</v>
      </c>
      <c r="AK73" s="13">
        <f t="shared" si="89"/>
        <v>69.719988019761743</v>
      </c>
      <c r="AL73" s="20">
        <f t="shared" si="58"/>
        <v>631.84505196775149</v>
      </c>
      <c r="AM73" s="59">
        <f t="shared" si="59"/>
        <v>925.17838530108475</v>
      </c>
      <c r="AN73" s="59">
        <f ca="1">AVERAGE(OFFSET($AM$3,0,0,'Données projet'!$E$10+1,1))-AVERAGE(OFFSET($H$3,0,0,'Données projet'!$E$10+1,1))</f>
        <v>349.71285006949597</v>
      </c>
      <c r="AO73" s="59">
        <f t="shared" si="90"/>
        <v>258.51550516456842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0.27</v>
      </c>
      <c r="AS73" s="16">
        <f>IF(ISNA(VLOOKUP(A73,'Données projet'!$A$61:$I$81,6,0)),0%,VLOOKUP(A73,'Données projet'!$A$61:$I$81,6,0)*VLOOKUP('Données projet'!$B$10,Paramètres!$A$1:$I$89,7,0))</f>
        <v>9.0000000000000011E-2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51.056868378126822</v>
      </c>
      <c r="AV73" s="21">
        <f>EXP(-LN(2)/25)*AV72+(1-EXP(-LN(2)/25))/(LN(2)/25)*Calculateur!AQ73*Calculateur!AS73*VLOOKUP('Données projet'!$B$10,Paramètres!$A$1:$I$89,3,0)*0.475*44/12</f>
        <v>19.479438924117112</v>
      </c>
      <c r="AW73" s="21">
        <f>EXP(-LN(2)/2)*AW72+(1-EXP(-LN(2)/2))/(LN(2)/2)*AQ73*AT73*VLOOKUP('Données projet'!$B$10,Paramètres!$A$1:$I$89,3,0)*0.475*44/12</f>
        <v>9.4972577266937765</v>
      </c>
      <c r="AX73" s="21">
        <f t="shared" si="60"/>
        <v>80.033565028937701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141.02564102564102</v>
      </c>
      <c r="BB73" s="12">
        <f>VLOOKUP(A73,'Données projet'!$A$87:$I$107,9,0)</f>
        <v>2.9487179487179476</v>
      </c>
      <c r="BC73" s="12">
        <f t="array" ref="BC73">INDEX(BB:BB,MIN(IF(ISNUMBER(BB73:BB269),ROW(BB73:BB269),"")))</f>
        <v>2.9487179487179476</v>
      </c>
      <c r="BD73" s="12">
        <f>IF('Données projet'!$A$88&gt;35,BD72+BC73-BL72,IF(A73&lt;'Données projet'!$A$88,$BA$205^A73,IF(A73='Données projet'!$A$88,'Données projet'!$B$88,BD72+BC73-BL72)))</f>
        <v>141.02564102564111</v>
      </c>
      <c r="BE73" s="13">
        <f>BD73*VLOOKUP('Données projet'!$B$11,Paramètres!$A$1:$I$89,3,0)*VLOOKUP('Données projet'!$B$11,Paramètres!$A$1:$I$89,5,0)</f>
        <v>147.40000000000009</v>
      </c>
      <c r="BF73" s="13">
        <f t="shared" si="91"/>
        <v>37.987126351804257</v>
      </c>
      <c r="BG73" s="20">
        <f t="shared" si="61"/>
        <v>322.88257839605922</v>
      </c>
      <c r="BH73" s="59">
        <f t="shared" si="62"/>
        <v>616.21591172939247</v>
      </c>
      <c r="BI73" s="59">
        <f ca="1">AVERAGE(OFFSET($BH$3,0,0,'Données projet'!$E$11+1,1))-AVERAGE(OFFSET($H$3,0,0,'Données projet'!$E$11+1,1))</f>
        <v>260.74709892624571</v>
      </c>
      <c r="BJ73" s="59">
        <f t="shared" si="92"/>
        <v>237.17381692184887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10.256410256410255</v>
      </c>
      <c r="BM73" s="16">
        <f>IF(ISNA(VLOOKUP(A73,'Données projet'!$A$87:$I$107,5,0)),0%,VLOOKUP(A73,'Données projet'!$A$87:$I$107,5,0)*VLOOKUP('Données projet'!$B$11,Paramètres!$A$1:$I$89,7,0))</f>
        <v>4.3000000000000003E-2</v>
      </c>
      <c r="BN73" s="16">
        <f>IF(ISNA(VLOOKUP(A73,'Données projet'!$A$87:$I$107,6,0)),0%,VLOOKUP(A73,'Données projet'!$A$87:$I$107,6,0)*VLOOKUP('Données projet'!$B$11,Paramètres!$A$1:$I$89,7,0))</f>
        <v>0.215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1.9435061858438125</v>
      </c>
      <c r="BQ73" s="21">
        <f>EXP(-LN(2)/25)*BQ72+(1-EXP(-LN(2)/25))/(LN(2)/25)*Calculateur!BL73*Calculateur!BN73*VLOOKUP('Données projet'!$B$11,Paramètres!$A$1:$I$89,3,0)*0.475*44/12</f>
        <v>19.75957558952868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21.703081775372493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12.795000000000002</v>
      </c>
      <c r="BY73" s="12">
        <f>IF('Données projet'!$A$114&gt;35,BY72+BX73-CG72,IF(A73&lt;'Données projet'!$A$114,$BV$205^A73,IF(A73='Données projet'!$A$114,'Données projet'!$B$114,BY72+BX73-CG72)))</f>
        <v>363.62000000000006</v>
      </c>
      <c r="BZ73" s="13">
        <f>BY73*VLOOKUP('Données projet'!$B$12,Paramètres!$A$1:$I$89,3,0)*VLOOKUP('Données projet'!$B$12,Paramètres!$A$1:$I$89,5,0)</f>
        <v>329.00337600000006</v>
      </c>
      <c r="CA73" s="13">
        <f t="shared" si="93"/>
        <v>77.2236452302744</v>
      </c>
      <c r="CB73" s="20">
        <f t="shared" si="64"/>
        <v>707.51206197606132</v>
      </c>
      <c r="CC73" s="59">
        <f t="shared" si="65"/>
        <v>1000.8453953093947</v>
      </c>
      <c r="CD73" s="59">
        <f ca="1">AVERAGE(OFFSET($CC$3,0,0,'Données projet'!$E$12+1,1))-AVERAGE(OFFSET($H$3,0,0,'Données projet'!$E$12+1,1))</f>
        <v>695.0879239758051</v>
      </c>
      <c r="CE73" s="59">
        <f t="shared" si="94"/>
        <v>226.22150997227476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18.448444785271402</v>
      </c>
      <c r="CL73" s="21">
        <f>EXP(-LN(2)/25)*CL72+(1-EXP(-LN(2)/25))/(LN(2)/25)*Calculateur!CG73*Calculateur!CI73*VLOOKUP('Données projet'!$B$12,Paramètres!$A$1:$I$89,3,0)*0.475*44/12</f>
        <v>37.625965105226861</v>
      </c>
      <c r="CM73" s="21">
        <f>EXP(-LN(2)/2)*CM72+(1-EXP(-LN(2)/2))/(LN(2)/2)*CG73*CJ73*VLOOKUP('Données projet'!$B$12,Paramètres!$A$1:$I$89,3,0)*0.475*44/12</f>
        <v>1.7325012641950714</v>
      </c>
      <c r="CN73" s="22">
        <f t="shared" si="66"/>
        <v>57.806911154693331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12.795000000000002</v>
      </c>
      <c r="CT73" s="12">
        <f>IF('Données projet'!$A$140&gt;35,CT72+CS73-DB72,IF(A73&lt;'Données projet'!$A$140,$CQ$205^A73,IF(A73='Données projet'!$A$140,'Données projet'!$B$140,CT72+CS73-DB72)))</f>
        <v>363.62000000000006</v>
      </c>
      <c r="CU73" s="17">
        <f>CT73*VLOOKUP('Données projet'!$B$13,Paramètres!$A$1:$I$89,3,0)*VLOOKUP('Données projet'!$B$13,Paramètres!$A$1:$I$89,5,0)</f>
        <v>368.71068000000008</v>
      </c>
      <c r="CV73" s="13">
        <f t="shared" si="95"/>
        <v>85.403479460536204</v>
      </c>
      <c r="CW73" s="20">
        <f t="shared" si="67"/>
        <v>790.91549439376729</v>
      </c>
      <c r="CX73" s="59">
        <f t="shared" si="68"/>
        <v>1084.2488277271007</v>
      </c>
      <c r="CY73" s="59">
        <f ca="1">AVERAGE(OFFSET($CX$3,0,0,'Données projet'!$E$13+1,1))-AVERAGE(OFFSET($H$3,0,0,'Données projet'!$E$13+1,1))</f>
        <v>773.15074145293738</v>
      </c>
      <c r="CZ73" s="59">
        <f t="shared" si="96"/>
        <v>248.49577986312505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20.674981224873129</v>
      </c>
      <c r="DG73" s="21">
        <f>EXP(-LN(2)/25)*DG72+(1-EXP(-LN(2)/25))/(LN(2)/25)*Calculateur!DB73*Calculateur!DD73*VLOOKUP('Données projet'!$B$13,Paramètres!$A$1:$I$89,3,0)*0.475*44/12</f>
        <v>42.167029859305956</v>
      </c>
      <c r="DH73" s="21">
        <f>EXP(-LN(2)/2)*DH72+(1-EXP(-LN(2)/2))/(LN(2)/2)*DB73*DE73*VLOOKUP('Données projet'!$B$13,Paramètres!$A$1:$I$89,3,0)*0.475*44/12</f>
        <v>1.9415962443565464</v>
      </c>
      <c r="DI73" s="22">
        <f t="shared" si="69"/>
        <v>64.783607328535638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11.327500000000001</v>
      </c>
      <c r="DO73" s="12">
        <f>IF('Données projet'!$A$166&gt;35,DO72+DN73-DW72,IF(A73&lt;'Données projet'!$A$166,$DL$205^A73,IF(A73='Données projet'!$A$166,'Données projet'!$B$166,DO72+DN73-DW72)))</f>
        <v>338.87249999999995</v>
      </c>
      <c r="DP73" s="17">
        <f>DO73*VLOOKUP('Données projet'!$B$14,Paramètres!$A$1:$I$89,3,0)*VLOOKUP('Données projet'!$B$14,Paramètres!$A$1:$I$89,5,0)</f>
        <v>158.59232999999998</v>
      </c>
      <c r="DQ73" s="13">
        <f t="shared" si="97"/>
        <v>40.524848399473683</v>
      </c>
      <c r="DR73" s="20">
        <f t="shared" si="70"/>
        <v>346.7957523790833</v>
      </c>
      <c r="DS73" s="59">
        <f t="shared" si="71"/>
        <v>640.12908571241655</v>
      </c>
      <c r="DT73" s="59">
        <f ca="1">AVERAGE(OFFSET($DS$3,0,0,'Données projet'!$E$14+1,1))-AVERAGE(OFFSET($H$3,0,0,'Données projet'!$E$14+1,1))</f>
        <v>293.15557501692803</v>
      </c>
      <c r="DU73" s="59">
        <f t="shared" si="98"/>
        <v>237.1930412773068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26.567986461765305</v>
      </c>
      <c r="EB73" s="21">
        <f>EXP(-LN(2)/25)*EB72+(1-EXP(-LN(2)/25))/(LN(2)/25)*Calculateur!DW73*Calculateur!DY73*VLOOKUP('Données projet'!$B$14,Paramètres!$A$1:$I$89,3,0)*0.475*44/12</f>
        <v>14.024006817807951</v>
      </c>
      <c r="EC73" s="21">
        <f>EXP(-LN(2)/2)*EC72+(1-EXP(-LN(2)/2))/(LN(2)/2)*DW73*DZ73*VLOOKUP('Données projet'!$B$14,Paramètres!$A$1:$I$89,3,0)*0.475*44/12</f>
        <v>1.1109942313575998</v>
      </c>
      <c r="ED73" s="22">
        <f t="shared" si="72"/>
        <v>41.702987510930861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-1.7053025658242404E-13</v>
      </c>
      <c r="EK73" s="17">
        <f>EJ73*VLOOKUP('Données projet'!$B$15,Paramètres!$A$1:$I$89,3,0)*VLOOKUP('Données projet'!$B$15,Paramètres!$A$1:$I$89,5,0)</f>
        <v>-1.0197709343628959E-13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225.86663363047296</v>
      </c>
      <c r="EP73" s="59">
        <f t="shared" si="100"/>
        <v>258.08349727304397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87.245022043415261</v>
      </c>
      <c r="EW73" s="21">
        <f>EXP(-LN(2)/25)*EW72+(1-EXP(-LN(2)/25))/(LN(2)/25)*Calculateur!ER73*Calculateur!ET73*VLOOKUP('Données projet'!$B$15,Paramètres!$A$1:$I$89,3,0)*0.475*44/12</f>
        <v>29.943622092437472</v>
      </c>
      <c r="EX73" s="21">
        <f>EXP(-LN(2)/2)*EX72+(1-EXP(-LN(2)/2))/(LN(2)/2)*ER73*EU73*VLOOKUP('Données projet'!$B$15,Paramètres!$A$1:$I$89,3,0)*0.475*44/12</f>
        <v>2.7949328899005335</v>
      </c>
      <c r="EY73" s="22">
        <f t="shared" si="75"/>
        <v>119.98357702575328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388.12151914648013</v>
      </c>
      <c r="T74" s="59">
        <f t="shared" si="88"/>
        <v>481.43684454382793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132.2689785631016</v>
      </c>
      <c r="AA74" s="21">
        <f>EXP(-LN(2)/25)*AA73+(1-EXP(-LN(2)/25))/(LN(2)/25)*Calculateur!V74*Calculateur!X74*VLOOKUP('Données projet'!$B$9,Paramètres!$A$1:$I$89,3,0)*0.475*44/12</f>
        <v>40.686361213057907</v>
      </c>
      <c r="AB74" s="21">
        <f>EXP(-LN(2)/2)*AB73+(1-EXP(-LN(2)/2))/(LN(2)/2)*V74*Y74*VLOOKUP('Données projet'!$B$9,Paramètres!$A$1:$I$89,3,0)*0.475*44/12</f>
        <v>0.42705002546786919</v>
      </c>
      <c r="AC74" s="22">
        <f t="shared" si="57"/>
        <v>173.3823898016274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9.7839999999999971</v>
      </c>
      <c r="AI74" s="13">
        <f>IF('Données projet'!$A$62&gt;35,AI73+AH74-AQ73,IF(A74&lt;'Données projet'!$A$62,$AF$205^A74,IF(A74='Données projet'!$A$62,'Données projet'!$B$62,AI73+AH74-AQ73)))</f>
        <v>431.97399999999976</v>
      </c>
      <c r="AJ74" s="13">
        <f>AI74*VLOOKUP('Données projet'!$B$10,Paramètres!$A$1:$I$89,3,0)*VLOOKUP('Données projet'!$B$10,Paramètres!$A$1:$I$89,5,0)</f>
        <v>258.32045199999988</v>
      </c>
      <c r="AK74" s="13">
        <f t="shared" si="89"/>
        <v>62.364231271731597</v>
      </c>
      <c r="AL74" s="20">
        <f t="shared" si="58"/>
        <v>558.52582336493231</v>
      </c>
      <c r="AM74" s="59">
        <f t="shared" si="59"/>
        <v>851.85915669826568</v>
      </c>
      <c r="AN74" s="59">
        <f ca="1">AVERAGE(OFFSET($AM$3,0,0,'Données projet'!$E$10+1,1))-AVERAGE(OFFSET($H$3,0,0,'Données projet'!$E$10+1,1))</f>
        <v>349.71285006949597</v>
      </c>
      <c r="AO74" s="59">
        <f t="shared" si="90"/>
        <v>258.51550516456842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50.055674330846486</v>
      </c>
      <c r="AV74" s="21">
        <f>EXP(-LN(2)/25)*AV73+(1-EXP(-LN(2)/25))/(LN(2)/25)*Calculateur!AQ74*Calculateur!AS74*VLOOKUP('Données projet'!$B$10,Paramètres!$A$1:$I$89,3,0)*0.475*44/12</f>
        <v>18.946772642357956</v>
      </c>
      <c r="AW74" s="21">
        <f>EXP(-LN(2)/2)*AW73+(1-EXP(-LN(2)/2))/(LN(2)/2)*AQ74*AT74*VLOOKUP('Données projet'!$B$10,Paramètres!$A$1:$I$89,3,0)*0.475*44/12</f>
        <v>6.7155753412215047</v>
      </c>
      <c r="AX74" s="21">
        <f t="shared" si="60"/>
        <v>75.718022314425951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2.4358974358974366</v>
      </c>
      <c r="BD74" s="12">
        <f>IF('Données projet'!$A$88&gt;35,BD73+BC74-BL73,IF(A74&lt;'Données projet'!$A$88,$BA$205^A74,IF(A74='Données projet'!$A$88,'Données projet'!$B$88,BD73+BC74-BL73)))</f>
        <v>133.20512820512829</v>
      </c>
      <c r="BE74" s="13">
        <f>BD74*VLOOKUP('Données projet'!$B$11,Paramètres!$A$1:$I$89,3,0)*VLOOKUP('Données projet'!$B$11,Paramètres!$A$1:$I$89,5,0)</f>
        <v>139.22600000000011</v>
      </c>
      <c r="BF74" s="13">
        <f t="shared" si="91"/>
        <v>36.119635793564029</v>
      </c>
      <c r="BG74" s="20">
        <f t="shared" si="61"/>
        <v>305.39364900712422</v>
      </c>
      <c r="BH74" s="59">
        <f t="shared" si="62"/>
        <v>598.72698234045754</v>
      </c>
      <c r="BI74" s="59">
        <f ca="1">AVERAGE(OFFSET($BH$3,0,0,'Données projet'!$E$11+1,1))-AVERAGE(OFFSET($H$3,0,0,'Données projet'!$E$11+1,1))</f>
        <v>260.74709892624571</v>
      </c>
      <c r="BJ74" s="59">
        <f t="shared" si="92"/>
        <v>237.17381692184887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1.905395214961138</v>
      </c>
      <c r="BQ74" s="21">
        <f>EXP(-LN(2)/25)*BQ73+(1-EXP(-LN(2)/25))/(LN(2)/25)*Calculateur!BL74*Calculateur!BN74*VLOOKUP('Données projet'!$B$11,Paramètres!$A$1:$I$89,3,0)*0.475*44/12</f>
        <v>19.219248955922097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21.124644170883236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12.795000000000002</v>
      </c>
      <c r="BY74" s="12">
        <f>IF('Données projet'!$A$114&gt;35,BY73+BX74-CG73,IF(A74&lt;'Données projet'!$A$114,$BV$205^A74,IF(A74='Données projet'!$A$114,'Données projet'!$B$114,BY73+BX74-CG73)))</f>
        <v>376.41500000000008</v>
      </c>
      <c r="BZ74" s="13">
        <f>BY74*VLOOKUP('Données projet'!$B$12,Paramètres!$A$1:$I$89,3,0)*VLOOKUP('Données projet'!$B$12,Paramètres!$A$1:$I$89,5,0)</f>
        <v>340.58029200000004</v>
      </c>
      <c r="CA74" s="13">
        <f t="shared" si="93"/>
        <v>79.619826521430525</v>
      </c>
      <c r="CB74" s="20">
        <f t="shared" si="64"/>
        <v>731.84853975815815</v>
      </c>
      <c r="CC74" s="59">
        <f t="shared" si="65"/>
        <v>1025.1818730914915</v>
      </c>
      <c r="CD74" s="59">
        <f ca="1">AVERAGE(OFFSET($CC$3,0,0,'Données projet'!$E$12+1,1))-AVERAGE(OFFSET($H$3,0,0,'Données projet'!$E$12+1,1))</f>
        <v>695.0879239758051</v>
      </c>
      <c r="CE74" s="59">
        <f t="shared" si="94"/>
        <v>226.22150997227476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18.086682035472464</v>
      </c>
      <c r="CL74" s="21">
        <f>EXP(-LN(2)/25)*CL73+(1-EXP(-LN(2)/25))/(LN(2)/25)*Calculateur!CG74*Calculateur!CI74*VLOOKUP('Données projet'!$B$12,Paramètres!$A$1:$I$89,3,0)*0.475*44/12</f>
        <v>36.597081110760925</v>
      </c>
      <c r="CM74" s="21">
        <f>EXP(-LN(2)/2)*CM73+(1-EXP(-LN(2)/2))/(LN(2)/2)*CG74*CJ74*VLOOKUP('Données projet'!$B$12,Paramètres!$A$1:$I$89,3,0)*0.475*44/12</f>
        <v>1.2250633923266014</v>
      </c>
      <c r="CN74" s="22">
        <f t="shared" si="66"/>
        <v>55.908826538559993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12.795000000000002</v>
      </c>
      <c r="CT74" s="12">
        <f>IF('Données projet'!$A$140&gt;35,CT73+CS74-DB73,IF(A74&lt;'Données projet'!$A$140,$CQ$205^A74,IF(A74='Données projet'!$A$140,'Données projet'!$B$140,CT73+CS74-DB73)))</f>
        <v>376.41500000000008</v>
      </c>
      <c r="CU74" s="17">
        <f>CT74*VLOOKUP('Données projet'!$B$13,Paramètres!$A$1:$I$89,3,0)*VLOOKUP('Données projet'!$B$13,Paramètres!$A$1:$I$89,5,0)</f>
        <v>381.68481000000008</v>
      </c>
      <c r="CV74" s="13">
        <f t="shared" si="95"/>
        <v>88.053473760504133</v>
      </c>
      <c r="CW74" s="20">
        <f t="shared" si="67"/>
        <v>818.12751088287814</v>
      </c>
      <c r="CX74" s="59">
        <f t="shared" si="68"/>
        <v>1111.4608442162114</v>
      </c>
      <c r="CY74" s="59">
        <f ca="1">AVERAGE(OFFSET($CX$3,0,0,'Données projet'!$E$13+1,1))-AVERAGE(OFFSET($H$3,0,0,'Données projet'!$E$13+1,1))</f>
        <v>773.15074145293738</v>
      </c>
      <c r="CZ74" s="59">
        <f t="shared" si="96"/>
        <v>248.49577986312505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20.269557453546732</v>
      </c>
      <c r="DG74" s="21">
        <f>EXP(-LN(2)/25)*DG73+(1-EXP(-LN(2)/25))/(LN(2)/25)*Calculateur!DB74*Calculateur!DD74*VLOOKUP('Données projet'!$B$13,Paramètres!$A$1:$I$89,3,0)*0.475*44/12</f>
        <v>41.013970210335508</v>
      </c>
      <c r="DH74" s="21">
        <f>EXP(-LN(2)/2)*DH73+(1-EXP(-LN(2)/2))/(LN(2)/2)*DB74*DE74*VLOOKUP('Données projet'!$B$13,Paramètres!$A$1:$I$89,3,0)*0.475*44/12</f>
        <v>1.3729158707108471</v>
      </c>
      <c r="DI74" s="22">
        <f t="shared" si="69"/>
        <v>62.656443534593087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11.327500000000001</v>
      </c>
      <c r="DO74" s="12">
        <f>IF('Données projet'!$A$166&gt;35,DO73+DN74-DW73,IF(A74&lt;'Données projet'!$A$166,$DL$205^A74,IF(A74='Données projet'!$A$166,'Données projet'!$B$166,DO73+DN74-DW73)))</f>
        <v>350.19999999999993</v>
      </c>
      <c r="DP74" s="17">
        <f>DO74*VLOOKUP('Données projet'!$B$14,Paramètres!$A$1:$I$89,3,0)*VLOOKUP('Données projet'!$B$14,Paramètres!$A$1:$I$89,5,0)</f>
        <v>163.89359999999996</v>
      </c>
      <c r="DQ74" s="13">
        <f t="shared" si="97"/>
        <v>41.71949506642347</v>
      </c>
      <c r="DR74" s="20">
        <f t="shared" si="70"/>
        <v>358.10947390735413</v>
      </c>
      <c r="DS74" s="59">
        <f t="shared" si="71"/>
        <v>651.44280724068744</v>
      </c>
      <c r="DT74" s="59">
        <f ca="1">AVERAGE(OFFSET($DS$3,0,0,'Données projet'!$E$14+1,1))-AVERAGE(OFFSET($H$3,0,0,'Données projet'!$E$14+1,1))</f>
        <v>293.15557501692803</v>
      </c>
      <c r="DU74" s="59">
        <f t="shared" si="98"/>
        <v>237.1930412773068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26.04700445212173</v>
      </c>
      <c r="EB74" s="21">
        <f>EXP(-LN(2)/25)*EB73+(1-EXP(-LN(2)/25))/(LN(2)/25)*Calculateur!DW74*Calculateur!DY74*VLOOKUP('Données projet'!$B$14,Paramètres!$A$1:$I$89,3,0)*0.475*44/12</f>
        <v>13.640519613884527</v>
      </c>
      <c r="EC74" s="21">
        <f>EXP(-LN(2)/2)*EC73+(1-EXP(-LN(2)/2))/(LN(2)/2)*DW74*DZ74*VLOOKUP('Données projet'!$B$14,Paramètres!$A$1:$I$89,3,0)*0.475*44/12</f>
        <v>0.78559155485209486</v>
      </c>
      <c r="ED74" s="22">
        <f t="shared" si="72"/>
        <v>40.473115620858351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-1.7053025658242404E-13</v>
      </c>
      <c r="EK74" s="17">
        <f>EJ74*VLOOKUP('Données projet'!$B$15,Paramètres!$A$1:$I$89,3,0)*VLOOKUP('Données projet'!$B$15,Paramètres!$A$1:$I$89,5,0)</f>
        <v>-1.0197709343628959E-13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225.86663363047296</v>
      </c>
      <c r="EP74" s="59">
        <f t="shared" si="100"/>
        <v>258.08349727304397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85.534200375352867</v>
      </c>
      <c r="EW74" s="21">
        <f>EXP(-LN(2)/25)*EW73+(1-EXP(-LN(2)/25))/(LN(2)/25)*Calculateur!ER74*Calculateur!ET74*VLOOKUP('Données projet'!$B$15,Paramètres!$A$1:$I$89,3,0)*0.475*44/12</f>
        <v>29.124812171653122</v>
      </c>
      <c r="EX74" s="21">
        <f>EXP(-LN(2)/2)*EX73+(1-EXP(-LN(2)/2))/(LN(2)/2)*ER74*EU74*VLOOKUP('Données projet'!$B$15,Paramètres!$A$1:$I$89,3,0)*0.475*44/12</f>
        <v>1.9763159994099815</v>
      </c>
      <c r="EY74" s="22">
        <f t="shared" si="75"/>
        <v>116.63532854641596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388.12151914648013</v>
      </c>
      <c r="T75" s="59">
        <f t="shared" si="88"/>
        <v>481.43684454382793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129.67526456958998</v>
      </c>
      <c r="AA75" s="21">
        <f>EXP(-LN(2)/25)*AA74+(1-EXP(-LN(2)/25))/(LN(2)/25)*Calculateur!V75*Calculateur!X75*VLOOKUP('Données projet'!$B$9,Paramètres!$A$1:$I$89,3,0)*0.475*44/12</f>
        <v>39.573790526084089</v>
      </c>
      <c r="AB75" s="21">
        <f>EXP(-LN(2)/2)*AB74+(1-EXP(-LN(2)/2))/(LN(2)/2)*V75*Y75*VLOOKUP('Données projet'!$B$9,Paramètres!$A$1:$I$89,3,0)*0.475*44/12</f>
        <v>0.30196996891421812</v>
      </c>
      <c r="AC75" s="22">
        <f t="shared" si="57"/>
        <v>169.55102506458829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9.7839999999999971</v>
      </c>
      <c r="AI75" s="13">
        <f>IF('Données projet'!$A$62&gt;35,AI74+AH75-AQ74,IF(A75&lt;'Données projet'!$A$62,$AF$205^A75,IF(A75='Données projet'!$A$62,'Données projet'!$B$62,AI74+AH75-AQ74)))</f>
        <v>441.75799999999975</v>
      </c>
      <c r="AJ75" s="13">
        <f>AI75*VLOOKUP('Données projet'!$B$10,Paramètres!$A$1:$I$89,3,0)*VLOOKUP('Données projet'!$B$10,Paramètres!$A$1:$I$89,5,0)</f>
        <v>264.1712839999999</v>
      </c>
      <c r="AK75" s="13">
        <f t="shared" si="89"/>
        <v>63.610701832955151</v>
      </c>
      <c r="AL75" s="20">
        <f t="shared" si="58"/>
        <v>570.88695865906334</v>
      </c>
      <c r="AM75" s="59">
        <f t="shared" si="59"/>
        <v>864.2202919923966</v>
      </c>
      <c r="AN75" s="59">
        <f ca="1">AVERAGE(OFFSET($AM$3,0,0,'Données projet'!$E$10+1,1))-AVERAGE(OFFSET($H$3,0,0,'Données projet'!$E$10+1,1))</f>
        <v>349.71285006949597</v>
      </c>
      <c r="AO75" s="59">
        <f t="shared" si="90"/>
        <v>258.51550516456842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49.074113088165248</v>
      </c>
      <c r="AV75" s="21">
        <f>EXP(-LN(2)/25)*AV74+(1-EXP(-LN(2)/25))/(LN(2)/25)*Calculateur!AQ75*Calculateur!AS75*VLOOKUP('Données projet'!$B$10,Paramètres!$A$1:$I$89,3,0)*0.475*44/12</f>
        <v>18.428672148085209</v>
      </c>
      <c r="AW75" s="21">
        <f>EXP(-LN(2)/2)*AW74+(1-EXP(-LN(2)/2))/(LN(2)/2)*AQ75*AT75*VLOOKUP('Données projet'!$B$10,Paramètres!$A$1:$I$89,3,0)*0.475*44/12</f>
        <v>4.7486288633468892</v>
      </c>
      <c r="AX75" s="21">
        <f t="shared" si="60"/>
        <v>72.251414099597355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2.4358974358974366</v>
      </c>
      <c r="BD75" s="12">
        <f>IF('Données projet'!$A$88&gt;35,BD74+BC75-BL74,IF(A75&lt;'Données projet'!$A$88,$BA$205^A75,IF(A75='Données projet'!$A$88,'Données projet'!$B$88,BD74+BC75-BL74)))</f>
        <v>135.64102564102572</v>
      </c>
      <c r="BE75" s="13">
        <f>BD75*VLOOKUP('Données projet'!$B$11,Paramètres!$A$1:$I$89,3,0)*VLOOKUP('Données projet'!$B$11,Paramètres!$A$1:$I$89,5,0)</f>
        <v>141.77200000000011</v>
      </c>
      <c r="BF75" s="13">
        <f t="shared" si="91"/>
        <v>36.702648176707207</v>
      </c>
      <c r="BG75" s="20">
        <f t="shared" si="61"/>
        <v>310.84334557443191</v>
      </c>
      <c r="BH75" s="59">
        <f t="shared" si="62"/>
        <v>604.17667890776522</v>
      </c>
      <c r="BI75" s="59">
        <f ca="1">AVERAGE(OFFSET($BH$3,0,0,'Données projet'!$E$11+1,1))-AVERAGE(OFFSET($H$3,0,0,'Données projet'!$E$11+1,1))</f>
        <v>260.74709892624571</v>
      </c>
      <c r="BJ75" s="59">
        <f t="shared" si="92"/>
        <v>237.17381692184887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1.8680315769720759</v>
      </c>
      <c r="BQ75" s="21">
        <f>EXP(-LN(2)/25)*BQ74+(1-EXP(-LN(2)/25))/(LN(2)/25)*Calculateur!BL75*Calculateur!BN75*VLOOKUP('Données projet'!$B$11,Paramètres!$A$1:$I$89,3,0)*0.475*44/12</f>
        <v>18.693697582526031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20.561729159498107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12.795000000000002</v>
      </c>
      <c r="BY75" s="12">
        <f>IF('Données projet'!$A$114&gt;35,BY74+BX75-CG74,IF(A75&lt;'Données projet'!$A$114,$BV$205^A75,IF(A75='Données projet'!$A$114,'Données projet'!$B$114,BY74+BX75-CG74)))</f>
        <v>389.21000000000009</v>
      </c>
      <c r="BZ75" s="13">
        <f>BY75*VLOOKUP('Données projet'!$B$12,Paramètres!$A$1:$I$89,3,0)*VLOOKUP('Données projet'!$B$12,Paramètres!$A$1:$I$89,5,0)</f>
        <v>352.15720800000008</v>
      </c>
      <c r="CA75" s="13">
        <f t="shared" si="93"/>
        <v>82.006543796021603</v>
      </c>
      <c r="CB75" s="20">
        <f t="shared" si="64"/>
        <v>756.16853437807106</v>
      </c>
      <c r="CC75" s="59">
        <f t="shared" si="65"/>
        <v>1049.5018677114044</v>
      </c>
      <c r="CD75" s="59">
        <f ca="1">AVERAGE(OFFSET($CC$3,0,0,'Données projet'!$E$12+1,1))-AVERAGE(OFFSET($H$3,0,0,'Données projet'!$E$12+1,1))</f>
        <v>695.0879239758051</v>
      </c>
      <c r="CE75" s="59">
        <f t="shared" si="94"/>
        <v>226.22150997227476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17.732013232543594</v>
      </c>
      <c r="CL75" s="21">
        <f>EXP(-LN(2)/25)*CL74+(1-EXP(-LN(2)/25))/(LN(2)/25)*Calculateur!CG75*Calculateur!CI75*VLOOKUP('Données projet'!$B$12,Paramètres!$A$1:$I$89,3,0)*0.475*44/12</f>
        <v>35.596332003230316</v>
      </c>
      <c r="CM75" s="21">
        <f>EXP(-LN(2)/2)*CM74+(1-EXP(-LN(2)/2))/(LN(2)/2)*CG75*CJ75*VLOOKUP('Données projet'!$B$12,Paramètres!$A$1:$I$89,3,0)*0.475*44/12</f>
        <v>0.86625063209753583</v>
      </c>
      <c r="CN75" s="22">
        <f t="shared" si="66"/>
        <v>54.194595867871442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12.795000000000002</v>
      </c>
      <c r="CT75" s="12">
        <f>IF('Données projet'!$A$140&gt;35,CT74+CS75-DB74,IF(A75&lt;'Données projet'!$A$140,$CQ$205^A75,IF(A75='Données projet'!$A$140,'Données projet'!$B$140,CT74+CS75-DB74)))</f>
        <v>389.21000000000009</v>
      </c>
      <c r="CU75" s="17">
        <f>CT75*VLOOKUP('Données projet'!$B$13,Paramètres!$A$1:$I$89,3,0)*VLOOKUP('Données projet'!$B$13,Paramètres!$A$1:$I$89,5,0)</f>
        <v>394.65894000000009</v>
      </c>
      <c r="CV75" s="13">
        <f t="shared" si="95"/>
        <v>90.693001577804552</v>
      </c>
      <c r="CW75" s="20">
        <f t="shared" si="67"/>
        <v>845.32129824800961</v>
      </c>
      <c r="CX75" s="59">
        <f t="shared" si="68"/>
        <v>1138.654631581343</v>
      </c>
      <c r="CY75" s="59">
        <f ca="1">AVERAGE(OFFSET($CX$3,0,0,'Données projet'!$E$13+1,1))-AVERAGE(OFFSET($H$3,0,0,'Données projet'!$E$13+1,1))</f>
        <v>773.15074145293738</v>
      </c>
      <c r="CZ75" s="59">
        <f t="shared" si="96"/>
        <v>248.49577986312505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19.87208379509196</v>
      </c>
      <c r="DG75" s="21">
        <f>EXP(-LN(2)/25)*DG74+(1-EXP(-LN(2)/25))/(LN(2)/25)*Calculateur!DB75*Calculateur!DD75*VLOOKUP('Données projet'!$B$13,Paramètres!$A$1:$I$89,3,0)*0.475*44/12</f>
        <v>39.89244103810293</v>
      </c>
      <c r="DH75" s="21">
        <f>EXP(-LN(2)/2)*DH74+(1-EXP(-LN(2)/2))/(LN(2)/2)*DB75*DE75*VLOOKUP('Données projet'!$B$13,Paramètres!$A$1:$I$89,3,0)*0.475*44/12</f>
        <v>0.97079812217827344</v>
      </c>
      <c r="DI75" s="22">
        <f t="shared" si="69"/>
        <v>60.735322955373164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11.327500000000001</v>
      </c>
      <c r="DO75" s="12">
        <f>IF('Données projet'!$A$166&gt;35,DO74+DN75-DW74,IF(A75&lt;'Données projet'!$A$166,$DL$205^A75,IF(A75='Données projet'!$A$166,'Données projet'!$B$166,DO74+DN75-DW74)))</f>
        <v>361.52749999999992</v>
      </c>
      <c r="DP75" s="17">
        <f>DO75*VLOOKUP('Données projet'!$B$14,Paramètres!$A$1:$I$89,3,0)*VLOOKUP('Données projet'!$B$14,Paramètres!$A$1:$I$89,5,0)</f>
        <v>169.19486999999998</v>
      </c>
      <c r="DQ75" s="13">
        <f t="shared" si="97"/>
        <v>42.909651456861525</v>
      </c>
      <c r="DR75" s="20">
        <f t="shared" si="70"/>
        <v>369.41537487070042</v>
      </c>
      <c r="DS75" s="59">
        <f t="shared" si="71"/>
        <v>662.74870820403373</v>
      </c>
      <c r="DT75" s="59">
        <f ca="1">AVERAGE(OFFSET($DS$3,0,0,'Données projet'!$E$14+1,1))-AVERAGE(OFFSET($H$3,0,0,'Données projet'!$E$14+1,1))</f>
        <v>293.15557501692803</v>
      </c>
      <c r="DU75" s="59">
        <f t="shared" si="98"/>
        <v>237.1930412773068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25.536238581919616</v>
      </c>
      <c r="EB75" s="21">
        <f>EXP(-LN(2)/25)*EB74+(1-EXP(-LN(2)/25))/(LN(2)/25)*Calculateur!DW75*Calculateur!DY75*VLOOKUP('Données projet'!$B$14,Paramètres!$A$1:$I$89,3,0)*0.475*44/12</f>
        <v>13.267518887719104</v>
      </c>
      <c r="EC75" s="21">
        <f>EXP(-LN(2)/2)*EC74+(1-EXP(-LN(2)/2))/(LN(2)/2)*DW75*DZ75*VLOOKUP('Données projet'!$B$14,Paramètres!$A$1:$I$89,3,0)*0.475*44/12</f>
        <v>0.55549711567879989</v>
      </c>
      <c r="ED75" s="22">
        <f t="shared" si="72"/>
        <v>39.359254585317515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-1.7053025658242404E-13</v>
      </c>
      <c r="EK75" s="17">
        <f>EJ75*VLOOKUP('Données projet'!$B$15,Paramètres!$A$1:$I$89,3,0)*VLOOKUP('Données projet'!$B$15,Paramètres!$A$1:$I$89,5,0)</f>
        <v>-1.0197709343628959E-13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225.86663363047296</v>
      </c>
      <c r="EP75" s="59">
        <f t="shared" si="100"/>
        <v>258.08349727304397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83.856926876703</v>
      </c>
      <c r="EW75" s="21">
        <f>EXP(-LN(2)/25)*EW74+(1-EXP(-LN(2)/25))/(LN(2)/25)*Calculateur!ER75*Calculateur!ET75*VLOOKUP('Données projet'!$B$15,Paramètres!$A$1:$I$89,3,0)*0.475*44/12</f>
        <v>28.32839265121196</v>
      </c>
      <c r="EX75" s="21">
        <f>EXP(-LN(2)/2)*EX74+(1-EXP(-LN(2)/2))/(LN(2)/2)*ER75*EU75*VLOOKUP('Données projet'!$B$15,Paramètres!$A$1:$I$89,3,0)*0.475*44/12</f>
        <v>1.397466444950267</v>
      </c>
      <c r="EY75" s="22">
        <f t="shared" si="75"/>
        <v>113.58278597286522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388.12151914648013</v>
      </c>
      <c r="T76" s="59">
        <f t="shared" si="88"/>
        <v>481.43684454382793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127.13241172548182</v>
      </c>
      <c r="AA76" s="21">
        <f>EXP(-LN(2)/25)*AA75+(1-EXP(-LN(2)/25))/(LN(2)/25)*Calculateur!V76*Calculateur!X76*VLOOKUP('Données projet'!$B$9,Paramètres!$A$1:$I$89,3,0)*0.475*44/12</f>
        <v>38.491643143053125</v>
      </c>
      <c r="AB76" s="21">
        <f>EXP(-LN(2)/2)*AB75+(1-EXP(-LN(2)/2))/(LN(2)/2)*V76*Y76*VLOOKUP('Données projet'!$B$9,Paramètres!$A$1:$I$89,3,0)*0.475*44/12</f>
        <v>0.21352501273393459</v>
      </c>
      <c r="AC76" s="22">
        <f t="shared" si="57"/>
        <v>165.83757988126885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9.7839999999999971</v>
      </c>
      <c r="AI76" s="13">
        <f>IF('Données projet'!$A$62&gt;35,AI75+AH76-AQ75,IF(A76&lt;'Données projet'!$A$62,$AF$205^A76,IF(A76='Données projet'!$A$62,'Données projet'!$B$62,AI75+AH76-AQ75)))</f>
        <v>451.54199999999975</v>
      </c>
      <c r="AJ76" s="13">
        <f>AI76*VLOOKUP('Données projet'!$B$10,Paramètres!$A$1:$I$89,3,0)*VLOOKUP('Données projet'!$B$10,Paramètres!$A$1:$I$89,5,0)</f>
        <v>270.02211599999987</v>
      </c>
      <c r="AK76" s="13">
        <f t="shared" si="89"/>
        <v>64.853962838834434</v>
      </c>
      <c r="AL76" s="20">
        <f t="shared" si="58"/>
        <v>583.24250397763637</v>
      </c>
      <c r="AM76" s="59">
        <f t="shared" si="59"/>
        <v>876.57583731096975</v>
      </c>
      <c r="AN76" s="59">
        <f ca="1">AVERAGE(OFFSET($AM$3,0,0,'Données projet'!$E$10+1,1))-AVERAGE(OFFSET($H$3,0,0,'Données projet'!$E$10+1,1))</f>
        <v>349.71285006949597</v>
      </c>
      <c r="AO76" s="59">
        <f t="shared" si="90"/>
        <v>258.51550516456842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48.111799662759744</v>
      </c>
      <c r="AV76" s="21">
        <f>EXP(-LN(2)/25)*AV75+(1-EXP(-LN(2)/25))/(LN(2)/25)*Calculateur!AQ76*Calculateur!AS76*VLOOKUP('Données projet'!$B$10,Paramètres!$A$1:$I$89,3,0)*0.475*44/12</f>
        <v>17.92473913907407</v>
      </c>
      <c r="AW76" s="21">
        <f>EXP(-LN(2)/2)*AW75+(1-EXP(-LN(2)/2))/(LN(2)/2)*AQ76*AT76*VLOOKUP('Données projet'!$B$10,Paramètres!$A$1:$I$89,3,0)*0.475*44/12</f>
        <v>3.3577876706107528</v>
      </c>
      <c r="AX76" s="21">
        <f t="shared" si="60"/>
        <v>69.394326472444561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2.4358974358974366</v>
      </c>
      <c r="BD76" s="12">
        <f>IF('Données projet'!$A$88&gt;35,BD75+BC76-BL75,IF(A76&lt;'Données projet'!$A$88,$BA$205^A76,IF(A76='Données projet'!$A$88,'Données projet'!$B$88,BD75+BC76-BL75)))</f>
        <v>138.07692307692315</v>
      </c>
      <c r="BE76" s="13">
        <f>BD76*VLOOKUP('Données projet'!$B$11,Paramètres!$A$1:$I$89,3,0)*VLOOKUP('Données projet'!$B$11,Paramètres!$A$1:$I$89,5,0)</f>
        <v>144.3180000000001</v>
      </c>
      <c r="BF76" s="13">
        <f t="shared" si="91"/>
        <v>37.284443058265509</v>
      </c>
      <c r="BG76" s="20">
        <f t="shared" si="61"/>
        <v>316.29092165981257</v>
      </c>
      <c r="BH76" s="59">
        <f t="shared" si="62"/>
        <v>609.62425499314588</v>
      </c>
      <c r="BI76" s="59">
        <f ca="1">AVERAGE(OFFSET($BH$3,0,0,'Données projet'!$E$11+1,1))-AVERAGE(OFFSET($H$3,0,0,'Données projet'!$E$11+1,1))</f>
        <v>260.74709892624571</v>
      </c>
      <c r="BJ76" s="59">
        <f t="shared" si="92"/>
        <v>237.17381692184887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1.8314006171344104</v>
      </c>
      <c r="BQ76" s="21">
        <f>EXP(-LN(2)/25)*BQ75+(1-EXP(-LN(2)/25))/(LN(2)/25)*Calculateur!BL76*Calculateur!BN76*VLOOKUP('Données projet'!$B$11,Paramètres!$A$1:$I$89,3,0)*0.475*44/12</f>
        <v>18.182517439073028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20.013918056207437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12.795000000000002</v>
      </c>
      <c r="BY76" s="12">
        <f>IF('Données projet'!$A$114&gt;35,BY75+BX76-CG75,IF(A76&lt;'Données projet'!$A$114,$BV$205^A76,IF(A76='Données projet'!$A$114,'Données projet'!$B$114,BY75+BX76-CG75)))</f>
        <v>402.00500000000011</v>
      </c>
      <c r="BZ76" s="13">
        <f>BY76*VLOOKUP('Données projet'!$B$12,Paramètres!$A$1:$I$89,3,0)*VLOOKUP('Données projet'!$B$12,Paramètres!$A$1:$I$89,5,0)</f>
        <v>363.73412400000007</v>
      </c>
      <c r="CA76" s="13">
        <f t="shared" si="93"/>
        <v>84.384143854645217</v>
      </c>
      <c r="CB76" s="20">
        <f t="shared" si="64"/>
        <v>780.47264984684045</v>
      </c>
      <c r="CC76" s="59">
        <f t="shared" si="65"/>
        <v>1073.8059831801738</v>
      </c>
      <c r="CD76" s="59">
        <f ca="1">AVERAGE(OFFSET($CC$3,0,0,'Données projet'!$E$12+1,1))-AVERAGE(OFFSET($H$3,0,0,'Données projet'!$E$12+1,1))</f>
        <v>695.0879239758051</v>
      </c>
      <c r="CE76" s="59">
        <f t="shared" si="94"/>
        <v>226.22150997227476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17.384299268513548</v>
      </c>
      <c r="CL76" s="21">
        <f>EXP(-LN(2)/25)*CL75+(1-EXP(-LN(2)/25))/(LN(2)/25)*Calculateur!CG76*Calculateur!CI76*VLOOKUP('Données projet'!$B$12,Paramètres!$A$1:$I$89,3,0)*0.475*44/12</f>
        <v>34.622948432672239</v>
      </c>
      <c r="CM76" s="21">
        <f>EXP(-LN(2)/2)*CM75+(1-EXP(-LN(2)/2))/(LN(2)/2)*CG76*CJ76*VLOOKUP('Données projet'!$B$12,Paramètres!$A$1:$I$89,3,0)*0.475*44/12</f>
        <v>0.61253169616330083</v>
      </c>
      <c r="CN76" s="22">
        <f t="shared" si="66"/>
        <v>52.619779397349092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12.795000000000002</v>
      </c>
      <c r="CT76" s="12">
        <f>IF('Données projet'!$A$140&gt;35,CT75+CS76-DB75,IF(A76&lt;'Données projet'!$A$140,$CQ$205^A76,IF(A76='Données projet'!$A$140,'Données projet'!$B$140,CT75+CS76-DB75)))</f>
        <v>402.00500000000011</v>
      </c>
      <c r="CU76" s="17">
        <f>CT76*VLOOKUP('Données projet'!$B$13,Paramètres!$A$1:$I$89,3,0)*VLOOKUP('Données projet'!$B$13,Paramètres!$A$1:$I$89,5,0)</f>
        <v>407.6330700000002</v>
      </c>
      <c r="CV76" s="13">
        <f t="shared" si="95"/>
        <v>93.322446447527255</v>
      </c>
      <c r="CW76" s="20">
        <f t="shared" si="67"/>
        <v>872.49752447944365</v>
      </c>
      <c r="CX76" s="59">
        <f t="shared" si="68"/>
        <v>1165.8308578127769</v>
      </c>
      <c r="CY76" s="59">
        <f ca="1">AVERAGE(OFFSET($CX$3,0,0,'Données projet'!$E$13+1,1))-AVERAGE(OFFSET($H$3,0,0,'Données projet'!$E$13+1,1))</f>
        <v>773.15074145293738</v>
      </c>
      <c r="CZ76" s="59">
        <f t="shared" si="96"/>
        <v>248.49577986312505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19.482404352644494</v>
      </c>
      <c r="DG76" s="21">
        <f>EXP(-LN(2)/25)*DG75+(1-EXP(-LN(2)/25))/(LN(2)/25)*Calculateur!DB76*Calculateur!DD76*VLOOKUP('Données projet'!$B$13,Paramètres!$A$1:$I$89,3,0)*0.475*44/12</f>
        <v>38.801580140063706</v>
      </c>
      <c r="DH76" s="21">
        <f>EXP(-LN(2)/2)*DH75+(1-EXP(-LN(2)/2))/(LN(2)/2)*DB76*DE76*VLOOKUP('Données projet'!$B$13,Paramètres!$A$1:$I$89,3,0)*0.475*44/12</f>
        <v>0.68645793535542365</v>
      </c>
      <c r="DI76" s="22">
        <f t="shared" si="69"/>
        <v>58.97044242806362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11.327500000000001</v>
      </c>
      <c r="DO76" s="12">
        <f>IF('Données projet'!$A$166&gt;35,DO75+DN76-DW75,IF(A76&lt;'Données projet'!$A$166,$DL$205^A76,IF(A76='Données projet'!$A$166,'Données projet'!$B$166,DO75+DN76-DW75)))</f>
        <v>372.8549999999999</v>
      </c>
      <c r="DP76" s="17">
        <f>DO76*VLOOKUP('Données projet'!$B$14,Paramètres!$A$1:$I$89,3,0)*VLOOKUP('Données projet'!$B$14,Paramètres!$A$1:$I$89,5,0)</f>
        <v>174.49613999999997</v>
      </c>
      <c r="DQ76" s="13">
        <f t="shared" si="97"/>
        <v>44.095474404040012</v>
      </c>
      <c r="DR76" s="20">
        <f t="shared" si="70"/>
        <v>380.71372842036959</v>
      </c>
      <c r="DS76" s="59">
        <f t="shared" si="71"/>
        <v>674.04706175370291</v>
      </c>
      <c r="DT76" s="59">
        <f ca="1">AVERAGE(OFFSET($DS$3,0,0,'Données projet'!$E$14+1,1))-AVERAGE(OFFSET($H$3,0,0,'Données projet'!$E$14+1,1))</f>
        <v>293.15557501692803</v>
      </c>
      <c r="DU76" s="59">
        <f t="shared" si="98"/>
        <v>237.1930412773068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25.035488518895747</v>
      </c>
      <c r="EB76" s="21">
        <f>EXP(-LN(2)/25)*EB75+(1-EXP(-LN(2)/25))/(LN(2)/25)*Calculateur!DW76*Calculateur!DY76*VLOOKUP('Données projet'!$B$14,Paramètres!$A$1:$I$89,3,0)*0.475*44/12</f>
        <v>12.90471788602593</v>
      </c>
      <c r="EC76" s="21">
        <f>EXP(-LN(2)/2)*EC75+(1-EXP(-LN(2)/2))/(LN(2)/2)*DW76*DZ76*VLOOKUP('Données projet'!$B$14,Paramètres!$A$1:$I$89,3,0)*0.475*44/12</f>
        <v>0.39279577742604743</v>
      </c>
      <c r="ED76" s="22">
        <f t="shared" si="72"/>
        <v>38.33300218234772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-1.7053025658242404E-13</v>
      </c>
      <c r="EK76" s="17">
        <f>EJ76*VLOOKUP('Données projet'!$B$15,Paramètres!$A$1:$I$89,3,0)*VLOOKUP('Données projet'!$B$15,Paramètres!$A$1:$I$89,5,0)</f>
        <v>-1.0197709343628959E-13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225.86663363047296</v>
      </c>
      <c r="EP76" s="59">
        <f t="shared" si="100"/>
        <v>258.08349727304397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82.212543688325837</v>
      </c>
      <c r="EW76" s="21">
        <f>EXP(-LN(2)/25)*EW75+(1-EXP(-LN(2)/25))/(LN(2)/25)*Calculateur!ER76*Calculateur!ET76*VLOOKUP('Données projet'!$B$15,Paramètres!$A$1:$I$89,3,0)*0.475*44/12</f>
        <v>27.553751264439146</v>
      </c>
      <c r="EX76" s="21">
        <f>EXP(-LN(2)/2)*EX75+(1-EXP(-LN(2)/2))/(LN(2)/2)*ER76*EU76*VLOOKUP('Données projet'!$B$15,Paramètres!$A$1:$I$89,3,0)*0.475*44/12</f>
        <v>0.98815799970499096</v>
      </c>
      <c r="EY76" s="22">
        <f t="shared" si="75"/>
        <v>110.75445295246998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388.12151914648013</v>
      </c>
      <c r="T77" s="59">
        <f t="shared" si="88"/>
        <v>481.43684454382793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124.63942267465953</v>
      </c>
      <c r="AA77" s="21">
        <f>EXP(-LN(2)/25)*AA76+(1-EXP(-LN(2)/25))/(LN(2)/25)*Calculateur!V77*Calculateur!X77*VLOOKUP('Données projet'!$B$9,Paramètres!$A$1:$I$89,3,0)*0.475*44/12</f>
        <v>37.439087137118797</v>
      </c>
      <c r="AB77" s="21">
        <f>EXP(-LN(2)/2)*AB76+(1-EXP(-LN(2)/2))/(LN(2)/2)*V77*Y77*VLOOKUP('Données projet'!$B$9,Paramètres!$A$1:$I$89,3,0)*0.475*44/12</f>
        <v>0.15098498445710906</v>
      </c>
      <c r="AC77" s="22">
        <f t="shared" si="57"/>
        <v>162.22949479623543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9.7839999999999971</v>
      </c>
      <c r="AI77" s="13">
        <f>IF('Données projet'!$A$62&gt;35,AI76+AH77-AQ76,IF(A77&lt;'Données projet'!$A$62,$AF$205^A77,IF(A77='Données projet'!$A$62,'Données projet'!$B$62,AI76+AH77-AQ76)))</f>
        <v>461.32599999999974</v>
      </c>
      <c r="AJ77" s="13">
        <f>AI77*VLOOKUP('Données projet'!$B$10,Paramètres!$A$1:$I$89,3,0)*VLOOKUP('Données projet'!$B$10,Paramètres!$A$1:$I$89,5,0)</f>
        <v>275.87294799999984</v>
      </c>
      <c r="AK77" s="13">
        <f t="shared" si="89"/>
        <v>66.094091843346078</v>
      </c>
      <c r="AL77" s="20">
        <f t="shared" si="58"/>
        <v>595.59259439382743</v>
      </c>
      <c r="AM77" s="59">
        <f t="shared" si="59"/>
        <v>888.9259277271608</v>
      </c>
      <c r="AN77" s="59">
        <f ca="1">AVERAGE(OFFSET($AM$3,0,0,'Données projet'!$E$10+1,1))-AVERAGE(OFFSET($H$3,0,0,'Données projet'!$E$10+1,1))</f>
        <v>349.71285006949597</v>
      </c>
      <c r="AO77" s="59">
        <f t="shared" si="90"/>
        <v>258.51550516456842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47.168356616673215</v>
      </c>
      <c r="AV77" s="21">
        <f>EXP(-LN(2)/25)*AV76+(1-EXP(-LN(2)/25))/(LN(2)/25)*Calculateur!AQ77*Calculateur!AS77*VLOOKUP('Données projet'!$B$10,Paramètres!$A$1:$I$89,3,0)*0.475*44/12</f>
        <v>17.434586204695027</v>
      </c>
      <c r="AW77" s="21">
        <f>EXP(-LN(2)/2)*AW76+(1-EXP(-LN(2)/2))/(LN(2)/2)*AQ77*AT77*VLOOKUP('Données projet'!$B$10,Paramètres!$A$1:$I$89,3,0)*0.475*44/12</f>
        <v>2.374314431673445</v>
      </c>
      <c r="AX77" s="21">
        <f t="shared" si="60"/>
        <v>66.977257253041685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2.4358974358974366</v>
      </c>
      <c r="BD77" s="12">
        <f>IF('Données projet'!$A$88&gt;35,BD76+BC77-BL76,IF(A77&lt;'Données projet'!$A$88,$BA$205^A77,IF(A77='Données projet'!$A$88,'Données projet'!$B$88,BD76+BC77-BL76)))</f>
        <v>140.51282051282058</v>
      </c>
      <c r="BE77" s="13">
        <f>BD77*VLOOKUP('Données projet'!$B$11,Paramètres!$A$1:$I$89,3,0)*VLOOKUP('Données projet'!$B$11,Paramètres!$A$1:$I$89,5,0)</f>
        <v>146.86400000000009</v>
      </c>
      <c r="BF77" s="13">
        <f t="shared" si="91"/>
        <v>37.865044394930777</v>
      </c>
      <c r="BG77" s="20">
        <f t="shared" si="61"/>
        <v>321.73641898783791</v>
      </c>
      <c r="BH77" s="59">
        <f t="shared" si="62"/>
        <v>615.06975232117122</v>
      </c>
      <c r="BI77" s="59">
        <f ca="1">AVERAGE(OFFSET($BH$3,0,0,'Données projet'!$E$11+1,1))-AVERAGE(OFFSET($H$3,0,0,'Données projet'!$E$11+1,1))</f>
        <v>260.74709892624571</v>
      </c>
      <c r="BJ77" s="59">
        <f t="shared" si="92"/>
        <v>237.17381692184887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1.7954879680764821</v>
      </c>
      <c r="BQ77" s="21">
        <f>EXP(-LN(2)/25)*BQ76+(1-EXP(-LN(2)/25))/(LN(2)/25)*Calculateur!BL77*Calculateur!BN77*VLOOKUP('Données projet'!$B$11,Paramètres!$A$1:$I$89,3,0)*0.475*44/12</f>
        <v>17.685315543524542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19.480803511601025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414.8</v>
      </c>
      <c r="BW77" s="12">
        <f>VLOOKUP(A77,'Données projet'!$A$113:$I$133,9,0)</f>
        <v>12.795000000000002</v>
      </c>
      <c r="BX77" s="12">
        <f t="array" ref="BX77">INDEX(BW:BW,MIN(IF(ISNUMBER(BW77:BW273),ROW(BW77:BW273),"")))</f>
        <v>12.795000000000002</v>
      </c>
      <c r="BY77" s="12">
        <f>IF('Données projet'!$A$114&gt;35,BY76+BX77-CG76,IF(A77&lt;'Données projet'!$A$114,$BV$205^A77,IF(A77='Données projet'!$A$114,'Données projet'!$B$114,BY76+BX77-CG76)))</f>
        <v>414.80000000000013</v>
      </c>
      <c r="BZ77" s="13">
        <f>BY77*VLOOKUP('Données projet'!$B$12,Paramètres!$A$1:$I$89,3,0)*VLOOKUP('Données projet'!$B$12,Paramètres!$A$1:$I$89,5,0)</f>
        <v>375.31104000000011</v>
      </c>
      <c r="CA77" s="13">
        <f t="shared" si="93"/>
        <v>86.752950168429535</v>
      </c>
      <c r="CB77" s="20">
        <f t="shared" si="64"/>
        <v>804.76144954334825</v>
      </c>
      <c r="CC77" s="59">
        <f t="shared" si="65"/>
        <v>1098.0947828766816</v>
      </c>
      <c r="CD77" s="59">
        <f ca="1">AVERAGE(OFFSET($CC$3,0,0,'Données projet'!$E$12+1,1))-AVERAGE(OFFSET($H$3,0,0,'Données projet'!$E$12+1,1))</f>
        <v>695.0879239758051</v>
      </c>
      <c r="CE77" s="59">
        <f t="shared" si="94"/>
        <v>226.22150997227476</v>
      </c>
      <c r="CF77" s="15">
        <f>IF(ISNA(VLOOKUP(A77,'Données projet'!$A$113:$I$133,3,0)),0,VLOOKUP(A77,'Données projet'!$A$113:$I$133,3,0))</f>
        <v>6</v>
      </c>
      <c r="CG77" s="15">
        <f>IF(ISNA(VLOOKUP(A77,'Données projet'!$A$113:$I$133,4,0)),0,VLOOKUP(A77,'Données projet'!$A$113:$I$133,4,0))</f>
        <v>75.29000000000002</v>
      </c>
      <c r="CH77" s="16">
        <f>IF(ISNA(VLOOKUP(A77,'Données projet'!$A$113:$I$133,5,0)),0%,VLOOKUP(A77,'Données projet'!$A$113:$I$133,5,0)*VLOOKUP('Données projet'!$B$12,Paramètres!$A$1:$I$89,7,0))</f>
        <v>0.15049999999999999</v>
      </c>
      <c r="CI77" s="16">
        <f>IF(ISNA(VLOOKUP(A77,'Données projet'!$A$113:$I$133,6,0)),0%,VLOOKUP(A77,'Données projet'!$A$113:$I$133,6,0)*VLOOKUP('Données projet'!$B$12,Paramètres!$A$1:$I$89,7,0))</f>
        <v>8.6000000000000007E-2</v>
      </c>
      <c r="CJ77" s="16">
        <f>IF(ISNA(VLOOKUP(A77,'Données projet'!$A$113:$I$133,7,0)),0%,VLOOKUP(A77,'Données projet'!$A$113:$I$133,7,0))</f>
        <v>0.1</v>
      </c>
      <c r="CK77" s="21">
        <f>EXP(-LN(2)/35)*CK76+(1-EXP(-LN(2)/35))/(LN(2)/35)*CG77*CH77*VLOOKUP('Données projet'!$B$12,Paramètres!$A$1:$I$89,3,0)*0.475*44/12</f>
        <v>28.377150387342887</v>
      </c>
      <c r="CL77" s="21">
        <f>EXP(-LN(2)/25)*CL76+(1-EXP(-LN(2)/25))/(LN(2)/25)*Calculateur!CG77*Calculateur!CI77*VLOOKUP('Données projet'!$B$12,Paramètres!$A$1:$I$89,3,0)*0.475*44/12</f>
        <v>40.127108569984337</v>
      </c>
      <c r="CM77" s="21">
        <f>EXP(-LN(2)/2)*CM76+(1-EXP(-LN(2)/2))/(LN(2)/2)*CG77*CJ77*VLOOKUP('Données projet'!$B$12,Paramètres!$A$1:$I$89,3,0)*0.475*44/12</f>
        <v>6.8606563499786484</v>
      </c>
      <c r="CN77" s="22">
        <f t="shared" si="66"/>
        <v>75.364915307305878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414.8</v>
      </c>
      <c r="CR77" s="12">
        <f>VLOOKUP(A77,'Données projet'!$A$139:$I$159,9,0)</f>
        <v>12.795000000000002</v>
      </c>
      <c r="CS77" s="12">
        <f t="array" ref="CS77">INDEX(CR:CR,MIN(IF(ISNUMBER(CR77:CR273),ROW(CR77:CR273),"")))</f>
        <v>12.795000000000002</v>
      </c>
      <c r="CT77" s="12">
        <f>IF('Données projet'!$A$140&gt;35,CT76+CS77-DB76,IF(A77&lt;'Données projet'!$A$140,$CQ$205^A77,IF(A77='Données projet'!$A$140,'Données projet'!$B$140,CT76+CS77-DB76)))</f>
        <v>414.80000000000013</v>
      </c>
      <c r="CU77" s="17">
        <f>CT77*VLOOKUP('Données projet'!$B$13,Paramètres!$A$1:$I$89,3,0)*VLOOKUP('Données projet'!$B$13,Paramètres!$A$1:$I$89,5,0)</f>
        <v>420.6072000000002</v>
      </c>
      <c r="CV77" s="13">
        <f t="shared" si="95"/>
        <v>95.942166104143041</v>
      </c>
      <c r="CW77" s="20">
        <f t="shared" si="67"/>
        <v>899.65681263138276</v>
      </c>
      <c r="CX77" s="59">
        <f t="shared" si="68"/>
        <v>1192.990145964716</v>
      </c>
      <c r="CY77" s="59">
        <f ca="1">AVERAGE(OFFSET($CX$3,0,0,'Données projet'!$E$13+1,1))-AVERAGE(OFFSET($H$3,0,0,'Données projet'!$E$13+1,1))</f>
        <v>773.15074145293738</v>
      </c>
      <c r="CZ77" s="59">
        <f t="shared" si="96"/>
        <v>248.49577986312505</v>
      </c>
      <c r="DA77" s="15">
        <f>IF(ISNA(VLOOKUP(A77,'Données projet'!$A$139:$I$159,3,0)),0,VLOOKUP(A77,'Données projet'!$A$139:$I$159,3,0))</f>
        <v>6</v>
      </c>
      <c r="DB77" s="15">
        <f>IF(ISNA(VLOOKUP(A77,'Données projet'!$A$139:$I$159,4,0)),0,VLOOKUP(A77,'Données projet'!$A$139:$I$159,4,0))</f>
        <v>75.29000000000002</v>
      </c>
      <c r="DC77" s="16">
        <f>IF(ISNA(VLOOKUP(A77,'Données projet'!$A$139:$I$159,5,0)),0%,VLOOKUP(A77,'Données projet'!$A$139:$I$159,5,0)*VLOOKUP('Données projet'!$B$13,Paramètres!$A$1:$I$89,7,0))</f>
        <v>0.15049999999999999</v>
      </c>
      <c r="DD77" s="16">
        <f>IF(ISNA(VLOOKUP(A77,'Données projet'!$A$139:$I$159,6,0)),0%,VLOOKUP(A77,'Données projet'!$A$139:$I$159,6,0)*VLOOKUP('Données projet'!$B$13,Paramètres!$A$1:$I$89,7,0))</f>
        <v>8.6000000000000007E-2</v>
      </c>
      <c r="DE77" s="16">
        <f>IF(ISNA(VLOOKUP(A77,'Données projet'!$A$139:$I$159,7,0)),0%,VLOOKUP(A77,'Données projet'!$A$139:$I$159,7,0))</f>
        <v>0.1</v>
      </c>
      <c r="DF77" s="21">
        <f>EXP(-LN(2)/35)*DF76+(1-EXP(-LN(2)/35))/(LN(2)/35)*DB77*DC77*VLOOKUP('Données projet'!$B$13,Paramètres!$A$1:$I$89,3,0)*0.475*44/12</f>
        <v>31.801978882367024</v>
      </c>
      <c r="DG77" s="21">
        <f>EXP(-LN(2)/25)*DG76+(1-EXP(-LN(2)/25))/(LN(2)/25)*Calculateur!DB77*Calculateur!DD77*VLOOKUP('Données projet'!$B$13,Paramètres!$A$1:$I$89,3,0)*0.475*44/12</f>
        <v>44.97003546636175</v>
      </c>
      <c r="DH77" s="21">
        <f>EXP(-LN(2)/2)*DH76+(1-EXP(-LN(2)/2))/(LN(2)/2)*DB77*DE77*VLOOKUP('Données projet'!$B$13,Paramètres!$A$1:$I$89,3,0)*0.475*44/12</f>
        <v>7.6886665991140042</v>
      </c>
      <c r="DI77" s="22">
        <f t="shared" si="69"/>
        <v>84.460680947842775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11.327500000000001</v>
      </c>
      <c r="DO77" s="12">
        <f>IF('Données projet'!$A$166&gt;35,DO76+DN77-DW76,IF(A77&lt;'Données projet'!$A$166,$DL$205^A77,IF(A77='Données projet'!$A$166,'Données projet'!$B$166,DO76+DN77-DW76)))</f>
        <v>384.18249999999989</v>
      </c>
      <c r="DP77" s="17">
        <f>DO77*VLOOKUP('Données projet'!$B$14,Paramètres!$A$1:$I$89,3,0)*VLOOKUP('Données projet'!$B$14,Paramètres!$A$1:$I$89,5,0)</f>
        <v>179.79740999999993</v>
      </c>
      <c r="DQ77" s="13">
        <f t="shared" si="97"/>
        <v>45.277110670389604</v>
      </c>
      <c r="DR77" s="20">
        <f t="shared" si="70"/>
        <v>392.00479016759505</v>
      </c>
      <c r="DS77" s="59">
        <f t="shared" si="71"/>
        <v>685.3381235009283</v>
      </c>
      <c r="DT77" s="59">
        <f ca="1">AVERAGE(OFFSET($DS$3,0,0,'Données projet'!$E$14+1,1))-AVERAGE(OFFSET($H$3,0,0,'Données projet'!$E$14+1,1))</f>
        <v>293.15557501692803</v>
      </c>
      <c r="DU77" s="59">
        <f t="shared" si="98"/>
        <v>237.1930412773068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24.544557859180397</v>
      </c>
      <c r="EB77" s="21">
        <f>EXP(-LN(2)/25)*EB76+(1-EXP(-LN(2)/25))/(LN(2)/25)*Calculateur!DW77*Calculateur!DY77*VLOOKUP('Données projet'!$B$14,Paramètres!$A$1:$I$89,3,0)*0.475*44/12</f>
        <v>12.551837696802931</v>
      </c>
      <c r="EC77" s="21">
        <f>EXP(-LN(2)/2)*EC76+(1-EXP(-LN(2)/2))/(LN(2)/2)*DW77*DZ77*VLOOKUP('Données projet'!$B$14,Paramètres!$A$1:$I$89,3,0)*0.475*44/12</f>
        <v>0.27774855783939995</v>
      </c>
      <c r="ED77" s="22">
        <f t="shared" si="72"/>
        <v>37.37414411382273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-1.7053025658242404E-13</v>
      </c>
      <c r="EK77" s="17">
        <f>EJ77*VLOOKUP('Données projet'!$B$15,Paramètres!$A$1:$I$89,3,0)*VLOOKUP('Données projet'!$B$15,Paramètres!$A$1:$I$89,5,0)</f>
        <v>-1.0197709343628959E-13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225.86663363047296</v>
      </c>
      <c r="EP77" s="59">
        <f t="shared" si="100"/>
        <v>258.08349727304397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80.600405851298035</v>
      </c>
      <c r="EW77" s="21">
        <f>EXP(-LN(2)/25)*EW76+(1-EXP(-LN(2)/25))/(LN(2)/25)*Calculateur!ER77*Calculateur!ET77*VLOOKUP('Données projet'!$B$15,Paramètres!$A$1:$I$89,3,0)*0.475*44/12</f>
        <v>26.800292487124253</v>
      </c>
      <c r="EX77" s="21">
        <f>EXP(-LN(2)/2)*EX76+(1-EXP(-LN(2)/2))/(LN(2)/2)*ER77*EU77*VLOOKUP('Données projet'!$B$15,Paramètres!$A$1:$I$89,3,0)*0.475*44/12</f>
        <v>0.69873322247513359</v>
      </c>
      <c r="EY77" s="22">
        <f t="shared" si="75"/>
        <v>108.09943156089741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388.12151914648013</v>
      </c>
      <c r="T78" s="59">
        <f t="shared" si="88"/>
        <v>481.43684454382793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122.19531961855068</v>
      </c>
      <c r="AA78" s="21">
        <f>EXP(-LN(2)/25)*AA77+(1-EXP(-LN(2)/25))/(LN(2)/25)*Calculateur!V78*Calculateur!X78*VLOOKUP('Données projet'!$B$9,Paramètres!$A$1:$I$89,3,0)*0.475*44/12</f>
        <v>36.415313330518259</v>
      </c>
      <c r="AB78" s="21">
        <f>EXP(-LN(2)/2)*AB77+(1-EXP(-LN(2)/2))/(LN(2)/2)*V78*Y78*VLOOKUP('Données projet'!$B$9,Paramètres!$A$1:$I$89,3,0)*0.475*44/12</f>
        <v>0.1067625063669673</v>
      </c>
      <c r="AC78" s="22">
        <f t="shared" si="57"/>
        <v>158.71739545543591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9.7839999999999971</v>
      </c>
      <c r="AI78" s="13">
        <f>IF('Données projet'!$A$62&gt;35,AI77+AH78-AQ77,IF(A78&lt;'Données projet'!$A$62,$AF$205^A78,IF(A78='Données projet'!$A$62,'Données projet'!$B$62,AI77+AH78-AQ77)))</f>
        <v>471.10999999999973</v>
      </c>
      <c r="AJ78" s="13">
        <f>AI78*VLOOKUP('Données projet'!$B$10,Paramètres!$A$1:$I$89,3,0)*VLOOKUP('Données projet'!$B$10,Paramètres!$A$1:$I$89,5,0)</f>
        <v>281.72377999999986</v>
      </c>
      <c r="AK78" s="13">
        <f t="shared" si="89"/>
        <v>67.331162922926637</v>
      </c>
      <c r="AL78" s="20">
        <f t="shared" si="58"/>
        <v>607.93735892409688</v>
      </c>
      <c r="AM78" s="59">
        <f t="shared" si="59"/>
        <v>901.27069225743026</v>
      </c>
      <c r="AN78" s="59">
        <f ca="1">AVERAGE(OFFSET($AM$3,0,0,'Données projet'!$E$10+1,1))-AVERAGE(OFFSET($H$3,0,0,'Données projet'!$E$10+1,1))</f>
        <v>349.71285006949597</v>
      </c>
      <c r="AO78" s="59">
        <f t="shared" si="90"/>
        <v>258.51550516456842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46.243413913277003</v>
      </c>
      <c r="AV78" s="21">
        <f>EXP(-LN(2)/25)*AV77+(1-EXP(-LN(2)/25))/(LN(2)/25)*Calculateur!AQ78*Calculateur!AS78*VLOOKUP('Données projet'!$B$10,Paramètres!$A$1:$I$89,3,0)*0.475*44/12</f>
        <v>16.957836528082598</v>
      </c>
      <c r="AW78" s="21">
        <f>EXP(-LN(2)/2)*AW77+(1-EXP(-LN(2)/2))/(LN(2)/2)*AQ78*AT78*VLOOKUP('Données projet'!$B$10,Paramètres!$A$1:$I$89,3,0)*0.475*44/12</f>
        <v>1.6788938353053768</v>
      </c>
      <c r="AX78" s="21">
        <f t="shared" si="60"/>
        <v>64.880144276664979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142.94871794871796</v>
      </c>
      <c r="BB78" s="12">
        <f>VLOOKUP(A78,'Données projet'!$A$87:$I$107,9,0)</f>
        <v>2.4358974358974366</v>
      </c>
      <c r="BC78" s="12">
        <f t="array" ref="BC78">INDEX(BB:BB,MIN(IF(ISNUMBER(BB78:BB274),ROW(BB78:BB274),"")))</f>
        <v>2.4358974358974366</v>
      </c>
      <c r="BD78" s="12">
        <f>IF('Données projet'!$A$88&gt;35,BD77+BC78-BL77,IF(A78&lt;'Données projet'!$A$88,$BA$205^A78,IF(A78='Données projet'!$A$88,'Données projet'!$B$88,BD77+BC78-BL77)))</f>
        <v>142.94871794871801</v>
      </c>
      <c r="BE78" s="13">
        <f>BD78*VLOOKUP('Données projet'!$B$11,Paramètres!$A$1:$I$89,3,0)*VLOOKUP('Données projet'!$B$11,Paramètres!$A$1:$I$89,5,0)</f>
        <v>149.41000000000008</v>
      </c>
      <c r="BF78" s="13">
        <f t="shared" si="91"/>
        <v>38.444475265192452</v>
      </c>
      <c r="BG78" s="20">
        <f t="shared" si="61"/>
        <v>327.17987775354368</v>
      </c>
      <c r="BH78" s="59">
        <f t="shared" si="62"/>
        <v>620.51321108687694</v>
      </c>
      <c r="BI78" s="59">
        <f ca="1">AVERAGE(OFFSET($BH$3,0,0,'Données projet'!$E$11+1,1))-AVERAGE(OFFSET($H$3,0,0,'Données projet'!$E$11+1,1))</f>
        <v>260.74709892624571</v>
      </c>
      <c r="BJ78" s="59">
        <f t="shared" si="92"/>
        <v>237.17381692184887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8.9743589743589745</v>
      </c>
      <c r="BM78" s="16">
        <f>IF(ISNA(VLOOKUP(A78,'Données projet'!$A$87:$I$107,5,0)),0%,VLOOKUP(A78,'Données projet'!$A$87:$I$107,5,0)*VLOOKUP('Données projet'!$B$11,Paramètres!$A$1:$I$89,7,0))</f>
        <v>4.3000000000000003E-2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2.2061599670428471</v>
      </c>
      <c r="BQ78" s="21">
        <f>EXP(-LN(2)/25)*BQ77+(1-EXP(-LN(2)/25))/(LN(2)/25)*Calculateur!BL78*Calculateur!BN78*VLOOKUP('Données projet'!$B$11,Paramètres!$A$1:$I$89,3,0)*0.475*44/12</f>
        <v>19.422333768767427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21.628493735810274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12.082500000000003</v>
      </c>
      <c r="BY78" s="12">
        <f>IF('Données projet'!$A$114&gt;35,BY77+BX78-CG77,IF(A78&lt;'Données projet'!$A$114,$BV$205^A78,IF(A78='Données projet'!$A$114,'Données projet'!$B$114,BY77+BX78-CG77)))</f>
        <v>351.59250000000009</v>
      </c>
      <c r="BZ78" s="13">
        <f>BY78*VLOOKUP('Données projet'!$B$12,Paramètres!$A$1:$I$89,3,0)*VLOOKUP('Données projet'!$B$12,Paramètres!$A$1:$I$89,5,0)</f>
        <v>318.12089400000008</v>
      </c>
      <c r="CA78" s="13">
        <f t="shared" si="93"/>
        <v>74.962235198318652</v>
      </c>
      <c r="CB78" s="20">
        <f t="shared" si="64"/>
        <v>684.6197833537384</v>
      </c>
      <c r="CC78" s="59">
        <f t="shared" si="65"/>
        <v>977.95311668707177</v>
      </c>
      <c r="CD78" s="59">
        <f ca="1">AVERAGE(OFFSET($CC$3,0,0,'Données projet'!$E$12+1,1))-AVERAGE(OFFSET($H$3,0,0,'Données projet'!$E$12+1,1))</f>
        <v>695.0879239758051</v>
      </c>
      <c r="CE78" s="59">
        <f t="shared" si="94"/>
        <v>226.22150997227476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27.820691776599773</v>
      </c>
      <c r="CL78" s="21">
        <f>EXP(-LN(2)/25)*CL77+(1-EXP(-LN(2)/25))/(LN(2)/25)*Calculateur!CG78*Calculateur!CI78*VLOOKUP('Données projet'!$B$12,Paramètres!$A$1:$I$89,3,0)*0.475*44/12</f>
        <v>39.029830675945185</v>
      </c>
      <c r="CM78" s="21">
        <f>EXP(-LN(2)/2)*CM77+(1-EXP(-LN(2)/2))/(LN(2)/2)*CG78*CJ78*VLOOKUP('Données projet'!$B$12,Paramètres!$A$1:$I$89,3,0)*0.475*44/12</f>
        <v>4.8512166284604499</v>
      </c>
      <c r="CN78" s="22">
        <f t="shared" si="66"/>
        <v>71.701739081005414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12.082500000000003</v>
      </c>
      <c r="CT78" s="12">
        <f>IF('Données projet'!$A$140&gt;35,CT77+CS78-DB77,IF(A78&lt;'Données projet'!$A$140,$CQ$205^A78,IF(A78='Données projet'!$A$140,'Données projet'!$B$140,CT77+CS78-DB77)))</f>
        <v>351.59250000000009</v>
      </c>
      <c r="CU78" s="17">
        <f>CT78*VLOOKUP('Données projet'!$B$13,Paramètres!$A$1:$I$89,3,0)*VLOOKUP('Données projet'!$B$13,Paramètres!$A$1:$I$89,5,0)</f>
        <v>356.51479500000011</v>
      </c>
      <c r="CV78" s="13">
        <f t="shared" si="95"/>
        <v>82.902531925100931</v>
      </c>
      <c r="CW78" s="20">
        <f t="shared" si="67"/>
        <v>765.31851106121758</v>
      </c>
      <c r="CX78" s="59">
        <f t="shared" si="68"/>
        <v>1058.6518443945508</v>
      </c>
      <c r="CY78" s="59">
        <f ca="1">AVERAGE(OFFSET($CX$3,0,0,'Données projet'!$E$13+1,1))-AVERAGE(OFFSET($H$3,0,0,'Données projet'!$E$13+1,1))</f>
        <v>773.15074145293738</v>
      </c>
      <c r="CZ78" s="59">
        <f t="shared" si="96"/>
        <v>248.49577986312505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31.178361473775603</v>
      </c>
      <c r="DG78" s="21">
        <f>EXP(-LN(2)/25)*DG77+(1-EXP(-LN(2)/25))/(LN(2)/25)*Calculateur!DB78*Calculateur!DD78*VLOOKUP('Données projet'!$B$13,Paramètres!$A$1:$I$89,3,0)*0.475*44/12</f>
        <v>43.740327481662703</v>
      </c>
      <c r="DH78" s="21">
        <f>EXP(-LN(2)/2)*DH77+(1-EXP(-LN(2)/2))/(LN(2)/2)*DB78*DE78*VLOOKUP('Données projet'!$B$13,Paramètres!$A$1:$I$89,3,0)*0.475*44/12</f>
        <v>5.4367082905160231</v>
      </c>
      <c r="DI78" s="22">
        <f t="shared" si="69"/>
        <v>80.355397245954336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395.51</v>
      </c>
      <c r="DM78" s="12">
        <f>VLOOKUP(A78,'Données projet'!$A$165:$I$185,9,0)</f>
        <v>11.327500000000001</v>
      </c>
      <c r="DN78" s="12">
        <f t="array" ref="DN78">INDEX(DM:DM,MIN(IF(ISNUMBER(DM78:DM274),ROW(DM78:DM274),"")))</f>
        <v>11.327500000000001</v>
      </c>
      <c r="DO78" s="12">
        <f>IF('Données projet'!$A$166&gt;35,DO77+DN78-DW77,IF(A78&lt;'Données projet'!$A$166,$DL$205^A78,IF(A78='Données projet'!$A$166,'Données projet'!$B$166,DO77+DN78-DW77)))</f>
        <v>395.50999999999988</v>
      </c>
      <c r="DP78" s="17">
        <f>DO78*VLOOKUP('Données projet'!$B$14,Paramètres!$A$1:$I$89,3,0)*VLOOKUP('Données projet'!$B$14,Paramètres!$A$1:$I$89,5,0)</f>
        <v>185.09867999999994</v>
      </c>
      <c r="DQ78" s="13">
        <f t="shared" si="97"/>
        <v>46.454697871845575</v>
      </c>
      <c r="DR78" s="20">
        <f t="shared" si="70"/>
        <v>403.28879979346425</v>
      </c>
      <c r="DS78" s="59">
        <f t="shared" si="71"/>
        <v>696.62213312679751</v>
      </c>
      <c r="DT78" s="59">
        <f ca="1">AVERAGE(OFFSET($DS$3,0,0,'Données projet'!$E$14+1,1))-AVERAGE(OFFSET($H$3,0,0,'Données projet'!$E$14+1,1))</f>
        <v>293.15557501692803</v>
      </c>
      <c r="DU78" s="59">
        <f t="shared" si="98"/>
        <v>237.1930412773068</v>
      </c>
      <c r="DV78" s="15">
        <f>IF(ISNA(VLOOKUP(A78,'Données projet'!$A$165:$I$185,3,0)),0,VLOOKUP(A78,'Données projet'!$A$165:$I$185,3,0))</f>
        <v>3</v>
      </c>
      <c r="DW78" s="15">
        <f>IF(ISNA(VLOOKUP(A78,'Données projet'!$A$165:$I$185,4,0)),0,VLOOKUP(A78,'Données projet'!$A$165:$I$185,4,0))</f>
        <v>93.759999999999991</v>
      </c>
      <c r="DX78" s="16">
        <f>IF(ISNA(VLOOKUP(A78,'Données projet'!$A$165:$I$185,5,0)),0%,VLOOKUP(A78,'Données projet'!$A$165:$I$185,5,0)*VLOOKUP('Données projet'!$B$14,Paramètres!$A$1:$I$89,7,0))</f>
        <v>0.33</v>
      </c>
      <c r="DY78" s="16">
        <f>IF(ISNA(VLOOKUP(A78,'Données projet'!$A$165:$I$185,6,0)),0%,VLOOKUP(A78,'Données projet'!$A$165:$I$185,6,0)*VLOOKUP('Données projet'!$B$14,Paramètres!$A$1:$I$89,7,0))</f>
        <v>0.11000000000000001</v>
      </c>
      <c r="DZ78" s="16">
        <f>IF(ISNA(VLOOKUP(A78,'Données projet'!$A$165:$I$185,7,0)),0%,VLOOKUP(A78,'Données projet'!$A$165:$I$185,7,0))</f>
        <v>0.2</v>
      </c>
      <c r="EA78" s="21">
        <f>EXP(-LN(2)/35)*EA77+(1-EXP(-LN(2)/35))/(LN(2)/35)*DW78*DX78*VLOOKUP('Données projet'!$B$14,Paramètres!$A$1:$I$89,3,0)*0.475*44/12</f>
        <v>43.272297905604148</v>
      </c>
      <c r="EB78" s="21">
        <f>EXP(-LN(2)/25)*EB77+(1-EXP(-LN(2)/25))/(LN(2)/25)*Calculateur!DW78*Calculateur!DY78*VLOOKUP('Données projet'!$B$14,Paramètres!$A$1:$I$89,3,0)*0.475*44/12</f>
        <v>18.586410545065469</v>
      </c>
      <c r="EC78" s="21">
        <f>EXP(-LN(2)/2)*EC77+(1-EXP(-LN(2)/2))/(LN(2)/2)*DW78*DZ78*VLOOKUP('Données projet'!$B$14,Paramètres!$A$1:$I$89,3,0)*0.475*44/12</f>
        <v>10.132796068938246</v>
      </c>
      <c r="ED78" s="22">
        <f t="shared" si="72"/>
        <v>71.991504519607858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-1.7053025658242404E-13</v>
      </c>
      <c r="EK78" s="17">
        <f>EJ78*VLOOKUP('Données projet'!$B$15,Paramètres!$A$1:$I$89,3,0)*VLOOKUP('Données projet'!$B$15,Paramètres!$A$1:$I$89,5,0)</f>
        <v>-1.0197709343628959E-13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225.86663363047296</v>
      </c>
      <c r="EP78" s="59">
        <f t="shared" si="100"/>
        <v>258.08349727304397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79.019881053947358</v>
      </c>
      <c r="EW78" s="21">
        <f>EXP(-LN(2)/25)*EW77+(1-EXP(-LN(2)/25))/(LN(2)/25)*Calculateur!ER78*Calculateur!ET78*VLOOKUP('Données projet'!$B$15,Paramètres!$A$1:$I$89,3,0)*0.475*44/12</f>
        <v>26.067437079697712</v>
      </c>
      <c r="EX78" s="21">
        <f>EXP(-LN(2)/2)*EX77+(1-EXP(-LN(2)/2))/(LN(2)/2)*ER78*EU78*VLOOKUP('Données projet'!$B$15,Paramètres!$A$1:$I$89,3,0)*0.475*44/12</f>
        <v>0.49407899985249554</v>
      </c>
      <c r="EY78" s="22">
        <f t="shared" si="75"/>
        <v>105.58139713349756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388.12151914648013</v>
      </c>
      <c r="T79" s="59">
        <f t="shared" si="88"/>
        <v>481.43684454382793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119.79914393261647</v>
      </c>
      <c r="AA79" s="21">
        <f>EXP(-LN(2)/25)*AA78+(1-EXP(-LN(2)/25))/(LN(2)/25)*Calculateur!V79*Calculateur!X79*VLOOKUP('Données projet'!$B$9,Paramètres!$A$1:$I$89,3,0)*0.475*44/12</f>
        <v>35.419534672497136</v>
      </c>
      <c r="AB79" s="21">
        <f>EXP(-LN(2)/2)*AB78+(1-EXP(-LN(2)/2))/(LN(2)/2)*V79*Y79*VLOOKUP('Données projet'!$B$9,Paramètres!$A$1:$I$89,3,0)*0.475*44/12</f>
        <v>7.5492492228554531E-2</v>
      </c>
      <c r="AC79" s="22">
        <f t="shared" si="57"/>
        <v>155.29417109734217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9.7839999999999971</v>
      </c>
      <c r="AI79" s="13">
        <f>IF('Données projet'!$A$62&gt;35,AI78+AH79-AQ78,IF(A79&lt;'Données projet'!$A$62,$AF$205^A79,IF(A79='Données projet'!$A$62,'Données projet'!$B$62,AI78+AH79-AQ78)))</f>
        <v>480.89399999999972</v>
      </c>
      <c r="AJ79" s="13">
        <f>AI79*VLOOKUP('Données projet'!$B$10,Paramètres!$A$1:$I$89,3,0)*VLOOKUP('Données projet'!$B$10,Paramètres!$A$1:$I$89,5,0)</f>
        <v>287.57461199999989</v>
      </c>
      <c r="AK79" s="13">
        <f t="shared" si="89"/>
        <v>68.565246901335968</v>
      </c>
      <c r="AL79" s="20">
        <f t="shared" si="58"/>
        <v>620.27692091982669</v>
      </c>
      <c r="AM79" s="59">
        <f t="shared" si="59"/>
        <v>913.61025425316006</v>
      </c>
      <c r="AN79" s="59">
        <f ca="1">AVERAGE(OFFSET($AM$3,0,0,'Données projet'!$E$10+1,1))-AVERAGE(OFFSET($H$3,0,0,'Données projet'!$E$10+1,1))</f>
        <v>349.71285006949597</v>
      </c>
      <c r="AO79" s="59">
        <f t="shared" si="90"/>
        <v>258.51550516456842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45.336608772135044</v>
      </c>
      <c r="AV79" s="21">
        <f>EXP(-LN(2)/25)*AV78+(1-EXP(-LN(2)/25))/(LN(2)/25)*Calculateur!AQ79*Calculateur!AS79*VLOOKUP('Données projet'!$B$10,Paramètres!$A$1:$I$89,3,0)*0.475*44/12</f>
        <v>16.494123596448315</v>
      </c>
      <c r="AW79" s="21">
        <f>EXP(-LN(2)/2)*AW78+(1-EXP(-LN(2)/2))/(LN(2)/2)*AQ79*AT79*VLOOKUP('Données projet'!$B$10,Paramètres!$A$1:$I$89,3,0)*0.475*44/12</f>
        <v>1.1871572158367227</v>
      </c>
      <c r="AX79" s="21">
        <f t="shared" si="60"/>
        <v>63.017889584420075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2.3076923076923093</v>
      </c>
      <c r="BD79" s="12">
        <f>IF('Données projet'!$A$88&gt;35,BD78+BC79-BL78,IF(A79&lt;'Données projet'!$A$88,$BA$205^A79,IF(A79='Données projet'!$A$88,'Données projet'!$B$88,BD78+BC79-BL78)))</f>
        <v>136.28205128205136</v>
      </c>
      <c r="BE79" s="13">
        <f>BD79*VLOOKUP('Données projet'!$B$11,Paramètres!$A$1:$I$89,3,0)*VLOOKUP('Données projet'!$B$11,Paramètres!$A$1:$I$89,5,0)</f>
        <v>142.44200000000009</v>
      </c>
      <c r="BF79" s="13">
        <f t="shared" si="91"/>
        <v>36.855869139220644</v>
      </c>
      <c r="BG79" s="20">
        <f t="shared" si="61"/>
        <v>312.27712208414272</v>
      </c>
      <c r="BH79" s="59">
        <f t="shared" si="62"/>
        <v>605.61045541747603</v>
      </c>
      <c r="BI79" s="59">
        <f ca="1">AVERAGE(OFFSET($BH$3,0,0,'Données projet'!$E$11+1,1))-AVERAGE(OFFSET($H$3,0,0,'Données projet'!$E$11+1,1))</f>
        <v>260.74709892624571</v>
      </c>
      <c r="BJ79" s="59">
        <f t="shared" si="92"/>
        <v>237.17381692184887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2.1628985157138474</v>
      </c>
      <c r="BQ79" s="21">
        <f>EXP(-LN(2)/25)*BQ78+(1-EXP(-LN(2)/25))/(LN(2)/25)*Calculateur!BL79*Calculateur!BN79*VLOOKUP('Données projet'!$B$11,Paramètres!$A$1:$I$89,3,0)*0.475*44/12</f>
        <v>18.89122903048434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21.054127546198188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12.082500000000003</v>
      </c>
      <c r="BY79" s="12">
        <f>IF('Données projet'!$A$114&gt;35,BY78+BX79-CG78,IF(A79&lt;'Données projet'!$A$114,$BV$205^A79,IF(A79='Données projet'!$A$114,'Données projet'!$B$114,BY78+BX79-CG78)))</f>
        <v>363.67500000000007</v>
      </c>
      <c r="BZ79" s="13">
        <f>BY79*VLOOKUP('Données projet'!$B$12,Paramètres!$A$1:$I$89,3,0)*VLOOKUP('Données projet'!$B$12,Paramètres!$A$1:$I$89,5,0)</f>
        <v>329.05314000000004</v>
      </c>
      <c r="CA79" s="13">
        <f t="shared" si="93"/>
        <v>77.233966119321479</v>
      </c>
      <c r="CB79" s="20">
        <f t="shared" si="64"/>
        <v>707.61670982448493</v>
      </c>
      <c r="CC79" s="59">
        <f t="shared" si="65"/>
        <v>1000.9500431578183</v>
      </c>
      <c r="CD79" s="59">
        <f ca="1">AVERAGE(OFFSET($CC$3,0,0,'Données projet'!$E$12+1,1))-AVERAGE(OFFSET($H$3,0,0,'Données projet'!$E$12+1,1))</f>
        <v>695.0879239758051</v>
      </c>
      <c r="CE79" s="59">
        <f t="shared" si="94"/>
        <v>226.22150997227476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27.275144979807092</v>
      </c>
      <c r="CL79" s="21">
        <f>EXP(-LN(2)/25)*CL78+(1-EXP(-LN(2)/25))/(LN(2)/25)*Calculateur!CG79*Calculateur!CI79*VLOOKUP('Données projet'!$B$12,Paramètres!$A$1:$I$89,3,0)*0.475*44/12</f>
        <v>37.962557903621871</v>
      </c>
      <c r="CM79" s="21">
        <f>EXP(-LN(2)/2)*CM78+(1-EXP(-LN(2)/2))/(LN(2)/2)*CG79*CJ79*VLOOKUP('Données projet'!$B$12,Paramètres!$A$1:$I$89,3,0)*0.475*44/12</f>
        <v>3.4303281749893242</v>
      </c>
      <c r="CN79" s="22">
        <f t="shared" si="66"/>
        <v>68.668031058418293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12.082500000000003</v>
      </c>
      <c r="CT79" s="12">
        <f>IF('Données projet'!$A$140&gt;35,CT78+CS79-DB78,IF(A79&lt;'Données projet'!$A$140,$CQ$205^A79,IF(A79='Données projet'!$A$140,'Données projet'!$B$140,CT78+CS79-DB78)))</f>
        <v>363.67500000000007</v>
      </c>
      <c r="CU79" s="17">
        <f>CT79*VLOOKUP('Données projet'!$B$13,Paramètres!$A$1:$I$89,3,0)*VLOOKUP('Données projet'!$B$13,Paramètres!$A$1:$I$89,5,0)</f>
        <v>368.76645000000008</v>
      </c>
      <c r="CV79" s="13">
        <f t="shared" si="95"/>
        <v>85.414893579011505</v>
      </c>
      <c r="CW79" s="20">
        <f t="shared" si="67"/>
        <v>791.03250673344519</v>
      </c>
      <c r="CX79" s="59">
        <f t="shared" si="68"/>
        <v>1084.3658400667784</v>
      </c>
      <c r="CY79" s="59">
        <f ca="1">AVERAGE(OFFSET($CX$3,0,0,'Données projet'!$E$13+1,1))-AVERAGE(OFFSET($H$3,0,0,'Données projet'!$E$13+1,1))</f>
        <v>773.15074145293738</v>
      </c>
      <c r="CZ79" s="59">
        <f t="shared" si="96"/>
        <v>248.49577986312505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30.566972822197595</v>
      </c>
      <c r="DG79" s="21">
        <f>EXP(-LN(2)/25)*DG78+(1-EXP(-LN(2)/25))/(LN(2)/25)*Calculateur!DB79*Calculateur!DD79*VLOOKUP('Données projet'!$B$13,Paramètres!$A$1:$I$89,3,0)*0.475*44/12</f>
        <v>42.544245926472783</v>
      </c>
      <c r="DH79" s="21">
        <f>EXP(-LN(2)/2)*DH78+(1-EXP(-LN(2)/2))/(LN(2)/2)*DB79*DE79*VLOOKUP('Données projet'!$B$13,Paramètres!$A$1:$I$89,3,0)*0.475*44/12</f>
        <v>3.8443332995570025</v>
      </c>
      <c r="DI79" s="22">
        <f t="shared" si="69"/>
        <v>76.955552048227389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10.417499999999999</v>
      </c>
      <c r="DO79" s="12">
        <f>IF('Données projet'!$A$166&gt;35,DO78+DN79-DW78,IF(A79&lt;'Données projet'!$A$166,$DL$205^A79,IF(A79='Données projet'!$A$166,'Données projet'!$B$166,DO78+DN79-DW78)))</f>
        <v>312.1674999999999</v>
      </c>
      <c r="DP79" s="17">
        <f>DO79*VLOOKUP('Données projet'!$B$14,Paramètres!$A$1:$I$89,3,0)*VLOOKUP('Données projet'!$B$14,Paramètres!$A$1:$I$89,5,0)</f>
        <v>146.09438999999995</v>
      </c>
      <c r="DQ79" s="13">
        <f t="shared" si="97"/>
        <v>37.689663525323951</v>
      </c>
      <c r="DR79" s="20">
        <f t="shared" si="70"/>
        <v>320.09055988993907</v>
      </c>
      <c r="DS79" s="59">
        <f t="shared" si="71"/>
        <v>613.42389322327244</v>
      </c>
      <c r="DT79" s="59">
        <f ca="1">AVERAGE(OFFSET($DS$3,0,0,'Données projet'!$E$14+1,1))-AVERAGE(OFFSET($H$3,0,0,'Données projet'!$E$14+1,1))</f>
        <v>293.15557501692803</v>
      </c>
      <c r="DU79" s="59">
        <f t="shared" si="98"/>
        <v>237.1930412773068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42.423754537170829</v>
      </c>
      <c r="EB79" s="21">
        <f>EXP(-LN(2)/25)*EB78+(1-EXP(-LN(2)/25))/(LN(2)/25)*Calculateur!DW79*Calculateur!DY79*VLOOKUP('Données projet'!$B$14,Paramètres!$A$1:$I$89,3,0)*0.475*44/12</f>
        <v>18.078164171293803</v>
      </c>
      <c r="EC79" s="21">
        <f>EXP(-LN(2)/2)*EC78+(1-EXP(-LN(2)/2))/(LN(2)/2)*DW79*DZ79*VLOOKUP('Données projet'!$B$14,Paramètres!$A$1:$I$89,3,0)*0.475*44/12</f>
        <v>7.1649688127266256</v>
      </c>
      <c r="ED79" s="22">
        <f t="shared" si="72"/>
        <v>67.666887521191256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-1.7053025658242404E-13</v>
      </c>
      <c r="EK79" s="17">
        <f>EJ79*VLOOKUP('Données projet'!$B$15,Paramètres!$A$1:$I$89,3,0)*VLOOKUP('Données projet'!$B$15,Paramètres!$A$1:$I$89,5,0)</f>
        <v>-1.0197709343628959E-13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225.86663363047296</v>
      </c>
      <c r="EP79" s="59">
        <f t="shared" si="100"/>
        <v>258.08349727304397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77.470349383847804</v>
      </c>
      <c r="EW79" s="21">
        <f>EXP(-LN(2)/25)*EW78+(1-EXP(-LN(2)/25))/(LN(2)/25)*Calculateur!ER79*Calculateur!ET79*VLOOKUP('Données projet'!$B$15,Paramètres!$A$1:$I$89,3,0)*0.475*44/12</f>
        <v>25.354621641926439</v>
      </c>
      <c r="EX79" s="21">
        <f>EXP(-LN(2)/2)*EX78+(1-EXP(-LN(2)/2))/(LN(2)/2)*ER79*EU79*VLOOKUP('Données projet'!$B$15,Paramètres!$A$1:$I$89,3,0)*0.475*44/12</f>
        <v>0.34936661123756685</v>
      </c>
      <c r="EY79" s="22">
        <f t="shared" si="75"/>
        <v>103.17433763701182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388.12151914648013</v>
      </c>
      <c r="T80" s="59">
        <f t="shared" si="88"/>
        <v>481.43684454382793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117.44995579036058</v>
      </c>
      <c r="AA80" s="21">
        <f>EXP(-LN(2)/25)*AA79+(1-EXP(-LN(2)/25))/(LN(2)/25)*Calculateur!V80*Calculateur!X80*VLOOKUP('Données projet'!$B$9,Paramètres!$A$1:$I$89,3,0)*0.475*44/12</f>
        <v>34.450985634245328</v>
      </c>
      <c r="AB80" s="21">
        <f>EXP(-LN(2)/2)*AB79+(1-EXP(-LN(2)/2))/(LN(2)/2)*V80*Y80*VLOOKUP('Données projet'!$B$9,Paramètres!$A$1:$I$89,3,0)*0.475*44/12</f>
        <v>5.3381253183483648E-2</v>
      </c>
      <c r="AC80" s="22">
        <f t="shared" si="57"/>
        <v>151.95432267778938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9.7839999999999971</v>
      </c>
      <c r="AI80" s="13">
        <f>IF('Données projet'!$A$62&gt;35,AI79+AH80-AQ79,IF(A80&lt;'Données projet'!$A$62,$AF$205^A80,IF(A80='Données projet'!$A$62,'Données projet'!$B$62,AI79+AH80-AQ79)))</f>
        <v>490.67799999999971</v>
      </c>
      <c r="AJ80" s="13">
        <f>AI80*VLOOKUP('Données projet'!$B$10,Paramètres!$A$1:$I$89,3,0)*VLOOKUP('Données projet'!$B$10,Paramètres!$A$1:$I$89,5,0)</f>
        <v>293.42544399999986</v>
      </c>
      <c r="AK80" s="13">
        <f t="shared" si="89"/>
        <v>69.796411555705205</v>
      </c>
      <c r="AL80" s="20">
        <f t="shared" si="58"/>
        <v>632.61139842618638</v>
      </c>
      <c r="AM80" s="59">
        <f t="shared" si="59"/>
        <v>925.94473175951975</v>
      </c>
      <c r="AN80" s="59">
        <f ca="1">AVERAGE(OFFSET($AM$3,0,0,'Données projet'!$E$10+1,1))-AVERAGE(OFFSET($H$3,0,0,'Données projet'!$E$10+1,1))</f>
        <v>349.71285006949597</v>
      </c>
      <c r="AO80" s="59">
        <f t="shared" si="90"/>
        <v>258.51550516456842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44.447585526714356</v>
      </c>
      <c r="AV80" s="21">
        <f>EXP(-LN(2)/25)*AV79+(1-EXP(-LN(2)/25))/(LN(2)/25)*Calculateur!AQ80*Calculateur!AS80*VLOOKUP('Données projet'!$B$10,Paramètres!$A$1:$I$89,3,0)*0.475*44/12</f>
        <v>16.043090919315173</v>
      </c>
      <c r="AW80" s="21">
        <f>EXP(-LN(2)/2)*AW79+(1-EXP(-LN(2)/2))/(LN(2)/2)*AQ80*AT80*VLOOKUP('Données projet'!$B$10,Paramètres!$A$1:$I$89,3,0)*0.475*44/12</f>
        <v>0.83944691765268853</v>
      </c>
      <c r="AX80" s="21">
        <f t="shared" si="60"/>
        <v>61.330123363682212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2.3076923076923093</v>
      </c>
      <c r="BD80" s="12">
        <f>IF('Données projet'!$A$88&gt;35,BD79+BC80-BL79,IF(A80&lt;'Données projet'!$A$88,$BA$205^A80,IF(A80='Données projet'!$A$88,'Données projet'!$B$88,BD79+BC80-BL79)))</f>
        <v>138.58974358974368</v>
      </c>
      <c r="BE80" s="13">
        <f>BD80*VLOOKUP('Données projet'!$B$11,Paramètres!$A$1:$I$89,3,0)*VLOOKUP('Données projet'!$B$11,Paramètres!$A$1:$I$89,5,0)</f>
        <v>144.8540000000001</v>
      </c>
      <c r="BF80" s="13">
        <f t="shared" si="91"/>
        <v>37.406773318436038</v>
      </c>
      <c r="BG80" s="20">
        <f t="shared" si="61"/>
        <v>317.43751352960959</v>
      </c>
      <c r="BH80" s="59">
        <f t="shared" si="62"/>
        <v>610.7708468629429</v>
      </c>
      <c r="BI80" s="59">
        <f ca="1">AVERAGE(OFFSET($BH$3,0,0,'Données projet'!$E$11+1,1))-AVERAGE(OFFSET($H$3,0,0,'Données projet'!$E$11+1,1))</f>
        <v>260.74709892624571</v>
      </c>
      <c r="BJ80" s="59">
        <f t="shared" si="92"/>
        <v>237.17381692184887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2.1204853950585294</v>
      </c>
      <c r="BQ80" s="21">
        <f>EXP(-LN(2)/25)*BQ79+(1-EXP(-LN(2)/25))/(LN(2)/25)*Calculateur!BL80*Calculateur!BN80*VLOOKUP('Données projet'!$B$11,Paramètres!$A$1:$I$89,3,0)*0.475*44/12</f>
        <v>18.374647379199185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20.495132774257716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12.082500000000003</v>
      </c>
      <c r="BY80" s="12">
        <f>IF('Données projet'!$A$114&gt;35,BY79+BX80-CG79,IF(A80&lt;'Données projet'!$A$114,$BV$205^A80,IF(A80='Données projet'!$A$114,'Données projet'!$B$114,BY79+BX80-CG79)))</f>
        <v>375.75750000000005</v>
      </c>
      <c r="BZ80" s="13">
        <f>BY80*VLOOKUP('Données projet'!$B$12,Paramètres!$A$1:$I$89,3,0)*VLOOKUP('Données projet'!$B$12,Paramètres!$A$1:$I$89,5,0)</f>
        <v>339.98538600000006</v>
      </c>
      <c r="CA80" s="13">
        <f t="shared" si="93"/>
        <v>79.496927069315888</v>
      </c>
      <c r="CB80" s="20">
        <f t="shared" si="64"/>
        <v>730.59836192905857</v>
      </c>
      <c r="CC80" s="59">
        <f t="shared" si="65"/>
        <v>1023.9316952623919</v>
      </c>
      <c r="CD80" s="59">
        <f ca="1">AVERAGE(OFFSET($CC$3,0,0,'Données projet'!$E$12+1,1))-AVERAGE(OFFSET($H$3,0,0,'Données projet'!$E$12+1,1))</f>
        <v>695.0879239758051</v>
      </c>
      <c r="CE80" s="59">
        <f t="shared" si="94"/>
        <v>226.22150997227476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26.740296022948826</v>
      </c>
      <c r="CL80" s="21">
        <f>EXP(-LN(2)/25)*CL79+(1-EXP(-LN(2)/25))/(LN(2)/25)*Calculateur!CG80*Calculateur!CI80*VLOOKUP('Données projet'!$B$12,Paramètres!$A$1:$I$89,3,0)*0.475*44/12</f>
        <v>36.924469761383179</v>
      </c>
      <c r="CM80" s="21">
        <f>EXP(-LN(2)/2)*CM79+(1-EXP(-LN(2)/2))/(LN(2)/2)*CG80*CJ80*VLOOKUP('Données projet'!$B$12,Paramètres!$A$1:$I$89,3,0)*0.475*44/12</f>
        <v>2.4256083142302249</v>
      </c>
      <c r="CN80" s="22">
        <f t="shared" si="66"/>
        <v>66.090374098562236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12.082500000000003</v>
      </c>
      <c r="CT80" s="12">
        <f>IF('Données projet'!$A$140&gt;35,CT79+CS80-DB79,IF(A80&lt;'Données projet'!$A$140,$CQ$205^A80,IF(A80='Données projet'!$A$140,'Données projet'!$B$140,CT79+CS80-DB79)))</f>
        <v>375.75750000000005</v>
      </c>
      <c r="CU80" s="17">
        <f>CT80*VLOOKUP('Données projet'!$B$13,Paramètres!$A$1:$I$89,3,0)*VLOOKUP('Données projet'!$B$13,Paramètres!$A$1:$I$89,5,0)</f>
        <v>381.01810500000005</v>
      </c>
      <c r="CV80" s="13">
        <f t="shared" si="95"/>
        <v>87.917556311864089</v>
      </c>
      <c r="CW80" s="20">
        <f t="shared" si="67"/>
        <v>816.72961011816324</v>
      </c>
      <c r="CX80" s="59">
        <f t="shared" si="68"/>
        <v>1110.0629434514965</v>
      </c>
      <c r="CY80" s="59">
        <f ca="1">AVERAGE(OFFSET($CX$3,0,0,'Données projet'!$E$13+1,1))-AVERAGE(OFFSET($H$3,0,0,'Données projet'!$E$13+1,1))</f>
        <v>773.15074145293738</v>
      </c>
      <c r="CZ80" s="59">
        <f t="shared" si="96"/>
        <v>248.49577986312505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29.96757312916678</v>
      </c>
      <c r="DG80" s="21">
        <f>EXP(-LN(2)/25)*DG79+(1-EXP(-LN(2)/25))/(LN(2)/25)*Calculateur!DB80*Calculateur!DD80*VLOOKUP('Données projet'!$B$13,Paramètres!$A$1:$I$89,3,0)*0.475*44/12</f>
        <v>41.380871284308725</v>
      </c>
      <c r="DH80" s="21">
        <f>EXP(-LN(2)/2)*DH79+(1-EXP(-LN(2)/2))/(LN(2)/2)*DB80*DE80*VLOOKUP('Données projet'!$B$13,Paramètres!$A$1:$I$89,3,0)*0.475*44/12</f>
        <v>2.718354145258012</v>
      </c>
      <c r="DI80" s="22">
        <f t="shared" si="69"/>
        <v>74.066798558733524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10.417499999999999</v>
      </c>
      <c r="DO80" s="12">
        <f>IF('Données projet'!$A$166&gt;35,DO79+DN80-DW79,IF(A80&lt;'Données projet'!$A$166,$DL$205^A80,IF(A80='Données projet'!$A$166,'Données projet'!$B$166,DO79+DN80-DW79)))</f>
        <v>322.58499999999992</v>
      </c>
      <c r="DP80" s="17">
        <f>DO80*VLOOKUP('Données projet'!$B$14,Paramètres!$A$1:$I$89,3,0)*VLOOKUP('Données projet'!$B$14,Paramètres!$A$1:$I$89,5,0)</f>
        <v>150.96977999999996</v>
      </c>
      <c r="DQ80" s="13">
        <f t="shared" si="97"/>
        <v>38.798888878952567</v>
      </c>
      <c r="DR80" s="20">
        <f t="shared" si="70"/>
        <v>330.51376496417566</v>
      </c>
      <c r="DS80" s="59">
        <f t="shared" si="71"/>
        <v>623.84709829750898</v>
      </c>
      <c r="DT80" s="59">
        <f ca="1">AVERAGE(OFFSET($DS$3,0,0,'Données projet'!$E$14+1,1))-AVERAGE(OFFSET($H$3,0,0,'Données projet'!$E$14+1,1))</f>
        <v>293.15557501692803</v>
      </c>
      <c r="DU80" s="59">
        <f t="shared" si="98"/>
        <v>237.1930412773068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41.591850586632141</v>
      </c>
      <c r="EB80" s="21">
        <f>EXP(-LN(2)/25)*EB79+(1-EXP(-LN(2)/25))/(LN(2)/25)*Calculateur!DW80*Calculateur!DY80*VLOOKUP('Données projet'!$B$14,Paramètres!$A$1:$I$89,3,0)*0.475*44/12</f>
        <v>17.583815821340437</v>
      </c>
      <c r="EC80" s="21">
        <f>EXP(-LN(2)/2)*EC79+(1-EXP(-LN(2)/2))/(LN(2)/2)*DW80*DZ80*VLOOKUP('Données projet'!$B$14,Paramètres!$A$1:$I$89,3,0)*0.475*44/12</f>
        <v>5.066398034469124</v>
      </c>
      <c r="ED80" s="22">
        <f t="shared" si="72"/>
        <v>64.242064442441702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-1.7053025658242404E-13</v>
      </c>
      <c r="EK80" s="17">
        <f>EJ80*VLOOKUP('Données projet'!$B$15,Paramètres!$A$1:$I$89,3,0)*VLOOKUP('Données projet'!$B$15,Paramètres!$A$1:$I$89,5,0)</f>
        <v>-1.0197709343628959E-13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225.86663363047296</v>
      </c>
      <c r="EP80" s="59">
        <f t="shared" si="100"/>
        <v>258.08349727304397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75.9512030846779</v>
      </c>
      <c r="EW80" s="21">
        <f>EXP(-LN(2)/25)*EW79+(1-EXP(-LN(2)/25))/(LN(2)/25)*Calculateur!ER80*Calculateur!ET80*VLOOKUP('Données projet'!$B$15,Paramètres!$A$1:$I$89,3,0)*0.475*44/12</f>
        <v>24.661298179786357</v>
      </c>
      <c r="EX80" s="21">
        <f>EXP(-LN(2)/2)*EX79+(1-EXP(-LN(2)/2))/(LN(2)/2)*ER80*EU80*VLOOKUP('Données projet'!$B$15,Paramètres!$A$1:$I$89,3,0)*0.475*44/12</f>
        <v>0.24703949992624782</v>
      </c>
      <c r="EY80" s="22">
        <f t="shared" si="75"/>
        <v>100.8595407643905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388.12151914648013</v>
      </c>
      <c r="T81" s="59">
        <f t="shared" si="88"/>
        <v>481.43684454382793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115.14683379471103</v>
      </c>
      <c r="AA81" s="21">
        <f>EXP(-LN(2)/25)*AA80+(1-EXP(-LN(2)/25))/(LN(2)/25)*Calculateur!V81*Calculateur!X81*VLOOKUP('Données projet'!$B$9,Paramètres!$A$1:$I$89,3,0)*0.475*44/12</f>
        <v>33.508921620378295</v>
      </c>
      <c r="AB81" s="21">
        <f>EXP(-LN(2)/2)*AB80+(1-EXP(-LN(2)/2))/(LN(2)/2)*V81*Y81*VLOOKUP('Données projet'!$B$9,Paramètres!$A$1:$I$89,3,0)*0.475*44/12</f>
        <v>3.7746246114277265E-2</v>
      </c>
      <c r="AC81" s="22">
        <f t="shared" si="57"/>
        <v>148.69350166120358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9.7839999999999971</v>
      </c>
      <c r="AI81" s="13">
        <f>IF('Données projet'!$A$62&gt;35,AI80+AH81-AQ80,IF(A81&lt;'Données projet'!$A$62,$AF$205^A81,IF(A81='Données projet'!$A$62,'Données projet'!$B$62,AI80+AH81-AQ80)))</f>
        <v>500.4619999999997</v>
      </c>
      <c r="AJ81" s="13">
        <f>AI81*VLOOKUP('Données projet'!$B$10,Paramètres!$A$1:$I$89,3,0)*VLOOKUP('Données projet'!$B$10,Paramètres!$A$1:$I$89,5,0)</f>
        <v>299.27627599999983</v>
      </c>
      <c r="AK81" s="13">
        <f t="shared" si="89"/>
        <v>71.024721805685132</v>
      </c>
      <c r="AL81" s="20">
        <f t="shared" si="58"/>
        <v>644.94090451156796</v>
      </c>
      <c r="AM81" s="59">
        <f t="shared" si="59"/>
        <v>938.27423784490134</v>
      </c>
      <c r="AN81" s="59">
        <f ca="1">AVERAGE(OFFSET($AM$3,0,0,'Données projet'!$E$10+1,1))-AVERAGE(OFFSET($H$3,0,0,'Données projet'!$E$10+1,1))</f>
        <v>349.71285006949597</v>
      </c>
      <c r="AO81" s="59">
        <f t="shared" si="90"/>
        <v>258.51550516456842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43.57599548488573</v>
      </c>
      <c r="AV81" s="21">
        <f>EXP(-LN(2)/25)*AV80+(1-EXP(-LN(2)/25))/(LN(2)/25)*Calculateur!AQ81*Calculateur!AS81*VLOOKUP('Données projet'!$B$10,Paramètres!$A$1:$I$89,3,0)*0.475*44/12</f>
        <v>15.604391754457016</v>
      </c>
      <c r="AW81" s="21">
        <f>EXP(-LN(2)/2)*AW80+(1-EXP(-LN(2)/2))/(LN(2)/2)*AQ81*AT81*VLOOKUP('Données projet'!$B$10,Paramètres!$A$1:$I$89,3,0)*0.475*44/12</f>
        <v>0.59357860791836148</v>
      </c>
      <c r="AX81" s="21">
        <f t="shared" si="60"/>
        <v>59.77396584726111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2.3076923076923093</v>
      </c>
      <c r="BD81" s="12">
        <f>IF('Données projet'!$A$88&gt;35,BD80+BC81-BL80,IF(A81&lt;'Données projet'!$A$88,$BA$205^A81,IF(A81='Données projet'!$A$88,'Données projet'!$B$88,BD80+BC81-BL80)))</f>
        <v>140.897435897436</v>
      </c>
      <c r="BE81" s="13">
        <f>BD81*VLOOKUP('Données projet'!$B$11,Paramètres!$A$1:$I$89,3,0)*VLOOKUP('Données projet'!$B$11,Paramètres!$A$1:$I$89,5,0)</f>
        <v>147.2660000000001</v>
      </c>
      <c r="BF81" s="13">
        <f t="shared" si="91"/>
        <v>37.95661071420276</v>
      </c>
      <c r="BG81" s="20">
        <f t="shared" si="61"/>
        <v>322.59604699390326</v>
      </c>
      <c r="BH81" s="59">
        <f t="shared" si="62"/>
        <v>615.92938032723657</v>
      </c>
      <c r="BI81" s="59">
        <f ca="1">AVERAGE(OFFSET($BH$3,0,0,'Données projet'!$E$11+1,1))-AVERAGE(OFFSET($H$3,0,0,'Données projet'!$E$11+1,1))</f>
        <v>260.74709892624571</v>
      </c>
      <c r="BJ81" s="59">
        <f t="shared" si="92"/>
        <v>237.17381692184887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2.0789039698298133</v>
      </c>
      <c r="BQ81" s="21">
        <f>EXP(-LN(2)/25)*BQ80+(1-EXP(-LN(2)/25))/(LN(2)/25)*Calculateur!BL81*Calculateur!BN81*VLOOKUP('Données projet'!$B$11,Paramètres!$A$1:$I$89,3,0)*0.475*44/12</f>
        <v>17.872191680334275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19.951095650164088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12.082500000000003</v>
      </c>
      <c r="BY81" s="12">
        <f>IF('Données projet'!$A$114&gt;35,BY80+BX81-CG80,IF(A81&lt;'Données projet'!$A$114,$BV$205^A81,IF(A81='Données projet'!$A$114,'Données projet'!$B$114,BY80+BX81-CG80)))</f>
        <v>387.84000000000003</v>
      </c>
      <c r="BZ81" s="13">
        <f>BY81*VLOOKUP('Données projet'!$B$12,Paramètres!$A$1:$I$89,3,0)*VLOOKUP('Données projet'!$B$12,Paramètres!$A$1:$I$89,5,0)</f>
        <v>350.91763200000003</v>
      </c>
      <c r="CA81" s="13">
        <f t="shared" si="93"/>
        <v>81.751432393323299</v>
      </c>
      <c r="CB81" s="20">
        <f t="shared" si="64"/>
        <v>753.56528715170464</v>
      </c>
      <c r="CC81" s="59">
        <f t="shared" si="65"/>
        <v>1046.898620485038</v>
      </c>
      <c r="CD81" s="59">
        <f ca="1">AVERAGE(OFFSET($CC$3,0,0,'Données projet'!$E$12+1,1))-AVERAGE(OFFSET($H$3,0,0,'Données projet'!$E$12+1,1))</f>
        <v>695.0879239758051</v>
      </c>
      <c r="CE81" s="59">
        <f t="shared" si="94"/>
        <v>226.22150997227476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26.215935127908896</v>
      </c>
      <c r="CL81" s="21">
        <f>EXP(-LN(2)/25)*CL80+(1-EXP(-LN(2)/25))/(LN(2)/25)*Calculateur!CG81*Calculateur!CI81*VLOOKUP('Données projet'!$B$12,Paramètres!$A$1:$I$89,3,0)*0.475*44/12</f>
        <v>35.914768193984685</v>
      </c>
      <c r="CM81" s="21">
        <f>EXP(-LN(2)/2)*CM80+(1-EXP(-LN(2)/2))/(LN(2)/2)*CG81*CJ81*VLOOKUP('Données projet'!$B$12,Paramètres!$A$1:$I$89,3,0)*0.475*44/12</f>
        <v>1.7151640874946621</v>
      </c>
      <c r="CN81" s="22">
        <f t="shared" si="66"/>
        <v>63.845867409388241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12.082500000000003</v>
      </c>
      <c r="CT81" s="12">
        <f>IF('Données projet'!$A$140&gt;35,CT80+CS81-DB80,IF(A81&lt;'Données projet'!$A$140,$CQ$205^A81,IF(A81='Données projet'!$A$140,'Données projet'!$B$140,CT80+CS81-DB80)))</f>
        <v>387.84000000000003</v>
      </c>
      <c r="CU81" s="17">
        <f>CT81*VLOOKUP('Données projet'!$B$13,Paramètres!$A$1:$I$89,3,0)*VLOOKUP('Données projet'!$B$13,Paramètres!$A$1:$I$89,5,0)</f>
        <v>393.26976000000008</v>
      </c>
      <c r="CV81" s="13">
        <f t="shared" si="95"/>
        <v>90.410867765349565</v>
      </c>
      <c r="CW81" s="20">
        <f t="shared" si="67"/>
        <v>842.4104266913173</v>
      </c>
      <c r="CX81" s="59">
        <f t="shared" si="68"/>
        <v>1135.7437600246506</v>
      </c>
      <c r="CY81" s="59">
        <f ca="1">AVERAGE(OFFSET($CX$3,0,0,'Données projet'!$E$13+1,1))-AVERAGE(OFFSET($H$3,0,0,'Données projet'!$E$13+1,1))</f>
        <v>773.15074145293738</v>
      </c>
      <c r="CZ81" s="59">
        <f t="shared" si="96"/>
        <v>248.49577986312505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29.379927298518584</v>
      </c>
      <c r="DG81" s="21">
        <f>EXP(-LN(2)/25)*DG80+(1-EXP(-LN(2)/25))/(LN(2)/25)*Calculateur!DB81*Calculateur!DD81*VLOOKUP('Données projet'!$B$13,Paramètres!$A$1:$I$89,3,0)*0.475*44/12</f>
        <v>40.249309182913862</v>
      </c>
      <c r="DH81" s="21">
        <f>EXP(-LN(2)/2)*DH80+(1-EXP(-LN(2)/2))/(LN(2)/2)*DB81*DE81*VLOOKUP('Données projet'!$B$13,Paramètres!$A$1:$I$89,3,0)*0.475*44/12</f>
        <v>1.9221666497785017</v>
      </c>
      <c r="DI81" s="22">
        <f t="shared" si="69"/>
        <v>71.551403131210947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10.417499999999999</v>
      </c>
      <c r="DO81" s="12">
        <f>IF('Données projet'!$A$166&gt;35,DO80+DN81-DW80,IF(A81&lt;'Données projet'!$A$166,$DL$205^A81,IF(A81='Données projet'!$A$166,'Données projet'!$B$166,DO80+DN81-DW80)))</f>
        <v>333.00249999999994</v>
      </c>
      <c r="DP81" s="17">
        <f>DO81*VLOOKUP('Données projet'!$B$14,Paramètres!$A$1:$I$89,3,0)*VLOOKUP('Données projet'!$B$14,Paramètres!$A$1:$I$89,5,0)</f>
        <v>155.84516999999997</v>
      </c>
      <c r="DQ81" s="13">
        <f t="shared" si="97"/>
        <v>39.903951717068814</v>
      </c>
      <c r="DR81" s="20">
        <f t="shared" si="70"/>
        <v>340.9297203238948</v>
      </c>
      <c r="DS81" s="59">
        <f t="shared" si="71"/>
        <v>634.26305365722806</v>
      </c>
      <c r="DT81" s="59">
        <f ca="1">AVERAGE(OFFSET($DS$3,0,0,'Données projet'!$E$14+1,1))-AVERAGE(OFFSET($H$3,0,0,'Données projet'!$E$14+1,1))</f>
        <v>293.15557501692803</v>
      </c>
      <c r="DU81" s="59">
        <f t="shared" si="98"/>
        <v>237.1930412773068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40.776259765152211</v>
      </c>
      <c r="EB81" s="21">
        <f>EXP(-LN(2)/25)*EB80+(1-EXP(-LN(2)/25))/(LN(2)/25)*Calculateur!DW81*Calculateur!DY81*VLOOKUP('Données projet'!$B$14,Paramètres!$A$1:$I$89,3,0)*0.475*44/12</f>
        <v>17.102985453013197</v>
      </c>
      <c r="EC81" s="21">
        <f>EXP(-LN(2)/2)*EC80+(1-EXP(-LN(2)/2))/(LN(2)/2)*DW81*DZ81*VLOOKUP('Données projet'!$B$14,Paramètres!$A$1:$I$89,3,0)*0.475*44/12</f>
        <v>3.5824844063633137</v>
      </c>
      <c r="ED81" s="22">
        <f t="shared" si="72"/>
        <v>61.461729624528722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-1.7053025658242404E-13</v>
      </c>
      <c r="EK81" s="17">
        <f>EJ81*VLOOKUP('Données projet'!$B$15,Paramètres!$A$1:$I$89,3,0)*VLOOKUP('Données projet'!$B$15,Paramètres!$A$1:$I$89,5,0)</f>
        <v>-1.0197709343628959E-13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225.86663363047296</v>
      </c>
      <c r="EP81" s="59">
        <f t="shared" si="100"/>
        <v>258.08349727304397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74.461846317846963</v>
      </c>
      <c r="EW81" s="21">
        <f>EXP(-LN(2)/25)*EW80+(1-EXP(-LN(2)/25))/(LN(2)/25)*Calculateur!ER81*Calculateur!ET81*VLOOKUP('Données projet'!$B$15,Paramètres!$A$1:$I$89,3,0)*0.475*44/12</f>
        <v>23.986933684178791</v>
      </c>
      <c r="EX81" s="21">
        <f>EXP(-LN(2)/2)*EX80+(1-EXP(-LN(2)/2))/(LN(2)/2)*ER81*EU81*VLOOKUP('Données projet'!$B$15,Paramètres!$A$1:$I$89,3,0)*0.475*44/12</f>
        <v>0.17468330561878345</v>
      </c>
      <c r="EY81" s="22">
        <f t="shared" si="75"/>
        <v>98.623463307644542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388.12151914648013</v>
      </c>
      <c r="T82" s="59">
        <f t="shared" si="88"/>
        <v>481.43684454382793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112.88887461663046</v>
      </c>
      <c r="AA82" s="21">
        <f>EXP(-LN(2)/25)*AA81+(1-EXP(-LN(2)/25))/(LN(2)/25)*Calculateur!V82*Calculateur!X82*VLOOKUP('Données projet'!$B$9,Paramètres!$A$1:$I$89,3,0)*0.475*44/12</f>
        <v>32.592618396511448</v>
      </c>
      <c r="AB82" s="21">
        <f>EXP(-LN(2)/2)*AB81+(1-EXP(-LN(2)/2))/(LN(2)/2)*V82*Y82*VLOOKUP('Données projet'!$B$9,Paramètres!$A$1:$I$89,3,0)*0.475*44/12</f>
        <v>2.6690626591741824E-2</v>
      </c>
      <c r="AC82" s="22">
        <f t="shared" si="57"/>
        <v>145.50818363973366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9.7839999999999971</v>
      </c>
      <c r="AI82" s="13">
        <f>IF('Données projet'!$A$62&gt;35,AI81+AH82-AQ81,IF(A82&lt;'Données projet'!$A$62,$AF$205^A82,IF(A82='Données projet'!$A$62,'Données projet'!$B$62,AI81+AH82-AQ81)))</f>
        <v>510.2459999999997</v>
      </c>
      <c r="AJ82" s="13">
        <f>AI82*VLOOKUP('Données projet'!$B$10,Paramètres!$A$1:$I$89,3,0)*VLOOKUP('Données projet'!$B$10,Paramètres!$A$1:$I$89,5,0)</f>
        <v>305.12710799999985</v>
      </c>
      <c r="AK82" s="13">
        <f t="shared" si="89"/>
        <v>72.25023988738603</v>
      </c>
      <c r="AL82" s="20">
        <f t="shared" si="58"/>
        <v>657.26554757053043</v>
      </c>
      <c r="AM82" s="59">
        <f t="shared" si="59"/>
        <v>950.5988809038638</v>
      </c>
      <c r="AN82" s="59">
        <f ca="1">AVERAGE(OFFSET($AM$3,0,0,'Données projet'!$E$10+1,1))-AVERAGE(OFFSET($H$3,0,0,'Données projet'!$E$10+1,1))</f>
        <v>349.71285006949597</v>
      </c>
      <c r="AO82" s="59">
        <f t="shared" si="90"/>
        <v>258.51550516456842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42.721496792159932</v>
      </c>
      <c r="AV82" s="21">
        <f>EXP(-LN(2)/25)*AV81+(1-EXP(-LN(2)/25))/(LN(2)/25)*Calculateur!AQ82*Calculateur!AS82*VLOOKUP('Données projet'!$B$10,Paramètres!$A$1:$I$89,3,0)*0.475*44/12</f>
        <v>15.17768884133209</v>
      </c>
      <c r="AW82" s="21">
        <f>EXP(-LN(2)/2)*AW81+(1-EXP(-LN(2)/2))/(LN(2)/2)*AQ82*AT82*VLOOKUP('Données projet'!$B$10,Paramètres!$A$1:$I$89,3,0)*0.475*44/12</f>
        <v>0.41972345882634432</v>
      </c>
      <c r="AX82" s="21">
        <f t="shared" si="60"/>
        <v>58.318909092318371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2.3076923076923093</v>
      </c>
      <c r="BD82" s="12">
        <f>IF('Données projet'!$A$88&gt;35,BD81+BC82-BL81,IF(A82&lt;'Données projet'!$A$88,$BA$205^A82,IF(A82='Données projet'!$A$88,'Données projet'!$B$88,BD81+BC82-BL81)))</f>
        <v>143.20512820512832</v>
      </c>
      <c r="BE82" s="13">
        <f>BD82*VLOOKUP('Données projet'!$B$11,Paramètres!$A$1:$I$89,3,0)*VLOOKUP('Données projet'!$B$11,Paramètres!$A$1:$I$89,5,0)</f>
        <v>149.67800000000014</v>
      </c>
      <c r="BF82" s="13">
        <f t="shared" si="91"/>
        <v>38.505400815815293</v>
      </c>
      <c r="BG82" s="20">
        <f t="shared" si="61"/>
        <v>327.7527564208786</v>
      </c>
      <c r="BH82" s="59">
        <f t="shared" si="62"/>
        <v>621.08608975421191</v>
      </c>
      <c r="BI82" s="59">
        <f ca="1">AVERAGE(OFFSET($BH$3,0,0,'Données projet'!$E$11+1,1))-AVERAGE(OFFSET($H$3,0,0,'Données projet'!$E$11+1,1))</f>
        <v>260.74709892624571</v>
      </c>
      <c r="BJ82" s="59">
        <f t="shared" si="92"/>
        <v>237.17381692184887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2.0381379309876668</v>
      </c>
      <c r="BQ82" s="21">
        <f>EXP(-LN(2)/25)*BQ81+(1-EXP(-LN(2)/25))/(LN(2)/25)*Calculateur!BL82*Calculateur!BN82*VLOOKUP('Données projet'!$B$11,Paramètres!$A$1:$I$89,3,0)*0.475*44/12</f>
        <v>17.383475658977822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19.421613589965489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12.082500000000003</v>
      </c>
      <c r="BY82" s="12">
        <f>IF('Données projet'!$A$114&gt;35,BY81+BX82-CG81,IF(A82&lt;'Données projet'!$A$114,$BV$205^A82,IF(A82='Données projet'!$A$114,'Données projet'!$B$114,BY81+BX82-CG81)))</f>
        <v>399.92250000000001</v>
      </c>
      <c r="BZ82" s="13">
        <f>BY82*VLOOKUP('Données projet'!$B$12,Paramètres!$A$1:$I$89,3,0)*VLOOKUP('Données projet'!$B$12,Paramètres!$A$1:$I$89,5,0)</f>
        <v>361.84987799999999</v>
      </c>
      <c r="CA82" s="13">
        <f t="shared" si="93"/>
        <v>83.997775738072022</v>
      </c>
      <c r="CB82" s="20">
        <f t="shared" si="64"/>
        <v>776.51799692714212</v>
      </c>
      <c r="CC82" s="59">
        <f t="shared" si="65"/>
        <v>1069.8513302604754</v>
      </c>
      <c r="CD82" s="59">
        <f ca="1">AVERAGE(OFFSET($CC$3,0,0,'Données projet'!$E$12+1,1))-AVERAGE(OFFSET($H$3,0,0,'Données projet'!$E$12+1,1))</f>
        <v>695.0879239758051</v>
      </c>
      <c r="CE82" s="59">
        <f t="shared" si="94"/>
        <v>226.22150997227476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25.701856630192136</v>
      </c>
      <c r="CL82" s="21">
        <f>EXP(-LN(2)/25)*CL81+(1-EXP(-LN(2)/25))/(LN(2)/25)*Calculateur!CG82*Calculateur!CI82*VLOOKUP('Données projet'!$B$12,Paramètres!$A$1:$I$89,3,0)*0.475*44/12</f>
        <v>34.9326769690446</v>
      </c>
      <c r="CM82" s="21">
        <f>EXP(-LN(2)/2)*CM81+(1-EXP(-LN(2)/2))/(LN(2)/2)*CG82*CJ82*VLOOKUP('Données projet'!$B$12,Paramètres!$A$1:$I$89,3,0)*0.475*44/12</f>
        <v>1.2128041571151125</v>
      </c>
      <c r="CN82" s="22">
        <f t="shared" si="66"/>
        <v>61.847337756351848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12.082500000000003</v>
      </c>
      <c r="CT82" s="12">
        <f>IF('Données projet'!$A$140&gt;35,CT81+CS82-DB81,IF(A82&lt;'Données projet'!$A$140,$CQ$205^A82,IF(A82='Données projet'!$A$140,'Données projet'!$B$140,CT81+CS82-DB81)))</f>
        <v>399.92250000000001</v>
      </c>
      <c r="CU82" s="17">
        <f>CT82*VLOOKUP('Données projet'!$B$13,Paramètres!$A$1:$I$89,3,0)*VLOOKUP('Données projet'!$B$13,Paramètres!$A$1:$I$89,5,0)</f>
        <v>405.52141500000005</v>
      </c>
      <c r="CV82" s="13">
        <f t="shared" si="95"/>
        <v>92.895152690420019</v>
      </c>
      <c r="CW82" s="20">
        <f t="shared" si="67"/>
        <v>868.07552206081482</v>
      </c>
      <c r="CX82" s="59">
        <f t="shared" si="68"/>
        <v>1161.4088553941481</v>
      </c>
      <c r="CY82" s="59">
        <f ca="1">AVERAGE(OFFSET($CX$3,0,0,'Données projet'!$E$13+1,1))-AVERAGE(OFFSET($H$3,0,0,'Données projet'!$E$13+1,1))</f>
        <v>773.15074145293738</v>
      </c>
      <c r="CZ82" s="59">
        <f t="shared" si="96"/>
        <v>248.49577986312505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28.803804844180835</v>
      </c>
      <c r="DG82" s="21">
        <f>EXP(-LN(2)/25)*DG81+(1-EXP(-LN(2)/25))/(LN(2)/25)*Calculateur!DB82*Calculateur!DD82*VLOOKUP('Données projet'!$B$13,Paramètres!$A$1:$I$89,3,0)*0.475*44/12</f>
        <v>39.148689706687904</v>
      </c>
      <c r="DH82" s="21">
        <f>EXP(-LN(2)/2)*DH81+(1-EXP(-LN(2)/2))/(LN(2)/2)*DB82*DE82*VLOOKUP('Données projet'!$B$13,Paramètres!$A$1:$I$89,3,0)*0.475*44/12</f>
        <v>1.3591770726290062</v>
      </c>
      <c r="DI82" s="22">
        <f t="shared" si="69"/>
        <v>69.311671623497745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10.417499999999999</v>
      </c>
      <c r="DO82" s="12">
        <f>IF('Données projet'!$A$166&gt;35,DO81+DN82-DW81,IF(A82&lt;'Données projet'!$A$166,$DL$205^A82,IF(A82='Données projet'!$A$166,'Données projet'!$B$166,DO81+DN82-DW81)))</f>
        <v>343.41999999999996</v>
      </c>
      <c r="DP82" s="17">
        <f>DO82*VLOOKUP('Données projet'!$B$14,Paramètres!$A$1:$I$89,3,0)*VLOOKUP('Données projet'!$B$14,Paramètres!$A$1:$I$89,5,0)</f>
        <v>160.72055999999998</v>
      </c>
      <c r="DQ82" s="13">
        <f t="shared" si="97"/>
        <v>41.004997199014468</v>
      </c>
      <c r="DR82" s="20">
        <f t="shared" si="70"/>
        <v>351.33867878828346</v>
      </c>
      <c r="DS82" s="59">
        <f t="shared" si="71"/>
        <v>644.67201212161672</v>
      </c>
      <c r="DT82" s="59">
        <f ca="1">AVERAGE(OFFSET($DS$3,0,0,'Données projet'!$E$14+1,1))-AVERAGE(OFFSET($H$3,0,0,'Données projet'!$E$14+1,1))</f>
        <v>293.15557501692803</v>
      </c>
      <c r="DU82" s="59">
        <f t="shared" si="98"/>
        <v>237.1930412773068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39.976662182220217</v>
      </c>
      <c r="EB82" s="21">
        <f>EXP(-LN(2)/25)*EB81+(1-EXP(-LN(2)/25))/(LN(2)/25)*Calculateur!DW82*Calculateur!DY82*VLOOKUP('Données projet'!$B$14,Paramètres!$A$1:$I$89,3,0)*0.475*44/12</f>
        <v>16.635303416393636</v>
      </c>
      <c r="EC82" s="21">
        <f>EXP(-LN(2)/2)*EC81+(1-EXP(-LN(2)/2))/(LN(2)/2)*DW82*DZ82*VLOOKUP('Données projet'!$B$14,Paramètres!$A$1:$I$89,3,0)*0.475*44/12</f>
        <v>2.5331990172345624</v>
      </c>
      <c r="ED82" s="22">
        <f t="shared" si="72"/>
        <v>59.145164615848415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-1.7053025658242404E-13</v>
      </c>
      <c r="EK82" s="17">
        <f>EJ82*VLOOKUP('Données projet'!$B$15,Paramètres!$A$1:$I$89,3,0)*VLOOKUP('Données projet'!$B$15,Paramètres!$A$1:$I$89,5,0)</f>
        <v>-1.0197709343628959E-13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225.86663363047296</v>
      </c>
      <c r="EP82" s="59">
        <f t="shared" si="100"/>
        <v>258.08349727304397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73.001694928795658</v>
      </c>
      <c r="EW82" s="21">
        <f>EXP(-LN(2)/25)*EW81+(1-EXP(-LN(2)/25))/(LN(2)/25)*Calculateur!ER82*Calculateur!ET82*VLOOKUP('Données projet'!$B$15,Paramètres!$A$1:$I$89,3,0)*0.475*44/12</f>
        <v>23.3310097211669</v>
      </c>
      <c r="EX82" s="21">
        <f>EXP(-LN(2)/2)*EX81+(1-EXP(-LN(2)/2))/(LN(2)/2)*ER82*EU82*VLOOKUP('Données projet'!$B$15,Paramètres!$A$1:$I$89,3,0)*0.475*44/12</f>
        <v>0.12351974996312393</v>
      </c>
      <c r="EY82" s="22">
        <f t="shared" si="75"/>
        <v>96.456224399925674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388.12151914648013</v>
      </c>
      <c r="T83" s="59">
        <f t="shared" si="88"/>
        <v>481.43684454382793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110.67519264081295</v>
      </c>
      <c r="AA83" s="21">
        <f>EXP(-LN(2)/25)*AA82+(1-EXP(-LN(2)/25))/(LN(2)/25)*Calculateur!V83*Calculateur!X83*VLOOKUP('Données projet'!$B$9,Paramètres!$A$1:$I$89,3,0)*0.475*44/12</f>
        <v>31.701371532487531</v>
      </c>
      <c r="AB83" s="21">
        <f>EXP(-LN(2)/2)*AB82+(1-EXP(-LN(2)/2))/(LN(2)/2)*V83*Y83*VLOOKUP('Données projet'!$B$9,Paramètres!$A$1:$I$89,3,0)*0.475*44/12</f>
        <v>1.8873123057138633E-2</v>
      </c>
      <c r="AC83" s="22">
        <f t="shared" si="57"/>
        <v>142.39543729635764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520.03</v>
      </c>
      <c r="AG83" s="12">
        <f>VLOOKUP(A83,'Données projet'!$A$61:$I$81,9,0)</f>
        <v>9.7839999999999971</v>
      </c>
      <c r="AH83" s="12">
        <f t="array" ref="AH83">INDEX(AG:AG,MIN(IF(ISNUMBER(AG83:AG279),ROW(AG83:AG279),"")))</f>
        <v>9.7839999999999971</v>
      </c>
      <c r="AI83" s="13">
        <f>IF('Données projet'!$A$62&gt;35,AI82+AH83-AQ82,IF(A83&lt;'Données projet'!$A$62,$AF$205^A83,IF(A83='Données projet'!$A$62,'Données projet'!$B$62,AI82+AH83-AQ82)))</f>
        <v>520.02999999999975</v>
      </c>
      <c r="AJ83" s="13">
        <f>AI83*VLOOKUP('Données projet'!$B$10,Paramètres!$A$1:$I$89,3,0)*VLOOKUP('Données projet'!$B$10,Paramètres!$A$1:$I$89,5,0)</f>
        <v>310.97793999999988</v>
      </c>
      <c r="AK83" s="13">
        <f t="shared" si="89"/>
        <v>73.473025513598785</v>
      </c>
      <c r="AL83" s="20">
        <f t="shared" si="58"/>
        <v>669.58543160285092</v>
      </c>
      <c r="AM83" s="59">
        <f t="shared" si="59"/>
        <v>962.91876493618429</v>
      </c>
      <c r="AN83" s="59">
        <f ca="1">AVERAGE(OFFSET($AM$3,0,0,'Données projet'!$E$10+1,1))-AVERAGE(OFFSET($H$3,0,0,'Données projet'!$E$10+1,1))</f>
        <v>349.71285006949597</v>
      </c>
      <c r="AO83" s="59">
        <f t="shared" si="90"/>
        <v>258.51550516456842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520.03</v>
      </c>
      <c r="AR83" s="16">
        <f>IF(ISNA(VLOOKUP(A83,'Données projet'!$A$61:$I$81,5,0)),0%,VLOOKUP(A83,'Données projet'!$A$61:$I$81,5,0)*VLOOKUP('Données projet'!$B$10,Paramètres!$A$1:$I$89,7,0))</f>
        <v>0.27</v>
      </c>
      <c r="AS83" s="16">
        <f>IF(ISNA(VLOOKUP(A83,'Données projet'!$A$61:$I$81,6,0)),0%,VLOOKUP(A83,'Données projet'!$A$61:$I$81,6,0)*VLOOKUP('Données projet'!$B$10,Paramètres!$A$1:$I$89,7,0))</f>
        <v>9.0000000000000011E-2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153.26747033765446</v>
      </c>
      <c r="AV83" s="21">
        <f>EXP(-LN(2)/25)*AV82+(1-EXP(-LN(2)/25))/(LN(2)/25)*Calculateur!AQ83*Calculateur!AS83*VLOOKUP('Données projet'!$B$10,Paramètres!$A$1:$I$89,3,0)*0.475*44/12</f>
        <v>51.744372778297887</v>
      </c>
      <c r="AW83" s="21">
        <f>EXP(-LN(2)/2)*AW82+(1-EXP(-LN(2)/2))/(LN(2)/2)*AQ83*AT83*VLOOKUP('Données projet'!$B$10,Paramètres!$A$1:$I$89,3,0)*0.475*44/12</f>
        <v>70.716642801208678</v>
      </c>
      <c r="AX83" s="21">
        <f t="shared" si="60"/>
        <v>275.72848591716104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145.51282051282053</v>
      </c>
      <c r="BB83" s="12">
        <f>VLOOKUP(A83,'Données projet'!$A$87:$I$107,9,0)</f>
        <v>2.3076923076923093</v>
      </c>
      <c r="BC83" s="12">
        <f t="array" ref="BC83">INDEX(BB:BB,MIN(IF(ISNUMBER(BB83:BB279),ROW(BB83:BB279),"")))</f>
        <v>2.3076923076923093</v>
      </c>
      <c r="BD83" s="12">
        <f>IF('Données projet'!$A$88&gt;35,BD82+BC83-BL82,IF(A83&lt;'Données projet'!$A$88,$BA$205^A83,IF(A83='Données projet'!$A$88,'Données projet'!$B$88,BD82+BC83-BL82)))</f>
        <v>145.51282051282064</v>
      </c>
      <c r="BE83" s="13">
        <f>BD83*VLOOKUP('Données projet'!$B$11,Paramètres!$A$1:$I$89,3,0)*VLOOKUP('Données projet'!$B$11,Paramètres!$A$1:$I$89,5,0)</f>
        <v>152.09000000000015</v>
      </c>
      <c r="BF83" s="13">
        <f t="shared" si="91"/>
        <v>39.053162448424175</v>
      </c>
      <c r="BG83" s="20">
        <f t="shared" si="61"/>
        <v>332.90767459767238</v>
      </c>
      <c r="BH83" s="59">
        <f t="shared" si="62"/>
        <v>626.2410079310057</v>
      </c>
      <c r="BI83" s="59">
        <f ca="1">AVERAGE(OFFSET($BH$3,0,0,'Données projet'!$E$11+1,1))-AVERAGE(OFFSET($H$3,0,0,'Données projet'!$E$11+1,1))</f>
        <v>260.74709892624571</v>
      </c>
      <c r="BJ83" s="59">
        <f t="shared" si="92"/>
        <v>237.17381692184887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8.3333333333333339</v>
      </c>
      <c r="BM83" s="16">
        <f>IF(ISNA(VLOOKUP(A83,'Données projet'!$A$87:$I$107,5,0)),0%,VLOOKUP(A83,'Données projet'!$A$87:$I$107,5,0)*VLOOKUP('Données projet'!$B$11,Paramètres!$A$1:$I$89,7,0))</f>
        <v>4.3000000000000003E-2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2.4122031105488624</v>
      </c>
      <c r="BQ83" s="21">
        <f>EXP(-LN(2)/25)*BQ82+(1-EXP(-LN(2)/25))/(LN(2)/25)*Calculateur!BL83*Calculateur!BN83*VLOOKUP('Données projet'!$B$11,Paramètres!$A$1:$I$89,3,0)*0.475*44/12</f>
        <v>18.970131703964501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21.382334814513364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12.082500000000003</v>
      </c>
      <c r="BY83" s="12">
        <f>IF('Données projet'!$A$114&gt;35,BY82+BX83-CG82,IF(A83&lt;'Données projet'!$A$114,$BV$205^A83,IF(A83='Données projet'!$A$114,'Données projet'!$B$114,BY82+BX83-CG82)))</f>
        <v>412.005</v>
      </c>
      <c r="BZ83" s="13">
        <f>BY83*VLOOKUP('Données projet'!$B$12,Paramètres!$A$1:$I$89,3,0)*VLOOKUP('Données projet'!$B$12,Paramètres!$A$1:$I$89,5,0)</f>
        <v>372.78212400000001</v>
      </c>
      <c r="CA83" s="13">
        <f t="shared" si="93"/>
        <v>86.236231998585495</v>
      </c>
      <c r="CB83" s="20">
        <f t="shared" si="64"/>
        <v>799.45697003086968</v>
      </c>
      <c r="CC83" s="59">
        <f t="shared" si="65"/>
        <v>1092.7903033642031</v>
      </c>
      <c r="CD83" s="59">
        <f ca="1">AVERAGE(OFFSET($CC$3,0,0,'Données projet'!$E$12+1,1))-AVERAGE(OFFSET($H$3,0,0,'Données projet'!$E$12+1,1))</f>
        <v>695.0879239758051</v>
      </c>
      <c r="CE83" s="59">
        <f t="shared" si="94"/>
        <v>226.22150997227476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25.19785889825868</v>
      </c>
      <c r="CL83" s="21">
        <f>EXP(-LN(2)/25)*CL82+(1-EXP(-LN(2)/25))/(LN(2)/25)*Calculateur!CG83*Calculateur!CI83*VLOOKUP('Données projet'!$B$12,Paramètres!$A$1:$I$89,3,0)*0.475*44/12</f>
        <v>33.97744108029643</v>
      </c>
      <c r="CM83" s="21">
        <f>EXP(-LN(2)/2)*CM82+(1-EXP(-LN(2)/2))/(LN(2)/2)*CG83*CJ83*VLOOKUP('Données projet'!$B$12,Paramètres!$A$1:$I$89,3,0)*0.475*44/12</f>
        <v>0.85758204374733105</v>
      </c>
      <c r="CN83" s="22">
        <f t="shared" si="66"/>
        <v>60.032882022302438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12.082500000000003</v>
      </c>
      <c r="CT83" s="12">
        <f>IF('Données projet'!$A$140&gt;35,CT82+CS83-DB82,IF(A83&lt;'Données projet'!$A$140,$CQ$205^A83,IF(A83='Données projet'!$A$140,'Données projet'!$B$140,CT82+CS83-DB82)))</f>
        <v>412.005</v>
      </c>
      <c r="CU83" s="17">
        <f>CT83*VLOOKUP('Données projet'!$B$13,Paramètres!$A$1:$I$89,3,0)*VLOOKUP('Données projet'!$B$13,Paramètres!$A$1:$I$89,5,0)</f>
        <v>417.77307000000002</v>
      </c>
      <c r="CV83" s="13">
        <f t="shared" si="95"/>
        <v>95.370715100068097</v>
      </c>
      <c r="CW83" s="20">
        <f t="shared" si="67"/>
        <v>893.72542571595193</v>
      </c>
      <c r="CX83" s="59">
        <f t="shared" si="68"/>
        <v>1187.0587590492853</v>
      </c>
      <c r="CY83" s="59">
        <f ca="1">AVERAGE(OFFSET($CX$3,0,0,'Données projet'!$E$13+1,1))-AVERAGE(OFFSET($H$3,0,0,'Données projet'!$E$13+1,1))</f>
        <v>773.15074145293738</v>
      </c>
      <c r="CZ83" s="59">
        <f t="shared" si="96"/>
        <v>248.49577986312505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28.23897979977265</v>
      </c>
      <c r="DG83" s="21">
        <f>EXP(-LN(2)/25)*DG82+(1-EXP(-LN(2)/25))/(LN(2)/25)*Calculateur!DB83*Calculateur!DD83*VLOOKUP('Données projet'!$B$13,Paramètres!$A$1:$I$89,3,0)*0.475*44/12</f>
        <v>38.078166727918408</v>
      </c>
      <c r="DH83" s="21">
        <f>EXP(-LN(2)/2)*DH82+(1-EXP(-LN(2)/2))/(LN(2)/2)*DB83*DE83*VLOOKUP('Données projet'!$B$13,Paramètres!$A$1:$I$89,3,0)*0.475*44/12</f>
        <v>0.96108332488925097</v>
      </c>
      <c r="DI83" s="22">
        <f t="shared" si="69"/>
        <v>67.278229852580296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10.417499999999999</v>
      </c>
      <c r="DO83" s="12">
        <f>IF('Données projet'!$A$166&gt;35,DO82+DN83-DW82,IF(A83&lt;'Données projet'!$A$166,$DL$205^A83,IF(A83='Données projet'!$A$166,'Données projet'!$B$166,DO82+DN83-DW82)))</f>
        <v>353.83749999999998</v>
      </c>
      <c r="DP83" s="17">
        <f>DO83*VLOOKUP('Données projet'!$B$14,Paramètres!$A$1:$I$89,3,0)*VLOOKUP('Données projet'!$B$14,Paramètres!$A$1:$I$89,5,0)</f>
        <v>165.59594999999999</v>
      </c>
      <c r="DQ83" s="13">
        <f t="shared" si="97"/>
        <v>42.102161176994215</v>
      </c>
      <c r="DR83" s="20">
        <f t="shared" si="70"/>
        <v>361.74087696659825</v>
      </c>
      <c r="DS83" s="59">
        <f t="shared" si="71"/>
        <v>655.07421029993156</v>
      </c>
      <c r="DT83" s="59">
        <f ca="1">AVERAGE(OFFSET($DS$3,0,0,'Données projet'!$E$14+1,1))-AVERAGE(OFFSET($H$3,0,0,'Données projet'!$E$14+1,1))</f>
        <v>293.15557501692803</v>
      </c>
      <c r="DU83" s="59">
        <f t="shared" si="98"/>
        <v>237.1930412773068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39.192744220183151</v>
      </c>
      <c r="EB83" s="21">
        <f>EXP(-LN(2)/25)*EB82+(1-EXP(-LN(2)/25))/(LN(2)/25)*Calculateur!DW83*Calculateur!DY83*VLOOKUP('Données projet'!$B$14,Paramètres!$A$1:$I$89,3,0)*0.475*44/12</f>
        <v>16.180410169659766</v>
      </c>
      <c r="EC83" s="21">
        <f>EXP(-LN(2)/2)*EC82+(1-EXP(-LN(2)/2))/(LN(2)/2)*DW83*DZ83*VLOOKUP('Données projet'!$B$14,Paramètres!$A$1:$I$89,3,0)*0.475*44/12</f>
        <v>1.7912422031816571</v>
      </c>
      <c r="ED83" s="22">
        <f t="shared" si="72"/>
        <v>57.164396593024577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-1.7053025658242404E-13</v>
      </c>
      <c r="EK83" s="17">
        <f>EJ83*VLOOKUP('Données projet'!$B$15,Paramètres!$A$1:$I$89,3,0)*VLOOKUP('Données projet'!$B$15,Paramètres!$A$1:$I$89,5,0)</f>
        <v>-1.0197709343628959E-13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225.86663363047296</v>
      </c>
      <c r="EP83" s="59">
        <f t="shared" si="100"/>
        <v>258.08349727304397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71.570176217879236</v>
      </c>
      <c r="EW83" s="21">
        <f>EXP(-LN(2)/25)*EW82+(1-EXP(-LN(2)/25))/(LN(2)/25)*Calculateur!ER83*Calculateur!ET83*VLOOKUP('Données projet'!$B$15,Paramètres!$A$1:$I$89,3,0)*0.475*44/12</f>
        <v>22.693022033417115</v>
      </c>
      <c r="EX83" s="21">
        <f>EXP(-LN(2)/2)*EX82+(1-EXP(-LN(2)/2))/(LN(2)/2)*ER83*EU83*VLOOKUP('Données projet'!$B$15,Paramètres!$A$1:$I$89,3,0)*0.475*44/12</f>
        <v>8.734165280939174E-2</v>
      </c>
      <c r="EY83" s="22">
        <f t="shared" si="75"/>
        <v>94.350539904105744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388.12151914648013</v>
      </c>
      <c r="T84" s="59">
        <f t="shared" si="88"/>
        <v>481.43684454382793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108.50491961832853</v>
      </c>
      <c r="AA84" s="21">
        <f>EXP(-LN(2)/25)*AA83+(1-EXP(-LN(2)/25))/(LN(2)/25)*Calculateur!V84*Calculateur!X84*VLOOKUP('Données projet'!$B$9,Paramètres!$A$1:$I$89,3,0)*0.475*44/12</f>
        <v>30.834495860828984</v>
      </c>
      <c r="AB84" s="21">
        <f>EXP(-LN(2)/2)*AB83+(1-EXP(-LN(2)/2))/(LN(2)/2)*V84*Y84*VLOOKUP('Données projet'!$B$9,Paramètres!$A$1:$I$89,3,0)*0.475*44/12</f>
        <v>1.3345313295870912E-2</v>
      </c>
      <c r="AC84" s="22">
        <f t="shared" si="57"/>
        <v>139.35276079245338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-1.3596945791505279E-13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349.71285006949597</v>
      </c>
      <c r="AO84" s="59">
        <f t="shared" si="90"/>
        <v>258.51550516456842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150.26198872825918</v>
      </c>
      <c r="AV84" s="21">
        <f>EXP(-LN(2)/25)*AV83+(1-EXP(-LN(2)/25))/(LN(2)/25)*Calculateur!AQ84*Calculateur!AS84*VLOOKUP('Données projet'!$B$10,Paramètres!$A$1:$I$89,3,0)*0.475*44/12</f>
        <v>50.329420183557033</v>
      </c>
      <c r="AW84" s="21">
        <f>EXP(-LN(2)/2)*AW83+(1-EXP(-LN(2)/2))/(LN(2)/2)*AQ84*AT84*VLOOKUP('Données projet'!$B$10,Paramètres!$A$1:$I$89,3,0)*0.475*44/12</f>
        <v>50.004217667481512</v>
      </c>
      <c r="AX84" s="21">
        <f t="shared" si="60"/>
        <v>250.59562657929774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2.0512820512820498</v>
      </c>
      <c r="BD84" s="12">
        <f>IF('Données projet'!$A$88&gt;35,BD83+BC84-BL83,IF(A84&lt;'Données projet'!$A$88,$BA$205^A84,IF(A84='Données projet'!$A$88,'Données projet'!$B$88,BD83+BC84-BL83)))</f>
        <v>139.23076923076934</v>
      </c>
      <c r="BE84" s="13">
        <f>BD84*VLOOKUP('Données projet'!$B$11,Paramètres!$A$1:$I$89,3,0)*VLOOKUP('Données projet'!$B$11,Paramètres!$A$1:$I$89,5,0)</f>
        <v>145.52400000000011</v>
      </c>
      <c r="BF84" s="13">
        <f t="shared" si="91"/>
        <v>37.55961209074934</v>
      </c>
      <c r="BG84" s="20">
        <f t="shared" si="61"/>
        <v>318.87062439138862</v>
      </c>
      <c r="BH84" s="59">
        <f t="shared" si="62"/>
        <v>612.20395772472193</v>
      </c>
      <c r="BI84" s="59">
        <f ca="1">AVERAGE(OFFSET($BH$3,0,0,'Données projet'!$E$11+1,1))-AVERAGE(OFFSET($H$3,0,0,'Données projet'!$E$11+1,1))</f>
        <v>260.74709892624571</v>
      </c>
      <c r="BJ84" s="59">
        <f t="shared" si="92"/>
        <v>237.17381692184887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2.3649012788496178</v>
      </c>
      <c r="BQ84" s="21">
        <f>EXP(-LN(2)/25)*BQ83+(1-EXP(-LN(2)/25))/(LN(2)/25)*Calculateur!BL84*Calculateur!BN84*VLOOKUP('Données projet'!$B$11,Paramètres!$A$1:$I$89,3,0)*0.475*44/12</f>
        <v>18.451392454923724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20.816293733773342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12.082500000000003</v>
      </c>
      <c r="BY84" s="12">
        <f>IF('Données projet'!$A$114&gt;35,BY83+BX84-CG83,IF(A84&lt;'Données projet'!$A$114,$BV$205^A84,IF(A84='Données projet'!$A$114,'Données projet'!$B$114,BY83+BX84-CG83)))</f>
        <v>424.08749999999998</v>
      </c>
      <c r="BZ84" s="13">
        <f>BY84*VLOOKUP('Données projet'!$B$12,Paramètres!$A$1:$I$89,3,0)*VLOOKUP('Données projet'!$B$12,Paramètres!$A$1:$I$89,5,0)</f>
        <v>383.71436999999997</v>
      </c>
      <c r="CA84" s="13">
        <f t="shared" si="93"/>
        <v>88.467059030009779</v>
      </c>
      <c r="CB84" s="20">
        <f t="shared" si="64"/>
        <v>822.38265556060048</v>
      </c>
      <c r="CC84" s="59">
        <f t="shared" si="65"/>
        <v>1115.7159888939339</v>
      </c>
      <c r="CD84" s="59">
        <f ca="1">AVERAGE(OFFSET($CC$3,0,0,'Données projet'!$E$12+1,1))-AVERAGE(OFFSET($H$3,0,0,'Données projet'!$E$12+1,1))</f>
        <v>695.0879239758051</v>
      </c>
      <c r="CE84" s="59">
        <f t="shared" si="94"/>
        <v>226.22150997227476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24.703744254440174</v>
      </c>
      <c r="CL84" s="21">
        <f>EXP(-LN(2)/25)*CL83+(1-EXP(-LN(2)/25))/(LN(2)/25)*Calculateur!CG84*Calculateur!CI84*VLOOKUP('Données projet'!$B$12,Paramètres!$A$1:$I$89,3,0)*0.475*44/12</f>
        <v>33.048326167159757</v>
      </c>
      <c r="CM84" s="21">
        <f>EXP(-LN(2)/2)*CM83+(1-EXP(-LN(2)/2))/(LN(2)/2)*CG84*CJ84*VLOOKUP('Données projet'!$B$12,Paramètres!$A$1:$I$89,3,0)*0.475*44/12</f>
        <v>0.60640207855755623</v>
      </c>
      <c r="CN84" s="22">
        <f t="shared" si="66"/>
        <v>58.35847250015749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12.082500000000003</v>
      </c>
      <c r="CT84" s="12">
        <f>IF('Données projet'!$A$140&gt;35,CT83+CS84-DB83,IF(A84&lt;'Données projet'!$A$140,$CQ$205^A84,IF(A84='Données projet'!$A$140,'Données projet'!$B$140,CT83+CS84-DB83)))</f>
        <v>424.08749999999998</v>
      </c>
      <c r="CU84" s="17">
        <f>CT84*VLOOKUP('Données projet'!$B$13,Paramètres!$A$1:$I$89,3,0)*VLOOKUP('Données projet'!$B$13,Paramètres!$A$1:$I$89,5,0)</f>
        <v>430.02472500000005</v>
      </c>
      <c r="CV84" s="13">
        <f t="shared" si="95"/>
        <v>97.837840162477974</v>
      </c>
      <c r="CW84" s="20">
        <f t="shared" si="67"/>
        <v>919.36063432464925</v>
      </c>
      <c r="CX84" s="59">
        <f t="shared" si="68"/>
        <v>1212.6939676579825</v>
      </c>
      <c r="CY84" s="59">
        <f ca="1">AVERAGE(OFFSET($CX$3,0,0,'Données projet'!$E$13+1,1))-AVERAGE(OFFSET($H$3,0,0,'Données projet'!$E$13+1,1))</f>
        <v>773.15074145293738</v>
      </c>
      <c r="CZ84" s="59">
        <f t="shared" si="96"/>
        <v>248.49577986312505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27.685230629976051</v>
      </c>
      <c r="DG84" s="21">
        <f>EXP(-LN(2)/25)*DG83+(1-EXP(-LN(2)/25))/(LN(2)/25)*Calculateur!DB84*Calculateur!DD84*VLOOKUP('Données projet'!$B$13,Paramètres!$A$1:$I$89,3,0)*0.475*44/12</f>
        <v>37.036917256299716</v>
      </c>
      <c r="DH84" s="21">
        <f>EXP(-LN(2)/2)*DH83+(1-EXP(-LN(2)/2))/(LN(2)/2)*DB84*DE84*VLOOKUP('Données projet'!$B$13,Paramètres!$A$1:$I$89,3,0)*0.475*44/12</f>
        <v>0.67958853631450322</v>
      </c>
      <c r="DI84" s="22">
        <f t="shared" si="69"/>
        <v>65.401736422590261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10.417499999999999</v>
      </c>
      <c r="DO84" s="12">
        <f>IF('Données projet'!$A$166&gt;35,DO83+DN84-DW83,IF(A84&lt;'Données projet'!$A$166,$DL$205^A84,IF(A84='Données projet'!$A$166,'Données projet'!$B$166,DO83+DN84-DW83)))</f>
        <v>364.255</v>
      </c>
      <c r="DP84" s="17">
        <f>DO84*VLOOKUP('Données projet'!$B$14,Paramètres!$A$1:$I$89,3,0)*VLOOKUP('Données projet'!$B$14,Paramètres!$A$1:$I$89,5,0)</f>
        <v>170.47134</v>
      </c>
      <c r="DQ84" s="13">
        <f t="shared" si="97"/>
        <v>43.195571049057939</v>
      </c>
      <c r="DR84" s="20">
        <f t="shared" si="70"/>
        <v>372.13653674377588</v>
      </c>
      <c r="DS84" s="59">
        <f t="shared" si="71"/>
        <v>665.46987007710914</v>
      </c>
      <c r="DT84" s="59">
        <f ca="1">AVERAGE(OFFSET($DS$3,0,0,'Données projet'!$E$14+1,1))-AVERAGE(OFFSET($H$3,0,0,'Données projet'!$E$14+1,1))</f>
        <v>293.15557501692803</v>
      </c>
      <c r="DU84" s="59">
        <f t="shared" si="98"/>
        <v>237.1930412773068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38.424198411238891</v>
      </c>
      <c r="EB84" s="21">
        <f>EXP(-LN(2)/25)*EB83+(1-EXP(-LN(2)/25))/(LN(2)/25)*Calculateur!DW84*Calculateur!DY84*VLOOKUP('Données projet'!$B$14,Paramètres!$A$1:$I$89,3,0)*0.475*44/12</f>
        <v>15.737956002679629</v>
      </c>
      <c r="EC84" s="21">
        <f>EXP(-LN(2)/2)*EC83+(1-EXP(-LN(2)/2))/(LN(2)/2)*DW84*DZ84*VLOOKUP('Données projet'!$B$14,Paramètres!$A$1:$I$89,3,0)*0.475*44/12</f>
        <v>1.2665995086172814</v>
      </c>
      <c r="ED84" s="22">
        <f t="shared" si="72"/>
        <v>55.428753922535805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-1.7053025658242404E-13</v>
      </c>
      <c r="EK84" s="17">
        <f>EJ84*VLOOKUP('Données projet'!$B$15,Paramètres!$A$1:$I$89,3,0)*VLOOKUP('Données projet'!$B$15,Paramètres!$A$1:$I$89,5,0)</f>
        <v>-1.0197709343628959E-13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225.86663363047296</v>
      </c>
      <c r="EP84" s="59">
        <f t="shared" si="100"/>
        <v>258.08349727304397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70.166728715743687</v>
      </c>
      <c r="EW84" s="21">
        <f>EXP(-LN(2)/25)*EW83+(1-EXP(-LN(2)/25))/(LN(2)/25)*Calculateur!ER84*Calculateur!ET84*VLOOKUP('Données projet'!$B$15,Paramètres!$A$1:$I$89,3,0)*0.475*44/12</f>
        <v>22.072480152539161</v>
      </c>
      <c r="EX84" s="21">
        <f>EXP(-LN(2)/2)*EX83+(1-EXP(-LN(2)/2))/(LN(2)/2)*ER84*EU84*VLOOKUP('Données projet'!$B$15,Paramètres!$A$1:$I$89,3,0)*0.475*44/12</f>
        <v>6.175987498156197E-2</v>
      </c>
      <c r="EY84" s="22">
        <f t="shared" si="75"/>
        <v>92.300968743264406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388.12151914648013</v>
      </c>
      <c r="T85" s="59">
        <f t="shared" si="88"/>
        <v>481.43684454382793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106.37720432607919</v>
      </c>
      <c r="AA85" s="21">
        <f>EXP(-LN(2)/25)*AA84+(1-EXP(-LN(2)/25))/(LN(2)/25)*Calculateur!V85*Calculateur!X85*VLOOKUP('Données projet'!$B$9,Paramètres!$A$1:$I$89,3,0)*0.475*44/12</f>
        <v>29.991324949998951</v>
      </c>
      <c r="AB85" s="21">
        <f>EXP(-LN(2)/2)*AB84+(1-EXP(-LN(2)/2))/(LN(2)/2)*V85*Y85*VLOOKUP('Données projet'!$B$9,Paramètres!$A$1:$I$89,3,0)*0.475*44/12</f>
        <v>9.4365615285693163E-3</v>
      </c>
      <c r="AC85" s="22">
        <f t="shared" si="57"/>
        <v>136.37796583760669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-1.3596945791505279E-13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349.71285006949597</v>
      </c>
      <c r="AO85" s="59">
        <f t="shared" si="90"/>
        <v>258.51550516456842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147.31544278006137</v>
      </c>
      <c r="AV85" s="21">
        <f>EXP(-LN(2)/25)*AV84+(1-EXP(-LN(2)/25))/(LN(2)/25)*Calculateur!AQ85*Calculateur!AS85*VLOOKUP('Données projet'!$B$10,Paramètres!$A$1:$I$89,3,0)*0.475*44/12</f>
        <v>48.953159541928486</v>
      </c>
      <c r="AW85" s="21">
        <f>EXP(-LN(2)/2)*AW84+(1-EXP(-LN(2)/2))/(LN(2)/2)*AQ85*AT85*VLOOKUP('Données projet'!$B$10,Paramètres!$A$1:$I$89,3,0)*0.475*44/12</f>
        <v>35.358321400604346</v>
      </c>
      <c r="AX85" s="21">
        <f t="shared" si="60"/>
        <v>231.62692372259423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2.0512820512820498</v>
      </c>
      <c r="BD85" s="12">
        <f>IF('Données projet'!$A$88&gt;35,BD84+BC85-BL84,IF(A85&lt;'Données projet'!$A$88,$BA$205^A85,IF(A85='Données projet'!$A$88,'Données projet'!$B$88,BD84+BC85-BL84)))</f>
        <v>141.28205128205138</v>
      </c>
      <c r="BE85" s="13">
        <f>BD85*VLOOKUP('Données projet'!$B$11,Paramètres!$A$1:$I$89,3,0)*VLOOKUP('Données projet'!$B$11,Paramètres!$A$1:$I$89,5,0)</f>
        <v>147.66800000000012</v>
      </c>
      <c r="BF85" s="13">
        <f t="shared" si="91"/>
        <v>38.04814794346445</v>
      </c>
      <c r="BG85" s="20">
        <f t="shared" si="61"/>
        <v>323.45562433486742</v>
      </c>
      <c r="BH85" s="59">
        <f t="shared" si="62"/>
        <v>616.78895766820074</v>
      </c>
      <c r="BI85" s="59">
        <f ca="1">AVERAGE(OFFSET($BH$3,0,0,'Données projet'!$E$11+1,1))-AVERAGE(OFFSET($H$3,0,0,'Données projet'!$E$11+1,1))</f>
        <v>260.74709892624571</v>
      </c>
      <c r="BJ85" s="59">
        <f t="shared" si="92"/>
        <v>237.17381692184887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2.318527007218727</v>
      </c>
      <c r="BQ85" s="21">
        <f>EXP(-LN(2)/25)*BQ84+(1-EXP(-LN(2)/25))/(LN(2)/25)*Calculateur!BL85*Calculateur!BN85*VLOOKUP('Données projet'!$B$11,Paramètres!$A$1:$I$89,3,0)*0.475*44/12</f>
        <v>17.946838157927278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20.265365165146005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>
        <f>VLOOKUP(A85,'Données projet'!$A$113:$I$133,2,0)</f>
        <v>436.17</v>
      </c>
      <c r="BW85" s="12">
        <f>VLOOKUP(A85,'Données projet'!$A$113:$I$133,9,0)</f>
        <v>12.082500000000003</v>
      </c>
      <c r="BX85" s="12">
        <f t="array" ref="BX85">INDEX(BW:BW,MIN(IF(ISNUMBER(BW85:BW281),ROW(BW85:BW281),"")))</f>
        <v>12.082500000000003</v>
      </c>
      <c r="BY85" s="12">
        <f>IF('Données projet'!$A$114&gt;35,BY84+BX85-CG84,IF(A85&lt;'Données projet'!$A$114,$BV$205^A85,IF(A85='Données projet'!$A$114,'Données projet'!$B$114,BY84+BX85-CG84)))</f>
        <v>436.16999999999996</v>
      </c>
      <c r="BZ85" s="13">
        <f>BY85*VLOOKUP('Données projet'!$B$12,Paramètres!$A$1:$I$89,3,0)*VLOOKUP('Données projet'!$B$12,Paramètres!$A$1:$I$89,5,0)</f>
        <v>394.64661599999999</v>
      </c>
      <c r="CA85" s="13">
        <f t="shared" si="93"/>
        <v>90.690499158874985</v>
      </c>
      <c r="CB85" s="20">
        <f t="shared" si="64"/>
        <v>845.29547556837406</v>
      </c>
      <c r="CC85" s="59">
        <f t="shared" si="65"/>
        <v>1138.6288089017073</v>
      </c>
      <c r="CD85" s="59">
        <f ca="1">AVERAGE(OFFSET($CC$3,0,0,'Données projet'!$E$12+1,1))-AVERAGE(OFFSET($H$3,0,0,'Données projet'!$E$12+1,1))</f>
        <v>695.0879239758051</v>
      </c>
      <c r="CE85" s="59">
        <f t="shared" si="94"/>
        <v>226.22150997227476</v>
      </c>
      <c r="CF85" s="15">
        <f>IF(ISNA(VLOOKUP(A85,'Données projet'!$A$113:$I$133,3,0)),0,VLOOKUP(A85,'Données projet'!$A$113:$I$133,3,0))</f>
        <v>7</v>
      </c>
      <c r="CG85" s="15">
        <f>IF(ISNA(VLOOKUP(A85,'Données projet'!$A$113:$I$133,4,0)),0,VLOOKUP(A85,'Données projet'!$A$113:$I$133,4,0))</f>
        <v>58.140000000000043</v>
      </c>
      <c r="CH85" s="16">
        <f>IF(ISNA(VLOOKUP(A85,'Données projet'!$A$113:$I$133,5,0)),0%,VLOOKUP(A85,'Données projet'!$A$113:$I$133,5,0)*VLOOKUP('Données projet'!$B$12,Paramètres!$A$1:$I$89,7,0))</f>
        <v>0.15049999999999999</v>
      </c>
      <c r="CI85" s="16">
        <f>IF(ISNA(VLOOKUP(A85,'Données projet'!$A$113:$I$133,6,0)),0%,VLOOKUP(A85,'Données projet'!$A$113:$I$133,6,0)*VLOOKUP('Données projet'!$B$12,Paramètres!$A$1:$I$89,7,0))</f>
        <v>8.6000000000000007E-2</v>
      </c>
      <c r="CJ85" s="16">
        <f>IF(ISNA(VLOOKUP(A85,'Données projet'!$A$113:$I$133,7,0)),0%,VLOOKUP(A85,'Données projet'!$A$113:$I$133,7,0))</f>
        <v>0.1</v>
      </c>
      <c r="CK85" s="21">
        <f>EXP(-LN(2)/35)*CK84+(1-EXP(-LN(2)/35))/(LN(2)/35)*CG85*CH85*VLOOKUP('Données projet'!$B$12,Paramètres!$A$1:$I$89,3,0)*0.475*44/12</f>
        <v>32.971397908241109</v>
      </c>
      <c r="CL85" s="21">
        <f>EXP(-LN(2)/25)*CL84+(1-EXP(-LN(2)/25))/(LN(2)/25)*Calculateur!CG85*Calculateur!CI85*VLOOKUP('Données projet'!$B$12,Paramètres!$A$1:$I$89,3,0)*0.475*44/12</f>
        <v>37.126114373591477</v>
      </c>
      <c r="CM85" s="21">
        <f>EXP(-LN(2)/2)*CM84+(1-EXP(-LN(2)/2))/(LN(2)/2)*CG85*CJ85*VLOOKUP('Données projet'!$B$12,Paramètres!$A$1:$I$89,3,0)*0.475*44/12</f>
        <v>5.3922211495490986</v>
      </c>
      <c r="CN85" s="22">
        <f t="shared" si="66"/>
        <v>75.489733431381694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>
        <f>VLOOKUP(A85,'Données projet'!$A$139:$I$159,2,0)</f>
        <v>436.17</v>
      </c>
      <c r="CR85" s="12">
        <f>VLOOKUP(A85,'Données projet'!$A$139:$I$159,9,0)</f>
        <v>12.082500000000003</v>
      </c>
      <c r="CS85" s="12">
        <f t="array" ref="CS85">INDEX(CR:CR,MIN(IF(ISNUMBER(CR85:CR281),ROW(CR85:CR281),"")))</f>
        <v>12.082500000000003</v>
      </c>
      <c r="CT85" s="12">
        <f>IF('Données projet'!$A$140&gt;35,CT84+CS85-DB84,IF(A85&lt;'Données projet'!$A$140,$CQ$205^A85,IF(A85='Données projet'!$A$140,'Données projet'!$B$140,CT84+CS85-DB84)))</f>
        <v>436.16999999999996</v>
      </c>
      <c r="CU85" s="17">
        <f>CT85*VLOOKUP('Données projet'!$B$13,Paramètres!$A$1:$I$89,3,0)*VLOOKUP('Données projet'!$B$13,Paramètres!$A$1:$I$89,5,0)</f>
        <v>442.27637999999996</v>
      </c>
      <c r="CV85" s="13">
        <f t="shared" si="95"/>
        <v>100.2967958723649</v>
      </c>
      <c r="CW85" s="20">
        <f t="shared" si="67"/>
        <v>944.98161464436873</v>
      </c>
      <c r="CX85" s="59">
        <f t="shared" si="68"/>
        <v>1238.3149479777021</v>
      </c>
      <c r="CY85" s="59">
        <f ca="1">AVERAGE(OFFSET($CX$3,0,0,'Données projet'!$E$13+1,1))-AVERAGE(OFFSET($H$3,0,0,'Données projet'!$E$13+1,1))</f>
        <v>773.15074145293738</v>
      </c>
      <c r="CZ85" s="59">
        <f t="shared" si="96"/>
        <v>248.49577986312505</v>
      </c>
      <c r="DA85" s="15">
        <f>IF(ISNA(VLOOKUP(A85,'Données projet'!$A$139:$I$159,3,0)),0,VLOOKUP(A85,'Données projet'!$A$139:$I$159,3,0))</f>
        <v>7</v>
      </c>
      <c r="DB85" s="15">
        <f>IF(ISNA(VLOOKUP(A85,'Données projet'!$A$139:$I$159,4,0)),0,VLOOKUP(A85,'Données projet'!$A$139:$I$159,4,0))</f>
        <v>58.140000000000043</v>
      </c>
      <c r="DC85" s="16">
        <f>IF(ISNA(VLOOKUP(A85,'Données projet'!$A$139:$I$159,5,0)),0%,VLOOKUP(A85,'Données projet'!$A$139:$I$159,5,0)*VLOOKUP('Données projet'!$B$13,Paramètres!$A$1:$I$89,7,0))</f>
        <v>0.15049999999999999</v>
      </c>
      <c r="DD85" s="16">
        <f>IF(ISNA(VLOOKUP(A85,'Données projet'!$A$139:$I$159,6,0)),0%,VLOOKUP(A85,'Données projet'!$A$139:$I$159,6,0)*VLOOKUP('Données projet'!$B$13,Paramètres!$A$1:$I$89,7,0))</f>
        <v>8.6000000000000007E-2</v>
      </c>
      <c r="DE85" s="16">
        <f>IF(ISNA(VLOOKUP(A85,'Données projet'!$A$139:$I$159,7,0)),0%,VLOOKUP(A85,'Données projet'!$A$139:$I$159,7,0))</f>
        <v>0.1</v>
      </c>
      <c r="DF85" s="21">
        <f>EXP(-LN(2)/35)*DF84+(1-EXP(-LN(2)/35))/(LN(2)/35)*DB85*DC85*VLOOKUP('Données projet'!$B$13,Paramètres!$A$1:$I$89,3,0)*0.475*44/12</f>
        <v>36.950704552339161</v>
      </c>
      <c r="DG85" s="21">
        <f>EXP(-LN(2)/25)*DG84+(1-EXP(-LN(2)/25))/(LN(2)/25)*Calculateur!DB85*Calculateur!DD85*VLOOKUP('Données projet'!$B$13,Paramètres!$A$1:$I$89,3,0)*0.475*44/12</f>
        <v>41.606852315231819</v>
      </c>
      <c r="DH85" s="21">
        <f>EXP(-LN(2)/2)*DH84+(1-EXP(-LN(2)/2))/(LN(2)/2)*DB85*DE85*VLOOKUP('Données projet'!$B$13,Paramètres!$A$1:$I$89,3,0)*0.475*44/12</f>
        <v>6.0430064607015774</v>
      </c>
      <c r="DI85" s="22">
        <f t="shared" si="69"/>
        <v>84.600563328272557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10.417499999999999</v>
      </c>
      <c r="DO85" s="12">
        <f>IF('Données projet'!$A$166&gt;35,DO84+DN85-DW84,IF(A85&lt;'Données projet'!$A$166,$DL$205^A85,IF(A85='Données projet'!$A$166,'Données projet'!$B$166,DO84+DN85-DW84)))</f>
        <v>374.67250000000001</v>
      </c>
      <c r="DP85" s="17">
        <f>DO85*VLOOKUP('Données projet'!$B$14,Paramètres!$A$1:$I$89,3,0)*VLOOKUP('Données projet'!$B$14,Paramètres!$A$1:$I$89,5,0)</f>
        <v>175.34673000000001</v>
      </c>
      <c r="DQ85" s="13">
        <f t="shared" si="97"/>
        <v>44.285346511760764</v>
      </c>
      <c r="DR85" s="20">
        <f t="shared" si="70"/>
        <v>382.52586659131663</v>
      </c>
      <c r="DS85" s="59">
        <f t="shared" si="71"/>
        <v>675.85919992464994</v>
      </c>
      <c r="DT85" s="59">
        <f ca="1">AVERAGE(OFFSET($DS$3,0,0,'Données projet'!$E$14+1,1))-AVERAGE(OFFSET($H$3,0,0,'Données projet'!$E$14+1,1))</f>
        <v>293.15557501692803</v>
      </c>
      <c r="DU85" s="59">
        <f t="shared" si="98"/>
        <v>237.1930412773068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37.670723316841368</v>
      </c>
      <c r="EB85" s="21">
        <f>EXP(-LN(2)/25)*EB84+(1-EXP(-LN(2)/25))/(LN(2)/25)*Calculateur!DW85*Calculateur!DY85*VLOOKUP('Données projet'!$B$14,Paramètres!$A$1:$I$89,3,0)*0.475*44/12</f>
        <v>15.307600768163219</v>
      </c>
      <c r="EC85" s="21">
        <f>EXP(-LN(2)/2)*EC84+(1-EXP(-LN(2)/2))/(LN(2)/2)*DW85*DZ85*VLOOKUP('Données projet'!$B$14,Paramètres!$A$1:$I$89,3,0)*0.475*44/12</f>
        <v>0.89562110159082875</v>
      </c>
      <c r="ED85" s="22">
        <f t="shared" si="72"/>
        <v>53.873945186595414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-1.7053025658242404E-13</v>
      </c>
      <c r="EK85" s="17">
        <f>EJ85*VLOOKUP('Données projet'!$B$15,Paramètres!$A$1:$I$89,3,0)*VLOOKUP('Données projet'!$B$15,Paramètres!$A$1:$I$89,5,0)</f>
        <v>-1.0197709343628959E-13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225.86663363047296</v>
      </c>
      <c r="EP85" s="59">
        <f t="shared" si="100"/>
        <v>258.08349727304397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68.790801963106574</v>
      </c>
      <c r="EW85" s="21">
        <f>EXP(-LN(2)/25)*EW84+(1-EXP(-LN(2)/25))/(LN(2)/25)*Calculateur!ER85*Calculateur!ET85*VLOOKUP('Données projet'!$B$15,Paramètres!$A$1:$I$89,3,0)*0.475*44/12</f>
        <v>21.468907022026695</v>
      </c>
      <c r="EX85" s="21">
        <f>EXP(-LN(2)/2)*EX84+(1-EXP(-LN(2)/2))/(LN(2)/2)*ER85*EU85*VLOOKUP('Données projet'!$B$15,Paramètres!$A$1:$I$89,3,0)*0.475*44/12</f>
        <v>4.3670826404695877E-2</v>
      </c>
      <c r="EY85" s="22">
        <f t="shared" si="75"/>
        <v>90.303379811537965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388.12151914648013</v>
      </c>
      <c r="T86" s="59">
        <f t="shared" si="88"/>
        <v>481.43684454382793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104.29121223293269</v>
      </c>
      <c r="AA86" s="21">
        <f>EXP(-LN(2)/25)*AA85+(1-EXP(-LN(2)/25))/(LN(2)/25)*Calculateur!V86*Calculateur!X86*VLOOKUP('Données projet'!$B$9,Paramètres!$A$1:$I$89,3,0)*0.475*44/12</f>
        <v>29.171210592065997</v>
      </c>
      <c r="AB86" s="21">
        <f>EXP(-LN(2)/2)*AB85+(1-EXP(-LN(2)/2))/(LN(2)/2)*V86*Y86*VLOOKUP('Données projet'!$B$9,Paramètres!$A$1:$I$89,3,0)*0.475*44/12</f>
        <v>6.6726566479354561E-3</v>
      </c>
      <c r="AC86" s="22">
        <f t="shared" si="57"/>
        <v>133.46909548164663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-1.3596945791505279E-13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349.71285006949597</v>
      </c>
      <c r="AO86" s="59">
        <f t="shared" si="90"/>
        <v>258.51550516456842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144.42667680069218</v>
      </c>
      <c r="AV86" s="21">
        <f>EXP(-LN(2)/25)*AV85+(1-EXP(-LN(2)/25))/(LN(2)/25)*Calculateur!AQ86*Calculateur!AS86*VLOOKUP('Données projet'!$B$10,Paramètres!$A$1:$I$89,3,0)*0.475*44/12</f>
        <v>47.614532819919674</v>
      </c>
      <c r="AW86" s="21">
        <f>EXP(-LN(2)/2)*AW85+(1-EXP(-LN(2)/2))/(LN(2)/2)*AQ86*AT86*VLOOKUP('Données projet'!$B$10,Paramètres!$A$1:$I$89,3,0)*0.475*44/12</f>
        <v>25.00210883374076</v>
      </c>
      <c r="AX86" s="21">
        <f t="shared" si="60"/>
        <v>217.0433184543526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2.0512820512820498</v>
      </c>
      <c r="BD86" s="12">
        <f>IF('Données projet'!$A$88&gt;35,BD85+BC86-BL85,IF(A86&lt;'Données projet'!$A$88,$BA$205^A86,IF(A86='Données projet'!$A$88,'Données projet'!$B$88,BD85+BC86-BL85)))</f>
        <v>143.33333333333343</v>
      </c>
      <c r="BE86" s="13">
        <f>BD86*VLOOKUP('Données projet'!$B$11,Paramètres!$A$1:$I$89,3,0)*VLOOKUP('Données projet'!$B$11,Paramètres!$A$1:$I$89,5,0)</f>
        <v>149.81200000000013</v>
      </c>
      <c r="BF86" s="13">
        <f t="shared" si="91"/>
        <v>38.535858828351088</v>
      </c>
      <c r="BG86" s="20">
        <f t="shared" si="61"/>
        <v>328.0391874593783</v>
      </c>
      <c r="BH86" s="59">
        <f t="shared" si="62"/>
        <v>621.37252079271161</v>
      </c>
      <c r="BI86" s="59">
        <f ca="1">AVERAGE(OFFSET($BH$3,0,0,'Données projet'!$E$11+1,1))-AVERAGE(OFFSET($H$3,0,0,'Données projet'!$E$11+1,1))</f>
        <v>260.74709892624571</v>
      </c>
      <c r="BJ86" s="59">
        <f t="shared" si="92"/>
        <v>237.17381692184887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2.2730621067690051</v>
      </c>
      <c r="BQ86" s="21">
        <f>EXP(-LN(2)/25)*BQ85+(1-EXP(-LN(2)/25))/(LN(2)/25)*Calculateur!BL86*Calculateur!BN86*VLOOKUP('Données projet'!$B$11,Paramètres!$A$1:$I$89,3,0)*0.475*44/12</f>
        <v>17.456080924715558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19.729143031484561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11.667500000000004</v>
      </c>
      <c r="BY86" s="12">
        <f>IF('Données projet'!$A$114&gt;35,BY85+BX86-CG85,IF(A86&lt;'Données projet'!$A$114,$BV$205^A86,IF(A86='Données projet'!$A$114,'Données projet'!$B$114,BY85+BX86-CG85)))</f>
        <v>389.69749999999993</v>
      </c>
      <c r="BZ86" s="13">
        <f>BY86*VLOOKUP('Données projet'!$B$12,Paramètres!$A$1:$I$89,3,0)*VLOOKUP('Données projet'!$B$12,Paramètres!$A$1:$I$89,5,0)</f>
        <v>352.59829799999994</v>
      </c>
      <c r="CA86" s="13">
        <f t="shared" si="93"/>
        <v>82.097297257859907</v>
      </c>
      <c r="CB86" s="20">
        <f t="shared" si="64"/>
        <v>757.09482840743919</v>
      </c>
      <c r="CC86" s="59">
        <f t="shared" si="65"/>
        <v>1050.4281617407726</v>
      </c>
      <c r="CD86" s="59">
        <f ca="1">AVERAGE(OFFSET($CC$3,0,0,'Données projet'!$E$12+1,1))-AVERAGE(OFFSET($H$3,0,0,'Données projet'!$E$12+1,1))</f>
        <v>695.0879239758051</v>
      </c>
      <c r="CE86" s="59">
        <f t="shared" si="94"/>
        <v>226.22150997227476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32.324848905827473</v>
      </c>
      <c r="CL86" s="21">
        <f>EXP(-LN(2)/25)*CL85+(1-EXP(-LN(2)/25))/(LN(2)/25)*Calculateur!CG86*Calculateur!CI86*VLOOKUP('Données projet'!$B$12,Paramètres!$A$1:$I$89,3,0)*0.475*44/12</f>
        <v>36.110898823668116</v>
      </c>
      <c r="CM86" s="21">
        <f>EXP(-LN(2)/2)*CM85+(1-EXP(-LN(2)/2))/(LN(2)/2)*CG86*CJ86*VLOOKUP('Données projet'!$B$12,Paramètres!$A$1:$I$89,3,0)*0.475*44/12</f>
        <v>3.8128761405036884</v>
      </c>
      <c r="CN86" s="22">
        <f t="shared" si="66"/>
        <v>72.248623869999278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11.667500000000004</v>
      </c>
      <c r="CT86" s="12">
        <f>IF('Données projet'!$A$140&gt;35,CT85+CS86-DB85,IF(A86&lt;'Données projet'!$A$140,$CQ$205^A86,IF(A86='Données projet'!$A$140,'Données projet'!$B$140,CT85+CS86-DB85)))</f>
        <v>389.69749999999993</v>
      </c>
      <c r="CU86" s="17">
        <f>CT86*VLOOKUP('Données projet'!$B$13,Paramètres!$A$1:$I$89,3,0)*VLOOKUP('Données projet'!$B$13,Paramètres!$A$1:$I$89,5,0)</f>
        <v>395.15326499999998</v>
      </c>
      <c r="CV86" s="13">
        <f t="shared" si="95"/>
        <v>90.793368005612606</v>
      </c>
      <c r="CW86" s="20">
        <f t="shared" si="67"/>
        <v>846.35705248477518</v>
      </c>
      <c r="CX86" s="59">
        <f t="shared" si="68"/>
        <v>1139.6903858181086</v>
      </c>
      <c r="CY86" s="59">
        <f ca="1">AVERAGE(OFFSET($CX$3,0,0,'Données projet'!$E$13+1,1))-AVERAGE(OFFSET($H$3,0,0,'Données projet'!$E$13+1,1))</f>
        <v>773.15074145293738</v>
      </c>
      <c r="CZ86" s="59">
        <f t="shared" si="96"/>
        <v>248.49577986312505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36.226123773772152</v>
      </c>
      <c r="DG86" s="21">
        <f>EXP(-LN(2)/25)*DG85+(1-EXP(-LN(2)/25))/(LN(2)/25)*Calculateur!DB86*Calculateur!DD86*VLOOKUP('Données projet'!$B$13,Paramètres!$A$1:$I$89,3,0)*0.475*44/12</f>
        <v>40.469110750662537</v>
      </c>
      <c r="DH86" s="21">
        <f>EXP(-LN(2)/2)*DH85+(1-EXP(-LN(2)/2))/(LN(2)/2)*DB86*DE86*VLOOKUP('Données projet'!$B$13,Paramètres!$A$1:$I$89,3,0)*0.475*44/12</f>
        <v>4.2730508471162034</v>
      </c>
      <c r="DI86" s="22">
        <f t="shared" si="69"/>
        <v>80.968285371550891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10.417499999999999</v>
      </c>
      <c r="DO86" s="12">
        <f>IF('Données projet'!$A$166&gt;35,DO85+DN86-DW85,IF(A86&lt;'Données projet'!$A$166,$DL$205^A86,IF(A86='Données projet'!$A$166,'Données projet'!$B$166,DO85+DN86-DW85)))</f>
        <v>385.09000000000003</v>
      </c>
      <c r="DP86" s="17">
        <f>DO86*VLOOKUP('Données projet'!$B$14,Paramètres!$A$1:$I$89,3,0)*VLOOKUP('Données projet'!$B$14,Paramètres!$A$1:$I$89,5,0)</f>
        <v>180.22212000000002</v>
      </c>
      <c r="DQ86" s="13">
        <f t="shared" si="97"/>
        <v>45.371600226761309</v>
      </c>
      <c r="DR86" s="20">
        <f t="shared" si="70"/>
        <v>392.90906272827596</v>
      </c>
      <c r="DS86" s="59">
        <f t="shared" si="71"/>
        <v>686.24239606160927</v>
      </c>
      <c r="DT86" s="59">
        <f ca="1">AVERAGE(OFFSET($DS$3,0,0,'Données projet'!$E$14+1,1))-AVERAGE(OFFSET($H$3,0,0,'Données projet'!$E$14+1,1))</f>
        <v>293.15557501692803</v>
      </c>
      <c r="DU86" s="59">
        <f t="shared" si="98"/>
        <v>237.1930412773068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36.932023409470553</v>
      </c>
      <c r="EB86" s="21">
        <f>EXP(-LN(2)/25)*EB85+(1-EXP(-LN(2)/25))/(LN(2)/25)*Calculateur!DW86*Calculateur!DY86*VLOOKUP('Données projet'!$B$14,Paramètres!$A$1:$I$89,3,0)*0.475*44/12</f>
        <v>14.889013620166057</v>
      </c>
      <c r="EC86" s="21">
        <f>EXP(-LN(2)/2)*EC85+(1-EXP(-LN(2)/2))/(LN(2)/2)*DW86*DZ86*VLOOKUP('Données projet'!$B$14,Paramètres!$A$1:$I$89,3,0)*0.475*44/12</f>
        <v>0.63329975430864083</v>
      </c>
      <c r="ED86" s="22">
        <f t="shared" si="72"/>
        <v>52.454336783945251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-1.7053025658242404E-13</v>
      </c>
      <c r="EK86" s="17">
        <f>EJ86*VLOOKUP('Données projet'!$B$15,Paramètres!$A$1:$I$89,3,0)*VLOOKUP('Données projet'!$B$15,Paramètres!$A$1:$I$89,5,0)</f>
        <v>-1.0197709343628959E-13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225.86663363047296</v>
      </c>
      <c r="EP86" s="59">
        <f t="shared" si="100"/>
        <v>258.08349727304397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67.441856294856223</v>
      </c>
      <c r="EW86" s="21">
        <f>EXP(-LN(2)/25)*EW85+(1-EXP(-LN(2)/25))/(LN(2)/25)*Calculateur!ER86*Calculateur!ET86*VLOOKUP('Données projet'!$B$15,Paramètres!$A$1:$I$89,3,0)*0.475*44/12</f>
        <v>20.881838630508621</v>
      </c>
      <c r="EX86" s="21">
        <f>EXP(-LN(2)/2)*EX85+(1-EXP(-LN(2)/2))/(LN(2)/2)*ER86*EU86*VLOOKUP('Données projet'!$B$15,Paramètres!$A$1:$I$89,3,0)*0.475*44/12</f>
        <v>3.0879937490780992E-2</v>
      </c>
      <c r="EY86" s="22">
        <f t="shared" si="75"/>
        <v>88.354574862855628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388.12151914648013</v>
      </c>
      <c r="T87" s="59">
        <f t="shared" si="88"/>
        <v>481.43684454382793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102.24612517240324</v>
      </c>
      <c r="AA87" s="21">
        <f>EXP(-LN(2)/25)*AA86+(1-EXP(-LN(2)/25))/(LN(2)/25)*Calculateur!V87*Calculateur!X87*VLOOKUP('Données projet'!$B$9,Paramètres!$A$1:$I$89,3,0)*0.475*44/12</f>
        <v>28.373522304378657</v>
      </c>
      <c r="AB87" s="21">
        <f>EXP(-LN(2)/2)*AB86+(1-EXP(-LN(2)/2))/(LN(2)/2)*V87*Y87*VLOOKUP('Données projet'!$B$9,Paramètres!$A$1:$I$89,3,0)*0.475*44/12</f>
        <v>4.7182807642846582E-3</v>
      </c>
      <c r="AC87" s="22">
        <f t="shared" si="57"/>
        <v>130.62436575754617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-1.3596945791505279E-13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349.71285006949597</v>
      </c>
      <c r="AO87" s="59">
        <f t="shared" si="90"/>
        <v>258.51550516456842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141.59455776020513</v>
      </c>
      <c r="AV87" s="21">
        <f>EXP(-LN(2)/25)*AV86+(1-EXP(-LN(2)/25))/(LN(2)/25)*Calculateur!AQ87*Calculateur!AS87*VLOOKUP('Données projet'!$B$10,Paramètres!$A$1:$I$89,3,0)*0.475*44/12</f>
        <v>46.312510916019512</v>
      </c>
      <c r="AW87" s="21">
        <f>EXP(-LN(2)/2)*AW86+(1-EXP(-LN(2)/2))/(LN(2)/2)*AQ87*AT87*VLOOKUP('Données projet'!$B$10,Paramètres!$A$1:$I$89,3,0)*0.475*44/12</f>
        <v>17.679160700302177</v>
      </c>
      <c r="AX87" s="21">
        <f t="shared" si="60"/>
        <v>205.58622937652683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2.0512820512820498</v>
      </c>
      <c r="BD87" s="12">
        <f>IF('Données projet'!$A$88&gt;35,BD86+BC87-BL86,IF(A87&lt;'Données projet'!$A$88,$BA$205^A87,IF(A87='Données projet'!$A$88,'Données projet'!$B$88,BD86+BC87-BL86)))</f>
        <v>145.38461538461547</v>
      </c>
      <c r="BE87" s="13">
        <f>BD87*VLOOKUP('Données projet'!$B$11,Paramètres!$A$1:$I$89,3,0)*VLOOKUP('Données projet'!$B$11,Paramètres!$A$1:$I$89,5,0)</f>
        <v>151.9560000000001</v>
      </c>
      <c r="BF87" s="13">
        <f t="shared" si="91"/>
        <v>39.022757915937028</v>
      </c>
      <c r="BG87" s="20">
        <f t="shared" si="61"/>
        <v>332.62133670359054</v>
      </c>
      <c r="BH87" s="59">
        <f t="shared" si="62"/>
        <v>625.95467003692386</v>
      </c>
      <c r="BI87" s="59">
        <f ca="1">AVERAGE(OFFSET($BH$3,0,0,'Données projet'!$E$11+1,1))-AVERAGE(OFFSET($H$3,0,0,'Données projet'!$E$11+1,1))</f>
        <v>260.74709892624571</v>
      </c>
      <c r="BJ87" s="59">
        <f t="shared" si="92"/>
        <v>237.17381692184887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2.2284887452862514</v>
      </c>
      <c r="BQ87" s="21">
        <f>EXP(-LN(2)/25)*BQ86+(1-EXP(-LN(2)/25))/(LN(2)/25)*Calculateur!BL87*Calculateur!BN87*VLOOKUP('Données projet'!$B$11,Paramètres!$A$1:$I$89,3,0)*0.475*44/12</f>
        <v>16.978743473853811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19.207232219140064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11.667500000000004</v>
      </c>
      <c r="BY87" s="12">
        <f>IF('Données projet'!$A$114&gt;35,BY86+BX87-CG86,IF(A87&lt;'Données projet'!$A$114,$BV$205^A87,IF(A87='Données projet'!$A$114,'Données projet'!$B$114,BY86+BX87-CG86)))</f>
        <v>401.36499999999995</v>
      </c>
      <c r="BZ87" s="13">
        <f>BY87*VLOOKUP('Données projet'!$B$12,Paramètres!$A$1:$I$89,3,0)*VLOOKUP('Données projet'!$B$12,Paramètres!$A$1:$I$89,5,0)</f>
        <v>363.15505199999996</v>
      </c>
      <c r="CA87" s="13">
        <f t="shared" si="93"/>
        <v>84.265428925746718</v>
      </c>
      <c r="CB87" s="20">
        <f t="shared" si="64"/>
        <v>779.25733761234221</v>
      </c>
      <c r="CC87" s="59">
        <f t="shared" si="65"/>
        <v>1072.5906709456756</v>
      </c>
      <c r="CD87" s="59">
        <f ca="1">AVERAGE(OFFSET($CC$3,0,0,'Données projet'!$E$12+1,1))-AVERAGE(OFFSET($H$3,0,0,'Données projet'!$E$12+1,1))</f>
        <v>695.0879239758051</v>
      </c>
      <c r="CE87" s="59">
        <f t="shared" si="94"/>
        <v>226.22150997227476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31.690978334995215</v>
      </c>
      <c r="CL87" s="21">
        <f>EXP(-LN(2)/25)*CL86+(1-EXP(-LN(2)/25))/(LN(2)/25)*Calculateur!CG87*Calculateur!CI87*VLOOKUP('Données projet'!$B$12,Paramètres!$A$1:$I$89,3,0)*0.475*44/12</f>
        <v>35.123444396345278</v>
      </c>
      <c r="CM87" s="21">
        <f>EXP(-LN(2)/2)*CM86+(1-EXP(-LN(2)/2))/(LN(2)/2)*CG87*CJ87*VLOOKUP('Données projet'!$B$12,Paramètres!$A$1:$I$89,3,0)*0.475*44/12</f>
        <v>2.6961105747745497</v>
      </c>
      <c r="CN87" s="22">
        <f t="shared" si="66"/>
        <v>69.51053330611505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11.667500000000004</v>
      </c>
      <c r="CT87" s="12">
        <f>IF('Données projet'!$A$140&gt;35,CT86+CS87-DB86,IF(A87&lt;'Données projet'!$A$140,$CQ$205^A87,IF(A87='Données projet'!$A$140,'Données projet'!$B$140,CT86+CS87-DB86)))</f>
        <v>401.36499999999995</v>
      </c>
      <c r="CU87" s="17">
        <f>CT87*VLOOKUP('Données projet'!$B$13,Paramètres!$A$1:$I$89,3,0)*VLOOKUP('Données projet'!$B$13,Paramètres!$A$1:$I$89,5,0)</f>
        <v>406.98410999999999</v>
      </c>
      <c r="CV87" s="13">
        <f t="shared" si="95"/>
        <v>93.191156763368937</v>
      </c>
      <c r="CW87" s="20">
        <f t="shared" si="67"/>
        <v>871.13858961286758</v>
      </c>
      <c r="CX87" s="59">
        <f t="shared" si="68"/>
        <v>1164.4719229462009</v>
      </c>
      <c r="CY87" s="59">
        <f ca="1">AVERAGE(OFFSET($CX$3,0,0,'Données projet'!$E$13+1,1))-AVERAGE(OFFSET($H$3,0,0,'Données projet'!$E$13+1,1))</f>
        <v>773.15074145293738</v>
      </c>
      <c r="CZ87" s="59">
        <f t="shared" si="96"/>
        <v>248.49577986312505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35.51575158232221</v>
      </c>
      <c r="DG87" s="21">
        <f>EXP(-LN(2)/25)*DG86+(1-EXP(-LN(2)/25))/(LN(2)/25)*Calculateur!DB87*Calculateur!DD87*VLOOKUP('Données projet'!$B$13,Paramètres!$A$1:$I$89,3,0)*0.475*44/12</f>
        <v>39.362480789007627</v>
      </c>
      <c r="DH87" s="21">
        <f>EXP(-LN(2)/2)*DH86+(1-EXP(-LN(2)/2))/(LN(2)/2)*DB87*DE87*VLOOKUP('Données projet'!$B$13,Paramètres!$A$1:$I$89,3,0)*0.475*44/12</f>
        <v>3.0215032303507892</v>
      </c>
      <c r="DI87" s="22">
        <f t="shared" si="69"/>
        <v>77.899735601680618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10.417499999999999</v>
      </c>
      <c r="DO87" s="12">
        <f>IF('Données projet'!$A$166&gt;35,DO86+DN87-DW86,IF(A87&lt;'Données projet'!$A$166,$DL$205^A87,IF(A87='Données projet'!$A$166,'Données projet'!$B$166,DO86+DN87-DW86)))</f>
        <v>395.50750000000005</v>
      </c>
      <c r="DP87" s="17">
        <f>DO87*VLOOKUP('Données projet'!$B$14,Paramètres!$A$1:$I$89,3,0)*VLOOKUP('Données projet'!$B$14,Paramètres!$A$1:$I$89,5,0)</f>
        <v>185.09751</v>
      </c>
      <c r="DQ87" s="13">
        <f t="shared" si="97"/>
        <v>46.454438413259567</v>
      </c>
      <c r="DR87" s="20">
        <f t="shared" si="70"/>
        <v>403.28631015309378</v>
      </c>
      <c r="DS87" s="59">
        <f t="shared" si="71"/>
        <v>696.61964348642709</v>
      </c>
      <c r="DT87" s="59">
        <f ca="1">AVERAGE(OFFSET($DS$3,0,0,'Données projet'!$E$14+1,1))-AVERAGE(OFFSET($H$3,0,0,'Données projet'!$E$14+1,1))</f>
        <v>293.15557501692803</v>
      </c>
      <c r="DU87" s="59">
        <f t="shared" si="98"/>
        <v>237.1930412773068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36.207808956720825</v>
      </c>
      <c r="EB87" s="21">
        <f>EXP(-LN(2)/25)*EB86+(1-EXP(-LN(2)/25))/(LN(2)/25)*Calculateur!DW87*Calculateur!DY87*VLOOKUP('Données projet'!$B$14,Paramètres!$A$1:$I$89,3,0)*0.475*44/12</f>
        <v>14.481872759743419</v>
      </c>
      <c r="EC87" s="21">
        <f>EXP(-LN(2)/2)*EC86+(1-EXP(-LN(2)/2))/(LN(2)/2)*DW87*DZ87*VLOOKUP('Données projet'!$B$14,Paramètres!$A$1:$I$89,3,0)*0.475*44/12</f>
        <v>0.44781055079541443</v>
      </c>
      <c r="ED87" s="22">
        <f t="shared" si="72"/>
        <v>51.13749226725966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-1.7053025658242404E-13</v>
      </c>
      <c r="EK87" s="17">
        <f>EJ87*VLOOKUP('Données projet'!$B$15,Paramètres!$A$1:$I$89,3,0)*VLOOKUP('Données projet'!$B$15,Paramètres!$A$1:$I$89,5,0)</f>
        <v>-1.0197709343628959E-13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225.86663363047296</v>
      </c>
      <c r="EP87" s="59">
        <f t="shared" si="100"/>
        <v>258.08349727304397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66.119362628384636</v>
      </c>
      <c r="EW87" s="21">
        <f>EXP(-LN(2)/25)*EW86+(1-EXP(-LN(2)/25))/(LN(2)/25)*Calculateur!ER87*Calculateur!ET87*VLOOKUP('Données projet'!$B$15,Paramètres!$A$1:$I$89,3,0)*0.475*44/12</f>
        <v>20.310823655029196</v>
      </c>
      <c r="EX87" s="21">
        <f>EXP(-LN(2)/2)*EX86+(1-EXP(-LN(2)/2))/(LN(2)/2)*ER87*EU87*VLOOKUP('Données projet'!$B$15,Paramètres!$A$1:$I$89,3,0)*0.475*44/12</f>
        <v>2.1835413202347942E-2</v>
      </c>
      <c r="EY87" s="22">
        <f t="shared" si="75"/>
        <v>86.452021696616185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388.12151914648013</v>
      </c>
      <c r="T88" s="59">
        <f t="shared" si="88"/>
        <v>481.43684454382793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100.24114102175083</v>
      </c>
      <c r="AA88" s="21">
        <f>EXP(-LN(2)/25)*AA87+(1-EXP(-LN(2)/25))/(LN(2)/25)*Calculateur!V88*Calculateur!X88*VLOOKUP('Données projet'!$B$9,Paramètres!$A$1:$I$89,3,0)*0.475*44/12</f>
        <v>27.597646844866734</v>
      </c>
      <c r="AB88" s="21">
        <f>EXP(-LN(2)/2)*AB87+(1-EXP(-LN(2)/2))/(LN(2)/2)*V88*Y88*VLOOKUP('Données projet'!$B$9,Paramètres!$A$1:$I$89,3,0)*0.475*44/12</f>
        <v>3.336328323967728E-3</v>
      </c>
      <c r="AC88" s="22">
        <f t="shared" si="57"/>
        <v>127.84212419494153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-1.3596945791505279E-13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349.71285006949597</v>
      </c>
      <c r="AO88" s="59">
        <f t="shared" si="90"/>
        <v>258.51550516456842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138.81797484667999</v>
      </c>
      <c r="AV88" s="21">
        <f>EXP(-LN(2)/25)*AV87+(1-EXP(-LN(2)/25))/(LN(2)/25)*Calculateur!AQ88*Calculateur!AS88*VLOOKUP('Données projet'!$B$10,Paramètres!$A$1:$I$89,3,0)*0.475*44/12</f>
        <v>45.046092869551856</v>
      </c>
      <c r="AW88" s="21">
        <f>EXP(-LN(2)/2)*AW87+(1-EXP(-LN(2)/2))/(LN(2)/2)*AQ88*AT88*VLOOKUP('Données projet'!$B$10,Paramètres!$A$1:$I$89,3,0)*0.475*44/12</f>
        <v>12.501054416870382</v>
      </c>
      <c r="AX88" s="21">
        <f t="shared" si="60"/>
        <v>196.3651221331022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147.43589743589743</v>
      </c>
      <c r="BB88" s="12">
        <f>VLOOKUP(A88,'Données projet'!$A$87:$I$107,9,0)</f>
        <v>2.0512820512820498</v>
      </c>
      <c r="BC88" s="12">
        <f t="array" ref="BC88">INDEX(BB:BB,MIN(IF(ISNUMBER(BB88:BB284),ROW(BB88:BB284),"")))</f>
        <v>2.0512820512820498</v>
      </c>
      <c r="BD88" s="12">
        <f>IF('Données projet'!$A$88&gt;35,BD87+BC88-BL87,IF(A88&lt;'Données projet'!$A$88,$BA$205^A88,IF(A88='Données projet'!$A$88,'Données projet'!$B$88,BD87+BC88-BL87)))</f>
        <v>147.43589743589752</v>
      </c>
      <c r="BE88" s="13">
        <f>BD88*VLOOKUP('Données projet'!$B$11,Paramètres!$A$1:$I$89,3,0)*VLOOKUP('Données projet'!$B$11,Paramètres!$A$1:$I$89,5,0)</f>
        <v>154.10000000000011</v>
      </c>
      <c r="BF88" s="13">
        <f t="shared" si="91"/>
        <v>39.508857983748619</v>
      </c>
      <c r="BG88" s="20">
        <f t="shared" si="61"/>
        <v>337.20209432169565</v>
      </c>
      <c r="BH88" s="59">
        <f t="shared" si="62"/>
        <v>630.53542765502903</v>
      </c>
      <c r="BI88" s="59">
        <f ca="1">AVERAGE(OFFSET($BH$3,0,0,'Données projet'!$E$11+1,1))-AVERAGE(OFFSET($H$3,0,0,'Données projet'!$E$11+1,1))</f>
        <v>260.74709892624571</v>
      </c>
      <c r="BJ88" s="59">
        <f t="shared" si="92"/>
        <v>237.17381692184887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7.6923076923076916</v>
      </c>
      <c r="BM88" s="16">
        <f>IF(ISNA(VLOOKUP(A88,'Données projet'!$A$87:$I$107,5,0)),0%,VLOOKUP(A88,'Données projet'!$A$87:$I$107,5,0)*VLOOKUP('Données projet'!$B$11,Paramètres!$A$1:$I$89,7,0))</f>
        <v>4.3000000000000003E-2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2.5669726598472398</v>
      </c>
      <c r="BQ88" s="21">
        <f>EXP(-LN(2)/25)*BQ87+(1-EXP(-LN(2)/25))/(LN(2)/25)*Calculateur!BL88*Calculateur!BN88*VLOOKUP('Données projet'!$B$11,Paramètres!$A$1:$I$89,3,0)*0.475*44/12</f>
        <v>18.417850933954441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20.984823593801678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11.667500000000004</v>
      </c>
      <c r="BY88" s="12">
        <f>IF('Données projet'!$A$114&gt;35,BY87+BX88-CG87,IF(A88&lt;'Données projet'!$A$114,$BV$205^A88,IF(A88='Données projet'!$A$114,'Données projet'!$B$114,BY87+BX88-CG87)))</f>
        <v>413.03249999999997</v>
      </c>
      <c r="BZ88" s="13">
        <f>BY88*VLOOKUP('Données projet'!$B$12,Paramètres!$A$1:$I$89,3,0)*VLOOKUP('Données projet'!$B$12,Paramètres!$A$1:$I$89,5,0)</f>
        <v>373.71180599999997</v>
      </c>
      <c r="CA88" s="13">
        <f t="shared" si="93"/>
        <v>86.426235603807172</v>
      </c>
      <c r="CB88" s="20">
        <f t="shared" si="64"/>
        <v>801.40708912663069</v>
      </c>
      <c r="CC88" s="59">
        <f t="shared" si="65"/>
        <v>1094.7404224599641</v>
      </c>
      <c r="CD88" s="59">
        <f ca="1">AVERAGE(OFFSET($CC$3,0,0,'Données projet'!$E$12+1,1))-AVERAGE(OFFSET($H$3,0,0,'Données projet'!$E$12+1,1))</f>
        <v>695.0879239758051</v>
      </c>
      <c r="CE88" s="59">
        <f t="shared" si="94"/>
        <v>226.22150997227476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31.069537579434105</v>
      </c>
      <c r="CL88" s="21">
        <f>EXP(-LN(2)/25)*CL87+(1-EXP(-LN(2)/25))/(LN(2)/25)*Calculateur!CG88*Calculateur!CI88*VLOOKUP('Données projet'!$B$12,Paramètres!$A$1:$I$89,3,0)*0.475*44/12</f>
        <v>34.162991962265551</v>
      </c>
      <c r="CM88" s="21">
        <f>EXP(-LN(2)/2)*CM87+(1-EXP(-LN(2)/2))/(LN(2)/2)*CG88*CJ88*VLOOKUP('Données projet'!$B$12,Paramètres!$A$1:$I$89,3,0)*0.475*44/12</f>
        <v>1.9064380702518446</v>
      </c>
      <c r="CN88" s="22">
        <f t="shared" si="66"/>
        <v>67.138967611951486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11.667500000000004</v>
      </c>
      <c r="CT88" s="12">
        <f>IF('Données projet'!$A$140&gt;35,CT87+CS88-DB87,IF(A88&lt;'Données projet'!$A$140,$CQ$205^A88,IF(A88='Données projet'!$A$140,'Données projet'!$B$140,CT87+CS88-DB87)))</f>
        <v>413.03249999999997</v>
      </c>
      <c r="CU88" s="17">
        <f>CT88*VLOOKUP('Données projet'!$B$13,Paramètres!$A$1:$I$89,3,0)*VLOOKUP('Données projet'!$B$13,Paramètres!$A$1:$I$89,5,0)</f>
        <v>418.814955</v>
      </c>
      <c r="CV88" s="13">
        <f t="shared" si="95"/>
        <v>95.580844639376892</v>
      </c>
      <c r="CW88" s="20">
        <f t="shared" si="67"/>
        <v>895.90601770524825</v>
      </c>
      <c r="CX88" s="59">
        <f t="shared" si="68"/>
        <v>1189.2393510385816</v>
      </c>
      <c r="CY88" s="59">
        <f ca="1">AVERAGE(OFFSET($CX$3,0,0,'Données projet'!$E$13+1,1))-AVERAGE(OFFSET($H$3,0,0,'Données projet'!$E$13+1,1))</f>
        <v>773.15074145293738</v>
      </c>
      <c r="CZ88" s="59">
        <f t="shared" si="96"/>
        <v>248.49577986312505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34.819309356262345</v>
      </c>
      <c r="DG88" s="21">
        <f>EXP(-LN(2)/25)*DG87+(1-EXP(-LN(2)/25))/(LN(2)/25)*Calculateur!DB88*Calculateur!DD88*VLOOKUP('Données projet'!$B$13,Paramètres!$A$1:$I$89,3,0)*0.475*44/12</f>
        <v>38.286111681849313</v>
      </c>
      <c r="DH88" s="21">
        <f>EXP(-LN(2)/2)*DH87+(1-EXP(-LN(2)/2))/(LN(2)/2)*DB88*DE88*VLOOKUP('Données projet'!$B$13,Paramètres!$A$1:$I$89,3,0)*0.475*44/12</f>
        <v>2.1365254235581022</v>
      </c>
      <c r="DI88" s="22">
        <f t="shared" si="69"/>
        <v>75.241946461669755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10.417499999999999</v>
      </c>
      <c r="DO88" s="12">
        <f>IF('Données projet'!$A$166&gt;35,DO87+DN88-DW87,IF(A88&lt;'Données projet'!$A$166,$DL$205^A88,IF(A88='Données projet'!$A$166,'Données projet'!$B$166,DO87+DN88-DW87)))</f>
        <v>405.92500000000007</v>
      </c>
      <c r="DP88" s="17">
        <f>DO88*VLOOKUP('Données projet'!$B$14,Paramètres!$A$1:$I$89,3,0)*VLOOKUP('Données projet'!$B$14,Paramètres!$A$1:$I$89,5,0)</f>
        <v>189.97290000000001</v>
      </c>
      <c r="DQ88" s="13">
        <f t="shared" si="97"/>
        <v>47.533961376261203</v>
      </c>
      <c r="DR88" s="20">
        <f t="shared" si="70"/>
        <v>413.6577835636549</v>
      </c>
      <c r="DS88" s="59">
        <f t="shared" si="71"/>
        <v>706.99111689698816</v>
      </c>
      <c r="DT88" s="59">
        <f ca="1">AVERAGE(OFFSET($DS$3,0,0,'Données projet'!$E$14+1,1))-AVERAGE(OFFSET($H$3,0,0,'Données projet'!$E$14+1,1))</f>
        <v>293.15557501692803</v>
      </c>
      <c r="DU88" s="59">
        <f t="shared" si="98"/>
        <v>237.1930412773068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35.497795907662322</v>
      </c>
      <c r="EB88" s="21">
        <f>EXP(-LN(2)/25)*EB87+(1-EXP(-LN(2)/25))/(LN(2)/25)*Calculateur!DW88*Calculateur!DY88*VLOOKUP('Données projet'!$B$14,Paramètres!$A$1:$I$89,3,0)*0.475*44/12</f>
        <v>14.085865187559646</v>
      </c>
      <c r="EC88" s="21">
        <f>EXP(-LN(2)/2)*EC87+(1-EXP(-LN(2)/2))/(LN(2)/2)*DW88*DZ88*VLOOKUP('Données projet'!$B$14,Paramètres!$A$1:$I$89,3,0)*0.475*44/12</f>
        <v>0.31664987715432047</v>
      </c>
      <c r="ED88" s="22">
        <f t="shared" si="72"/>
        <v>49.900310972376289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-1.7053025658242404E-13</v>
      </c>
      <c r="EK88" s="17">
        <f>EJ88*VLOOKUP('Données projet'!$B$15,Paramètres!$A$1:$I$89,3,0)*VLOOKUP('Données projet'!$B$15,Paramètres!$A$1:$I$89,5,0)</f>
        <v>-1.0197709343628959E-13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225.86663363047296</v>
      </c>
      <c r="EP88" s="59">
        <f t="shared" si="100"/>
        <v>258.08349727304397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64.822802256071071</v>
      </c>
      <c r="EW88" s="21">
        <f>EXP(-LN(2)/25)*EW87+(1-EXP(-LN(2)/25))/(LN(2)/25)*Calculateur!ER88*Calculateur!ET88*VLOOKUP('Données projet'!$B$15,Paramètres!$A$1:$I$89,3,0)*0.475*44/12</f>
        <v>19.755423114082628</v>
      </c>
      <c r="EX88" s="21">
        <f>EXP(-LN(2)/2)*EX87+(1-EXP(-LN(2)/2))/(LN(2)/2)*ER88*EU88*VLOOKUP('Données projet'!$B$15,Paramètres!$A$1:$I$89,3,0)*0.475*44/12</f>
        <v>1.5439968745390498E-2</v>
      </c>
      <c r="EY88" s="22">
        <f t="shared" si="75"/>
        <v>84.5936653388991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388.12151914648013</v>
      </c>
      <c r="T89" s="59">
        <f t="shared" si="88"/>
        <v>481.43684454382793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98.27547338737314</v>
      </c>
      <c r="AA89" s="21">
        <f>EXP(-LN(2)/25)*AA88+(1-EXP(-LN(2)/25))/(LN(2)/25)*Calculateur!V89*Calculateur!X89*VLOOKUP('Données projet'!$B$9,Paramètres!$A$1:$I$89,3,0)*0.475*44/12</f>
        <v>26.84298774059668</v>
      </c>
      <c r="AB89" s="21">
        <f>EXP(-LN(2)/2)*AB88+(1-EXP(-LN(2)/2))/(LN(2)/2)*V89*Y89*VLOOKUP('Données projet'!$B$9,Paramètres!$A$1:$I$89,3,0)*0.475*44/12</f>
        <v>2.3591403821423291E-3</v>
      </c>
      <c r="AC89" s="22">
        <f t="shared" si="57"/>
        <v>125.12082026835196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-1.3596945791505279E-13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349.71285006949597</v>
      </c>
      <c r="AO89" s="59">
        <f t="shared" si="90"/>
        <v>258.51550516456842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136.09583903054073</v>
      </c>
      <c r="AV89" s="21">
        <f>EXP(-LN(2)/25)*AV88+(1-EXP(-LN(2)/25))/(LN(2)/25)*Calculateur!AQ89*Calculateur!AS89*VLOOKUP('Données projet'!$B$10,Paramètres!$A$1:$I$89,3,0)*0.475*44/12</f>
        <v>43.814305091162893</v>
      </c>
      <c r="AW89" s="21">
        <f>EXP(-LN(2)/2)*AW88+(1-EXP(-LN(2)/2))/(LN(2)/2)*AQ89*AT89*VLOOKUP('Données projet'!$B$10,Paramètres!$A$1:$I$89,3,0)*0.475*44/12</f>
        <v>8.8395803501510883</v>
      </c>
      <c r="AX89" s="21">
        <f t="shared" si="60"/>
        <v>188.74972447185473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1.9230769230769169</v>
      </c>
      <c r="BD89" s="12">
        <f>IF('Données projet'!$A$88&gt;35,BD88+BC89-BL88,IF(A89&lt;'Données projet'!$A$88,$BA$205^A89,IF(A89='Données projet'!$A$88,'Données projet'!$B$88,BD88+BC89-BL88)))</f>
        <v>141.66666666666674</v>
      </c>
      <c r="BE89" s="13">
        <f>BD89*VLOOKUP('Données projet'!$B$11,Paramètres!$A$1:$I$89,3,0)*VLOOKUP('Données projet'!$B$11,Paramètres!$A$1:$I$89,5,0)</f>
        <v>148.07000000000011</v>
      </c>
      <c r="BF89" s="13">
        <f t="shared" si="91"/>
        <v>38.13965617111247</v>
      </c>
      <c r="BG89" s="20">
        <f t="shared" si="61"/>
        <v>324.31515116468773</v>
      </c>
      <c r="BH89" s="59">
        <f t="shared" si="62"/>
        <v>617.64848449802105</v>
      </c>
      <c r="BI89" s="59">
        <f ca="1">AVERAGE(OFFSET($BH$3,0,0,'Données projet'!$E$11+1,1))-AVERAGE(OFFSET($H$3,0,0,'Données projet'!$E$11+1,1))</f>
        <v>260.74709892624571</v>
      </c>
      <c r="BJ89" s="59">
        <f t="shared" si="92"/>
        <v>237.17381692184887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2.516635891686358</v>
      </c>
      <c r="BQ89" s="21">
        <f>EXP(-LN(2)/25)*BQ88+(1-EXP(-LN(2)/25))/(LN(2)/25)*Calculateur!BL89*Calculateur!BN89*VLOOKUP('Données projet'!$B$11,Paramètres!$A$1:$I$89,3,0)*0.475*44/12</f>
        <v>17.91421383161277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20.430849723299129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11.667500000000004</v>
      </c>
      <c r="BY89" s="12">
        <f>IF('Données projet'!$A$114&gt;35,BY88+BX89-CG88,IF(A89&lt;'Données projet'!$A$114,$BV$205^A89,IF(A89='Données projet'!$A$114,'Données projet'!$B$114,BY88+BX89-CG88)))</f>
        <v>424.7</v>
      </c>
      <c r="BZ89" s="13">
        <f>BY89*VLOOKUP('Données projet'!$B$12,Paramètres!$A$1:$I$89,3,0)*VLOOKUP('Données projet'!$B$12,Paramètres!$A$1:$I$89,5,0)</f>
        <v>384.26855999999998</v>
      </c>
      <c r="CA89" s="13">
        <f t="shared" si="93"/>
        <v>88.579947979334634</v>
      </c>
      <c r="CB89" s="20">
        <f t="shared" si="64"/>
        <v>823.54448473067441</v>
      </c>
      <c r="CC89" s="59">
        <f t="shared" si="65"/>
        <v>1116.8778180640077</v>
      </c>
      <c r="CD89" s="59">
        <f ca="1">AVERAGE(OFFSET($CC$3,0,0,'Données projet'!$E$12+1,1))-AVERAGE(OFFSET($H$3,0,0,'Données projet'!$E$12+1,1))</f>
        <v>695.0879239758051</v>
      </c>
      <c r="CE89" s="59">
        <f t="shared" si="94"/>
        <v>226.22150997227476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30.460282898048114</v>
      </c>
      <c r="CL89" s="21">
        <f>EXP(-LN(2)/25)*CL88+(1-EXP(-LN(2)/25))/(LN(2)/25)*Calculateur!CG89*Calculateur!CI89*VLOOKUP('Données projet'!$B$12,Paramètres!$A$1:$I$89,3,0)*0.475*44/12</f>
        <v>33.22880315050373</v>
      </c>
      <c r="CM89" s="21">
        <f>EXP(-LN(2)/2)*CM88+(1-EXP(-LN(2)/2))/(LN(2)/2)*CG89*CJ89*VLOOKUP('Données projet'!$B$12,Paramètres!$A$1:$I$89,3,0)*0.475*44/12</f>
        <v>1.3480552873872751</v>
      </c>
      <c r="CN89" s="22">
        <f t="shared" si="66"/>
        <v>65.037141335939111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11.667500000000004</v>
      </c>
      <c r="CT89" s="12">
        <f>IF('Données projet'!$A$140&gt;35,CT88+CS89-DB88,IF(A89&lt;'Données projet'!$A$140,$CQ$205^A89,IF(A89='Données projet'!$A$140,'Données projet'!$B$140,CT88+CS89-DB88)))</f>
        <v>424.7</v>
      </c>
      <c r="CU89" s="17">
        <f>CT89*VLOOKUP('Données projet'!$B$13,Paramètres!$A$1:$I$89,3,0)*VLOOKUP('Données projet'!$B$13,Paramètres!$A$1:$I$89,5,0)</f>
        <v>430.64580000000001</v>
      </c>
      <c r="CV89" s="13">
        <f t="shared" si="95"/>
        <v>97.962686756241197</v>
      </c>
      <c r="CW89" s="20">
        <f t="shared" si="67"/>
        <v>920.65978110045342</v>
      </c>
      <c r="CX89" s="59">
        <f t="shared" si="68"/>
        <v>1213.9931144337868</v>
      </c>
      <c r="CY89" s="59">
        <f ca="1">AVERAGE(OFFSET($CX$3,0,0,'Données projet'!$E$13+1,1))-AVERAGE(OFFSET($H$3,0,0,'Données projet'!$E$13+1,1))</f>
        <v>773.15074145293738</v>
      </c>
      <c r="CZ89" s="59">
        <f t="shared" si="96"/>
        <v>248.49577986312505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34.1365239374677</v>
      </c>
      <c r="DG89" s="21">
        <f>EXP(-LN(2)/25)*DG88+(1-EXP(-LN(2)/25))/(LN(2)/25)*Calculateur!DB89*Calculateur!DD89*VLOOKUP('Données projet'!$B$13,Paramètres!$A$1:$I$89,3,0)*0.475*44/12</f>
        <v>37.239175944530032</v>
      </c>
      <c r="DH89" s="21">
        <f>EXP(-LN(2)/2)*DH88+(1-EXP(-LN(2)/2))/(LN(2)/2)*DB89*DE89*VLOOKUP('Données projet'!$B$13,Paramètres!$A$1:$I$89,3,0)*0.475*44/12</f>
        <v>1.5107516151753948</v>
      </c>
      <c r="DI89" s="22">
        <f t="shared" si="69"/>
        <v>72.886451497173127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10.417499999999999</v>
      </c>
      <c r="DO89" s="12">
        <f>IF('Données projet'!$A$166&gt;35,DO88+DN89-DW88,IF(A89&lt;'Données projet'!$A$166,$DL$205^A89,IF(A89='Données projet'!$A$166,'Données projet'!$B$166,DO88+DN89-DW88)))</f>
        <v>416.34250000000009</v>
      </c>
      <c r="DP89" s="17">
        <f>DO89*VLOOKUP('Données projet'!$B$14,Paramètres!$A$1:$I$89,3,0)*VLOOKUP('Données projet'!$B$14,Paramètres!$A$1:$I$89,5,0)</f>
        <v>194.84829000000002</v>
      </c>
      <c r="DQ89" s="13">
        <f t="shared" si="97"/>
        <v>48.610263979086888</v>
      </c>
      <c r="DR89" s="20">
        <f t="shared" si="70"/>
        <v>424.02364818024301</v>
      </c>
      <c r="DS89" s="59">
        <f t="shared" si="71"/>
        <v>717.35698151357633</v>
      </c>
      <c r="DT89" s="59">
        <f ca="1">AVERAGE(OFFSET($DS$3,0,0,'Données projet'!$E$14+1,1))-AVERAGE(OFFSET($H$3,0,0,'Données projet'!$E$14+1,1))</f>
        <v>293.15557501692803</v>
      </c>
      <c r="DU89" s="59">
        <f t="shared" si="98"/>
        <v>237.1930412773068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34.801705781430655</v>
      </c>
      <c r="EB89" s="21">
        <f>EXP(-LN(2)/25)*EB88+(1-EXP(-LN(2)/25))/(LN(2)/25)*Calculateur!DW89*Calculateur!DY89*VLOOKUP('Données projet'!$B$14,Paramètres!$A$1:$I$89,3,0)*0.475*44/12</f>
        <v>13.700686463262372</v>
      </c>
      <c r="EC89" s="21">
        <f>EXP(-LN(2)/2)*EC88+(1-EXP(-LN(2)/2))/(LN(2)/2)*DW89*DZ89*VLOOKUP('Données projet'!$B$14,Paramètres!$A$1:$I$89,3,0)*0.475*44/12</f>
        <v>0.22390527539770724</v>
      </c>
      <c r="ED89" s="22">
        <f t="shared" si="72"/>
        <v>48.726297520090732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-1.7053025658242404E-13</v>
      </c>
      <c r="EK89" s="17">
        <f>EJ89*VLOOKUP('Données projet'!$B$15,Paramètres!$A$1:$I$89,3,0)*VLOOKUP('Données projet'!$B$15,Paramètres!$A$1:$I$89,5,0)</f>
        <v>-1.0197709343628959E-13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225.86663363047296</v>
      </c>
      <c r="EP89" s="59">
        <f t="shared" si="100"/>
        <v>258.08349727304397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63.551666641834842</v>
      </c>
      <c r="EW89" s="21">
        <f>EXP(-LN(2)/25)*EW88+(1-EXP(-LN(2)/25))/(LN(2)/25)*Calculateur!ER89*Calculateur!ET89*VLOOKUP('Données projet'!$B$15,Paramètres!$A$1:$I$89,3,0)*0.475*44/12</f>
        <v>19.215210030135488</v>
      </c>
      <c r="EX89" s="21">
        <f>EXP(-LN(2)/2)*EX88+(1-EXP(-LN(2)/2))/(LN(2)/2)*ER89*EU89*VLOOKUP('Données projet'!$B$15,Paramètres!$A$1:$I$89,3,0)*0.475*44/12</f>
        <v>1.0917706601173973E-2</v>
      </c>
      <c r="EY89" s="22">
        <f t="shared" si="75"/>
        <v>82.7777943785715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388.12151914648013</v>
      </c>
      <c r="T90" s="59">
        <f t="shared" si="88"/>
        <v>481.43684454382793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96.348351296366729</v>
      </c>
      <c r="AA90" s="21">
        <f>EXP(-LN(2)/25)*AA89+(1-EXP(-LN(2)/25))/(LN(2)/25)*Calculateur!V90*Calculateur!X90*VLOOKUP('Données projet'!$B$9,Paramètres!$A$1:$I$89,3,0)*0.475*44/12</f>
        <v>26.108964829218689</v>
      </c>
      <c r="AB90" s="21">
        <f>EXP(-LN(2)/2)*AB89+(1-EXP(-LN(2)/2))/(LN(2)/2)*V90*Y90*VLOOKUP('Données projet'!$B$9,Paramètres!$A$1:$I$89,3,0)*0.475*44/12</f>
        <v>1.668164161983864E-3</v>
      </c>
      <c r="AC90" s="22">
        <f t="shared" si="57"/>
        <v>122.45898428974741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-1.3596945791505279E-13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349.71285006949597</v>
      </c>
      <c r="AO90" s="59">
        <f t="shared" si="90"/>
        <v>258.51550516456842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133.42708263741704</v>
      </c>
      <c r="AV90" s="21">
        <f>EXP(-LN(2)/25)*AV89+(1-EXP(-LN(2)/25))/(LN(2)/25)*Calculateur!AQ90*Calculateur!AS90*VLOOKUP('Données projet'!$B$10,Paramètres!$A$1:$I$89,3,0)*0.475*44/12</f>
        <v>42.61620061435088</v>
      </c>
      <c r="AW90" s="21">
        <f>EXP(-LN(2)/2)*AW89+(1-EXP(-LN(2)/2))/(LN(2)/2)*AQ90*AT90*VLOOKUP('Données projet'!$B$10,Paramètres!$A$1:$I$89,3,0)*0.475*44/12</f>
        <v>6.2505272084351908</v>
      </c>
      <c r="AX90" s="21">
        <f t="shared" si="60"/>
        <v>182.2938104602031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1.9230769230769169</v>
      </c>
      <c r="BD90" s="12">
        <f>IF('Données projet'!$A$88&gt;35,BD89+BC90-BL89,IF(A90&lt;'Données projet'!$A$88,$BA$205^A90,IF(A90='Données projet'!$A$88,'Données projet'!$B$88,BD89+BC90-BL89)))</f>
        <v>143.58974358974365</v>
      </c>
      <c r="BE90" s="13">
        <f>BD90*VLOOKUP('Données projet'!$B$11,Paramètres!$A$1:$I$89,3,0)*VLOOKUP('Données projet'!$B$11,Paramètres!$A$1:$I$89,5,0)</f>
        <v>150.08000000000007</v>
      </c>
      <c r="BF90" s="13">
        <f t="shared" si="91"/>
        <v>38.596765343718673</v>
      </c>
      <c r="BG90" s="20">
        <f t="shared" si="61"/>
        <v>328.61203297364347</v>
      </c>
      <c r="BH90" s="59">
        <f t="shared" si="62"/>
        <v>621.94536630697678</v>
      </c>
      <c r="BI90" s="59">
        <f ca="1">AVERAGE(OFFSET($BH$3,0,0,'Données projet'!$E$11+1,1))-AVERAGE(OFFSET($H$3,0,0,'Données projet'!$E$11+1,1))</f>
        <v>260.74709892624571</v>
      </c>
      <c r="BJ90" s="59">
        <f t="shared" si="92"/>
        <v>237.17381692184887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2.4672861968467141</v>
      </c>
      <c r="BQ90" s="21">
        <f>EXP(-LN(2)/25)*BQ89+(1-EXP(-LN(2)/25))/(LN(2)/25)*Calculateur!BL90*Calculateur!BN90*VLOOKUP('Données projet'!$B$11,Paramètres!$A$1:$I$89,3,0)*0.475*44/12</f>
        <v>17.424348712319755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19.89163490916647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11.667500000000004</v>
      </c>
      <c r="BY90" s="12">
        <f>IF('Données projet'!$A$114&gt;35,BY89+BX90-CG89,IF(A90&lt;'Données projet'!$A$114,$BV$205^A90,IF(A90='Données projet'!$A$114,'Données projet'!$B$114,BY89+BX90-CG89)))</f>
        <v>436.36750000000001</v>
      </c>
      <c r="BZ90" s="13">
        <f>BY90*VLOOKUP('Données projet'!$B$12,Paramètres!$A$1:$I$89,3,0)*VLOOKUP('Données projet'!$B$12,Paramètres!$A$1:$I$89,5,0)</f>
        <v>394.82531399999999</v>
      </c>
      <c r="CA90" s="13">
        <f t="shared" si="93"/>
        <v>90.726783343228391</v>
      </c>
      <c r="CB90" s="20">
        <f t="shared" si="64"/>
        <v>845.66990287278952</v>
      </c>
      <c r="CC90" s="59">
        <f t="shared" si="65"/>
        <v>1139.0032362061229</v>
      </c>
      <c r="CD90" s="59">
        <f ca="1">AVERAGE(OFFSET($CC$3,0,0,'Données projet'!$E$12+1,1))-AVERAGE(OFFSET($H$3,0,0,'Données projet'!$E$12+1,1))</f>
        <v>695.0879239758051</v>
      </c>
      <c r="CE90" s="59">
        <f t="shared" si="94"/>
        <v>226.22150997227476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29.862975329355439</v>
      </c>
      <c r="CL90" s="21">
        <f>EXP(-LN(2)/25)*CL89+(1-EXP(-LN(2)/25))/(LN(2)/25)*Calculateur!CG90*Calculateur!CI90*VLOOKUP('Données projet'!$B$12,Paramètres!$A$1:$I$89,3,0)*0.475*44/12</f>
        <v>32.320159780926396</v>
      </c>
      <c r="CM90" s="21">
        <f>EXP(-LN(2)/2)*CM89+(1-EXP(-LN(2)/2))/(LN(2)/2)*CG90*CJ90*VLOOKUP('Données projet'!$B$12,Paramètres!$A$1:$I$89,3,0)*0.475*44/12</f>
        <v>0.95321903512592243</v>
      </c>
      <c r="CN90" s="22">
        <f t="shared" si="66"/>
        <v>63.136354145407765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11.667500000000004</v>
      </c>
      <c r="CT90" s="12">
        <f>IF('Données projet'!$A$140&gt;35,CT89+CS90-DB89,IF(A90&lt;'Données projet'!$A$140,$CQ$205^A90,IF(A90='Données projet'!$A$140,'Données projet'!$B$140,CT89+CS90-DB89)))</f>
        <v>436.36750000000001</v>
      </c>
      <c r="CU90" s="17">
        <f>CT90*VLOOKUP('Données projet'!$B$13,Paramètres!$A$1:$I$89,3,0)*VLOOKUP('Données projet'!$B$13,Paramètres!$A$1:$I$89,5,0)</f>
        <v>442.47664500000008</v>
      </c>
      <c r="CV90" s="13">
        <f t="shared" si="95"/>
        <v>100.33692342117374</v>
      </c>
      <c r="CW90" s="20">
        <f t="shared" si="67"/>
        <v>945.40029833354436</v>
      </c>
      <c r="CX90" s="59">
        <f t="shared" si="68"/>
        <v>1238.7336316668777</v>
      </c>
      <c r="CY90" s="59">
        <f ca="1">AVERAGE(OFFSET($CX$3,0,0,'Données projet'!$E$13+1,1))-AVERAGE(OFFSET($H$3,0,0,'Données projet'!$E$13+1,1))</f>
        <v>773.15074145293738</v>
      </c>
      <c r="CZ90" s="59">
        <f t="shared" si="96"/>
        <v>248.49577986312505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33.467127524277636</v>
      </c>
      <c r="DG90" s="21">
        <f>EXP(-LN(2)/25)*DG89+(1-EXP(-LN(2)/25))/(LN(2)/25)*Calculateur!DB90*Calculateur!DD90*VLOOKUP('Données projet'!$B$13,Paramètres!$A$1:$I$89,3,0)*0.475*44/12</f>
        <v>36.220868720003708</v>
      </c>
      <c r="DH90" s="21">
        <f>EXP(-LN(2)/2)*DH89+(1-EXP(-LN(2)/2))/(LN(2)/2)*DB90*DE90*VLOOKUP('Données projet'!$B$13,Paramètres!$A$1:$I$89,3,0)*0.475*44/12</f>
        <v>1.0682627117790513</v>
      </c>
      <c r="DI90" s="22">
        <f t="shared" si="69"/>
        <v>70.756258956060407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426.76</v>
      </c>
      <c r="DM90" s="12">
        <f>VLOOKUP(A90,'Données projet'!$A$165:$I$185,9,0)</f>
        <v>10.417499999999999</v>
      </c>
      <c r="DN90" s="12">
        <f t="array" ref="DN90">INDEX(DM:DM,MIN(IF(ISNUMBER(DM90:DM286),ROW(DM90:DM286),"")))</f>
        <v>10.417499999999999</v>
      </c>
      <c r="DO90" s="12">
        <f>IF('Données projet'!$A$166&gt;35,DO89+DN90-DW89,IF(A90&lt;'Données projet'!$A$166,$DL$205^A90,IF(A90='Données projet'!$A$166,'Données projet'!$B$166,DO89+DN90-DW89)))</f>
        <v>426.7600000000001</v>
      </c>
      <c r="DP90" s="17">
        <f>DO90*VLOOKUP('Données projet'!$B$14,Paramètres!$A$1:$I$89,3,0)*VLOOKUP('Données projet'!$B$14,Paramètres!$A$1:$I$89,5,0)</f>
        <v>199.72368000000006</v>
      </c>
      <c r="DQ90" s="13">
        <f t="shared" si="97"/>
        <v>49.68343606725896</v>
      </c>
      <c r="DR90" s="20">
        <f t="shared" si="70"/>
        <v>434.38406048380944</v>
      </c>
      <c r="DS90" s="59">
        <f t="shared" si="71"/>
        <v>727.71739381714269</v>
      </c>
      <c r="DT90" s="59">
        <f ca="1">AVERAGE(OFFSET($DS$3,0,0,'Données projet'!$E$14+1,1))-AVERAGE(OFFSET($H$3,0,0,'Données projet'!$E$14+1,1))</f>
        <v>293.15557501692803</v>
      </c>
      <c r="DU90" s="59">
        <f t="shared" si="98"/>
        <v>237.1930412773068</v>
      </c>
      <c r="DV90" s="15">
        <f>IF(ISNA(VLOOKUP(A90,'Données projet'!$A$165:$I$185,3,0)),0,VLOOKUP(A90,'Données projet'!$A$165:$I$185,3,0))</f>
        <v>4</v>
      </c>
      <c r="DW90" s="15">
        <f>IF(ISNA(VLOOKUP(A90,'Données projet'!$A$165:$I$185,4,0)),0,VLOOKUP(A90,'Données projet'!$A$165:$I$185,4,0))</f>
        <v>92.519999999999982</v>
      </c>
      <c r="DX90" s="16">
        <f>IF(ISNA(VLOOKUP(A90,'Données projet'!$A$165:$I$185,5,0)),0%,VLOOKUP(A90,'Données projet'!$A$165:$I$185,5,0)*VLOOKUP('Données projet'!$B$14,Paramètres!$A$1:$I$89,7,0))</f>
        <v>0.33</v>
      </c>
      <c r="DY90" s="16">
        <f>IF(ISNA(VLOOKUP(A90,'Données projet'!$A$165:$I$185,6,0)),0%,VLOOKUP(A90,'Données projet'!$A$165:$I$185,6,0)*VLOOKUP('Données projet'!$B$14,Paramètres!$A$1:$I$89,7,0))</f>
        <v>0.11000000000000001</v>
      </c>
      <c r="DZ90" s="16">
        <f>IF(ISNA(VLOOKUP(A90,'Données projet'!$A$165:$I$185,7,0)),0%,VLOOKUP(A90,'Données projet'!$A$165:$I$185,7,0))</f>
        <v>0.2</v>
      </c>
      <c r="EA90" s="21">
        <f>EXP(-LN(2)/35)*EA89+(1-EXP(-LN(2)/35))/(LN(2)/35)*DW90*DX90*VLOOKUP('Données projet'!$B$14,Paramètres!$A$1:$I$89,3,0)*0.475*44/12</f>
        <v>53.074264891363939</v>
      </c>
      <c r="EB90" s="21">
        <f>EXP(-LN(2)/25)*EB89+(1-EXP(-LN(2)/25))/(LN(2)/25)*Calculateur!DW90*Calculateur!DY90*VLOOKUP('Données projet'!$B$14,Paramètres!$A$1:$I$89,3,0)*0.475*44/12</f>
        <v>19.619495897625399</v>
      </c>
      <c r="EC90" s="21">
        <f>EXP(-LN(2)/2)*EC89+(1-EXP(-LN(2)/2))/(LN(2)/2)*DW90*DZ90*VLOOKUP('Données projet'!$B$14,Paramètres!$A$1:$I$89,3,0)*0.475*44/12</f>
        <v>9.9633117094222658</v>
      </c>
      <c r="ED90" s="22">
        <f t="shared" si="72"/>
        <v>82.657072498411608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-1.7053025658242404E-13</v>
      </c>
      <c r="EK90" s="17">
        <f>EJ90*VLOOKUP('Données projet'!$B$15,Paramètres!$A$1:$I$89,3,0)*VLOOKUP('Données projet'!$B$15,Paramètres!$A$1:$I$89,5,0)</f>
        <v>-1.0197709343628959E-13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225.86663363047296</v>
      </c>
      <c r="EP90" s="59">
        <f t="shared" si="100"/>
        <v>258.08349727304397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62.305457221677614</v>
      </c>
      <c r="EW90" s="21">
        <f>EXP(-LN(2)/25)*EW89+(1-EXP(-LN(2)/25))/(LN(2)/25)*Calculateur!ER90*Calculateur!ET90*VLOOKUP('Données projet'!$B$15,Paramètres!$A$1:$I$89,3,0)*0.475*44/12</f>
        <v>18.689769101377454</v>
      </c>
      <c r="EX90" s="21">
        <f>EXP(-LN(2)/2)*EX89+(1-EXP(-LN(2)/2))/(LN(2)/2)*ER90*EU90*VLOOKUP('Données projet'!$B$15,Paramètres!$A$1:$I$89,3,0)*0.475*44/12</f>
        <v>7.7199843726952506E-3</v>
      </c>
      <c r="EY90" s="22">
        <f t="shared" si="75"/>
        <v>81.002946307427763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388.12151914648013</v>
      </c>
      <c r="T91" s="59">
        <f t="shared" si="88"/>
        <v>481.43684454382793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94.459018894136534</v>
      </c>
      <c r="AA91" s="21">
        <f>EXP(-LN(2)/25)*AA90+(1-EXP(-LN(2)/25))/(LN(2)/25)*Calculateur!V91*Calculateur!X91*VLOOKUP('Données projet'!$B$9,Paramètres!$A$1:$I$89,3,0)*0.475*44/12</f>
        <v>25.395013812952914</v>
      </c>
      <c r="AB91" s="21">
        <f>EXP(-LN(2)/2)*AB90+(1-EXP(-LN(2)/2))/(LN(2)/2)*V91*Y91*VLOOKUP('Données projet'!$B$9,Paramètres!$A$1:$I$89,3,0)*0.475*44/12</f>
        <v>1.1795701910711645E-3</v>
      </c>
      <c r="AC91" s="22">
        <f t="shared" si="57"/>
        <v>119.85521227728051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-1.3596945791505279E-13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349.71285006949597</v>
      </c>
      <c r="AO91" s="59">
        <f t="shared" si="90"/>
        <v>258.51550516456842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130.81065892938184</v>
      </c>
      <c r="AV91" s="21">
        <f>EXP(-LN(2)/25)*AV90+(1-EXP(-LN(2)/25))/(LN(2)/25)*Calculateur!AQ91*Calculateur!AS91*VLOOKUP('Données projet'!$B$10,Paramètres!$A$1:$I$89,3,0)*0.475*44/12</f>
        <v>41.450858367462864</v>
      </c>
      <c r="AW91" s="21">
        <f>EXP(-LN(2)/2)*AW90+(1-EXP(-LN(2)/2))/(LN(2)/2)*AQ91*AT91*VLOOKUP('Données projet'!$B$10,Paramètres!$A$1:$I$89,3,0)*0.475*44/12</f>
        <v>4.4197901750755442</v>
      </c>
      <c r="AX91" s="21">
        <f t="shared" si="60"/>
        <v>176.68130747192026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1.9230769230769169</v>
      </c>
      <c r="BD91" s="12">
        <f>IF('Données projet'!$A$88&gt;35,BD90+BC91-BL90,IF(A91&lt;'Données projet'!$A$88,$BA$205^A91,IF(A91='Données projet'!$A$88,'Données projet'!$B$88,BD90+BC91-BL90)))</f>
        <v>145.51282051282055</v>
      </c>
      <c r="BE91" s="13">
        <f>BD91*VLOOKUP('Données projet'!$B$11,Paramètres!$A$1:$I$89,3,0)*VLOOKUP('Données projet'!$B$11,Paramètres!$A$1:$I$89,5,0)</f>
        <v>152.09000000000006</v>
      </c>
      <c r="BF91" s="13">
        <f t="shared" si="91"/>
        <v>39.053162448424146</v>
      </c>
      <c r="BG91" s="20">
        <f t="shared" si="61"/>
        <v>332.90767459767216</v>
      </c>
      <c r="BH91" s="59">
        <f t="shared" si="62"/>
        <v>626.24100793100547</v>
      </c>
      <c r="BI91" s="59">
        <f ca="1">AVERAGE(OFFSET($BH$3,0,0,'Données projet'!$E$11+1,1))-AVERAGE(OFFSET($H$3,0,0,'Données projet'!$E$11+1,1))</f>
        <v>260.74709892624571</v>
      </c>
      <c r="BJ91" s="59">
        <f t="shared" si="92"/>
        <v>237.17381692184887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2.4189042194225339</v>
      </c>
      <c r="BQ91" s="21">
        <f>EXP(-LN(2)/25)*BQ90+(1-EXP(-LN(2)/25))/(LN(2)/25)*Calculateur!BL91*Calculateur!BN91*VLOOKUP('Données projet'!$B$11,Paramètres!$A$1:$I$89,3,0)*0.475*44/12</f>
        <v>16.947878980474698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19.366783199897231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11.667500000000004</v>
      </c>
      <c r="BY91" s="12">
        <f>IF('Données projet'!$A$114&gt;35,BY90+BX91-CG90,IF(A91&lt;'Données projet'!$A$114,$BV$205^A91,IF(A91='Données projet'!$A$114,'Données projet'!$B$114,BY90+BX91-CG90)))</f>
        <v>448.03500000000003</v>
      </c>
      <c r="BZ91" s="13">
        <f>BY91*VLOOKUP('Données projet'!$B$12,Paramètres!$A$1:$I$89,3,0)*VLOOKUP('Données projet'!$B$12,Paramètres!$A$1:$I$89,5,0)</f>
        <v>405.382068</v>
      </c>
      <c r="CA91" s="13">
        <f t="shared" si="93"/>
        <v>92.866946705059107</v>
      </c>
      <c r="CB91" s="20">
        <f t="shared" si="64"/>
        <v>867.78370061131125</v>
      </c>
      <c r="CC91" s="59">
        <f t="shared" si="65"/>
        <v>1161.1170339446446</v>
      </c>
      <c r="CD91" s="59">
        <f ca="1">AVERAGE(OFFSET($CC$3,0,0,'Données projet'!$E$12+1,1))-AVERAGE(OFFSET($H$3,0,0,'Données projet'!$E$12+1,1))</f>
        <v>695.0879239758051</v>
      </c>
      <c r="CE91" s="59">
        <f t="shared" si="94"/>
        <v>226.22150997227476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29.277380597763187</v>
      </c>
      <c r="CL91" s="21">
        <f>EXP(-LN(2)/25)*CL90+(1-EXP(-LN(2)/25))/(LN(2)/25)*Calculateur!CG91*Calculateur!CI91*VLOOKUP('Données projet'!$B$12,Paramètres!$A$1:$I$89,3,0)*0.475*44/12</f>
        <v>31.436363312073631</v>
      </c>
      <c r="CM91" s="21">
        <f>EXP(-LN(2)/2)*CM90+(1-EXP(-LN(2)/2))/(LN(2)/2)*CG91*CJ91*VLOOKUP('Données projet'!$B$12,Paramètres!$A$1:$I$89,3,0)*0.475*44/12</f>
        <v>0.67402764369363766</v>
      </c>
      <c r="CN91" s="22">
        <f t="shared" si="66"/>
        <v>61.387771553530456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11.667500000000004</v>
      </c>
      <c r="CT91" s="12">
        <f>IF('Données projet'!$A$140&gt;35,CT90+CS91-DB90,IF(A91&lt;'Données projet'!$A$140,$CQ$205^A91,IF(A91='Données projet'!$A$140,'Données projet'!$B$140,CT90+CS91-DB90)))</f>
        <v>448.03500000000003</v>
      </c>
      <c r="CU91" s="17">
        <f>CT91*VLOOKUP('Données projet'!$B$13,Paramètres!$A$1:$I$89,3,0)*VLOOKUP('Données projet'!$B$13,Paramètres!$A$1:$I$89,5,0)</f>
        <v>454.30749000000003</v>
      </c>
      <c r="CV91" s="13">
        <f t="shared" si="95"/>
        <v>102.70378135917016</v>
      </c>
      <c r="CW91" s="20">
        <f t="shared" si="67"/>
        <v>970.1279642838881</v>
      </c>
      <c r="CX91" s="59">
        <f t="shared" si="68"/>
        <v>1263.4612976172214</v>
      </c>
      <c r="CY91" s="59">
        <f ca="1">AVERAGE(OFFSET($CX$3,0,0,'Données projet'!$E$13+1,1))-AVERAGE(OFFSET($H$3,0,0,'Données projet'!$E$13+1,1))</f>
        <v>773.15074145293738</v>
      </c>
      <c r="CZ91" s="59">
        <f t="shared" si="96"/>
        <v>248.49577986312505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32.810857566458729</v>
      </c>
      <c r="DG91" s="21">
        <f>EXP(-LN(2)/25)*DG90+(1-EXP(-LN(2)/25))/(LN(2)/25)*Calculateur!DB91*Calculateur!DD91*VLOOKUP('Données projet'!$B$13,Paramètres!$A$1:$I$89,3,0)*0.475*44/12</f>
        <v>35.230407160082507</v>
      </c>
      <c r="DH91" s="21">
        <f>EXP(-LN(2)/2)*DH90+(1-EXP(-LN(2)/2))/(LN(2)/2)*DB91*DE91*VLOOKUP('Données projet'!$B$13,Paramètres!$A$1:$I$89,3,0)*0.475*44/12</f>
        <v>0.75537580758769751</v>
      </c>
      <c r="DI91" s="22">
        <f t="shared" si="69"/>
        <v>68.79664053412894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9.4258333333333351</v>
      </c>
      <c r="DO91" s="12">
        <f>IF('Données projet'!$A$166&gt;35,DO90+DN91-DW90,IF(A91&lt;'Données projet'!$A$166,$DL$205^A91,IF(A91='Données projet'!$A$166,'Données projet'!$B$166,DO90+DN91-DW90)))</f>
        <v>343.66583333333347</v>
      </c>
      <c r="DP91" s="17">
        <f>DO91*VLOOKUP('Données projet'!$B$14,Paramètres!$A$1:$I$89,3,0)*VLOOKUP('Données projet'!$B$14,Paramètres!$A$1:$I$89,5,0)</f>
        <v>160.83561000000006</v>
      </c>
      <c r="DQ91" s="13">
        <f t="shared" si="97"/>
        <v>41.030932398377978</v>
      </c>
      <c r="DR91" s="20">
        <f t="shared" si="70"/>
        <v>351.58422801050841</v>
      </c>
      <c r="DS91" s="59">
        <f t="shared" si="71"/>
        <v>644.91756134384173</v>
      </c>
      <c r="DT91" s="59">
        <f ca="1">AVERAGE(OFFSET($DS$3,0,0,'Données projet'!$E$14+1,1))-AVERAGE(OFFSET($H$3,0,0,'Données projet'!$E$14+1,1))</f>
        <v>293.15557501692803</v>
      </c>
      <c r="DU91" s="59">
        <f t="shared" si="98"/>
        <v>237.1930412773068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52.033510928949397</v>
      </c>
      <c r="EB91" s="21">
        <f>EXP(-LN(2)/25)*EB90+(1-EXP(-LN(2)/25))/(LN(2)/25)*Calculateur!DW91*Calculateur!DY91*VLOOKUP('Données projet'!$B$14,Paramètres!$A$1:$I$89,3,0)*0.475*44/12</f>
        <v>19.082999750560383</v>
      </c>
      <c r="EC91" s="21">
        <f>EXP(-LN(2)/2)*EC90+(1-EXP(-LN(2)/2))/(LN(2)/2)*DW91*DZ91*VLOOKUP('Données projet'!$B$14,Paramètres!$A$1:$I$89,3,0)*0.475*44/12</f>
        <v>7.0451252728078178</v>
      </c>
      <c r="ED91" s="22">
        <f t="shared" si="72"/>
        <v>78.16163595231761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-1.7053025658242404E-13</v>
      </c>
      <c r="EK91" s="17">
        <f>EJ91*VLOOKUP('Données projet'!$B$15,Paramètres!$A$1:$I$89,3,0)*VLOOKUP('Données projet'!$B$15,Paramètres!$A$1:$I$89,5,0)</f>
        <v>-1.0197709343628959E-13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225.86663363047296</v>
      </c>
      <c r="EP91" s="59">
        <f t="shared" si="100"/>
        <v>258.08349727304397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61.083685208136977</v>
      </c>
      <c r="EW91" s="21">
        <f>EXP(-LN(2)/25)*EW90+(1-EXP(-LN(2)/25))/(LN(2)/25)*Calculateur!ER91*Calculateur!ET91*VLOOKUP('Données projet'!$B$15,Paramètres!$A$1:$I$89,3,0)*0.475*44/12</f>
        <v>18.178696382448045</v>
      </c>
      <c r="EX91" s="21">
        <f>EXP(-LN(2)/2)*EX90+(1-EXP(-LN(2)/2))/(LN(2)/2)*ER91*EU91*VLOOKUP('Données projet'!$B$15,Paramètres!$A$1:$I$89,3,0)*0.475*44/12</f>
        <v>5.4588533005869872E-3</v>
      </c>
      <c r="EY91" s="22">
        <f t="shared" si="75"/>
        <v>79.267840443885603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388.12151914648013</v>
      </c>
      <c r="T92" s="59">
        <f t="shared" si="88"/>
        <v>481.43684454382793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92.606735147935098</v>
      </c>
      <c r="AA92" s="21">
        <f>EXP(-LN(2)/25)*AA91+(1-EXP(-LN(2)/25))/(LN(2)/25)*Calculateur!V92*Calculateur!X92*VLOOKUP('Données projet'!$B$9,Paramètres!$A$1:$I$89,3,0)*0.475*44/12</f>
        <v>24.700585824771981</v>
      </c>
      <c r="AB92" s="21">
        <f>EXP(-LN(2)/2)*AB91+(1-EXP(-LN(2)/2))/(LN(2)/2)*V92*Y92*VLOOKUP('Données projet'!$B$9,Paramètres!$A$1:$I$89,3,0)*0.475*44/12</f>
        <v>8.3408208099193201E-4</v>
      </c>
      <c r="AC92" s="22">
        <f t="shared" si="57"/>
        <v>117.30815505478806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-1.3596945791505279E-13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349.71285006949597</v>
      </c>
      <c r="AO92" s="59">
        <f t="shared" si="90"/>
        <v>258.51550516456842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128.24554169440034</v>
      </c>
      <c r="AV92" s="21">
        <f>EXP(-LN(2)/25)*AV91+(1-EXP(-LN(2)/25))/(LN(2)/25)*Calculateur!AQ92*Calculateur!AS92*VLOOKUP('Données projet'!$B$10,Paramètres!$A$1:$I$89,3,0)*0.475*44/12</f>
        <v>40.317382465598691</v>
      </c>
      <c r="AW92" s="21">
        <f>EXP(-LN(2)/2)*AW91+(1-EXP(-LN(2)/2))/(LN(2)/2)*AQ92*AT92*VLOOKUP('Données projet'!$B$10,Paramètres!$A$1:$I$89,3,0)*0.475*44/12</f>
        <v>3.1252636042175954</v>
      </c>
      <c r="AX92" s="21">
        <f t="shared" si="60"/>
        <v>171.68818776421662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1.9230769230769169</v>
      </c>
      <c r="BD92" s="12">
        <f>IF('Données projet'!$A$88&gt;35,BD91+BC92-BL91,IF(A92&lt;'Données projet'!$A$88,$BA$205^A92,IF(A92='Données projet'!$A$88,'Données projet'!$B$88,BD91+BC92-BL91)))</f>
        <v>147.43589743589746</v>
      </c>
      <c r="BE92" s="13">
        <f>BD92*VLOOKUP('Données projet'!$B$11,Paramètres!$A$1:$I$89,3,0)*VLOOKUP('Données projet'!$B$11,Paramètres!$A$1:$I$89,5,0)</f>
        <v>154.10000000000002</v>
      </c>
      <c r="BF92" s="13">
        <f t="shared" si="91"/>
        <v>39.508857983748619</v>
      </c>
      <c r="BG92" s="20">
        <f t="shared" si="61"/>
        <v>337.20209432169548</v>
      </c>
      <c r="BH92" s="59">
        <f t="shared" si="62"/>
        <v>630.5354276550288</v>
      </c>
      <c r="BI92" s="59">
        <f ca="1">AVERAGE(OFFSET($BH$3,0,0,'Données projet'!$E$11+1,1))-AVERAGE(OFFSET($H$3,0,0,'Données projet'!$E$11+1,1))</f>
        <v>260.74709892624571</v>
      </c>
      <c r="BJ92" s="59">
        <f t="shared" si="92"/>
        <v>237.17381692184887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2.3714709830655494</v>
      </c>
      <c r="BQ92" s="21">
        <f>EXP(-LN(2)/25)*BQ91+(1-EXP(-LN(2)/25))/(LN(2)/25)*Calculateur!BL92*Calculateur!BN92*VLOOKUP('Données projet'!$B$11,Paramètres!$A$1:$I$89,3,0)*0.475*44/12</f>
        <v>16.484438338503399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18.855909321568948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11.667500000000004</v>
      </c>
      <c r="BY92" s="12">
        <f>IF('Données projet'!$A$114&gt;35,BY91+BX92-CG91,IF(A92&lt;'Données projet'!$A$114,$BV$205^A92,IF(A92='Données projet'!$A$114,'Données projet'!$B$114,BY91+BX92-CG91)))</f>
        <v>459.70250000000004</v>
      </c>
      <c r="BZ92" s="13">
        <f>BY92*VLOOKUP('Données projet'!$B$12,Paramètres!$A$1:$I$89,3,0)*VLOOKUP('Données projet'!$B$12,Paramètres!$A$1:$I$89,5,0)</f>
        <v>415.93882200000002</v>
      </c>
      <c r="CA92" s="13">
        <f t="shared" si="93"/>
        <v>95.000631788713704</v>
      </c>
      <c r="CB92" s="20">
        <f t="shared" si="64"/>
        <v>889.88621534867627</v>
      </c>
      <c r="CC92" s="59">
        <f t="shared" si="65"/>
        <v>1183.2195486820096</v>
      </c>
      <c r="CD92" s="59">
        <f ca="1">AVERAGE(OFFSET($CC$3,0,0,'Données projet'!$E$12+1,1))-AVERAGE(OFFSET($H$3,0,0,'Données projet'!$E$12+1,1))</f>
        <v>695.0879239758051</v>
      </c>
      <c r="CE92" s="59">
        <f t="shared" si="94"/>
        <v>226.22150997227476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28.70326902167994</v>
      </c>
      <c r="CL92" s="21">
        <f>EXP(-LN(2)/25)*CL91+(1-EXP(-LN(2)/25))/(LN(2)/25)*Calculateur!CG92*Calculateur!CI92*VLOOKUP('Données projet'!$B$12,Paramètres!$A$1:$I$89,3,0)*0.475*44/12</f>
        <v>30.57673430413848</v>
      </c>
      <c r="CM92" s="21">
        <f>EXP(-LN(2)/2)*CM91+(1-EXP(-LN(2)/2))/(LN(2)/2)*CG92*CJ92*VLOOKUP('Données projet'!$B$12,Paramètres!$A$1:$I$89,3,0)*0.475*44/12</f>
        <v>0.47660951756296127</v>
      </c>
      <c r="CN92" s="22">
        <f t="shared" si="66"/>
        <v>59.756612843381383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11.667500000000004</v>
      </c>
      <c r="CT92" s="12">
        <f>IF('Données projet'!$A$140&gt;35,CT91+CS92-DB91,IF(A92&lt;'Données projet'!$A$140,$CQ$205^A92,IF(A92='Données projet'!$A$140,'Données projet'!$B$140,CT91+CS92-DB91)))</f>
        <v>459.70250000000004</v>
      </c>
      <c r="CU92" s="17">
        <f>CT92*VLOOKUP('Données projet'!$B$13,Paramètres!$A$1:$I$89,3,0)*VLOOKUP('Données projet'!$B$13,Paramètres!$A$1:$I$89,5,0)</f>
        <v>466.1383350000001</v>
      </c>
      <c r="CV92" s="13">
        <f t="shared" si="95"/>
        <v>105.06347481411881</v>
      </c>
      <c r="CW92" s="20">
        <f t="shared" si="67"/>
        <v>994.84315209292356</v>
      </c>
      <c r="CX92" s="59">
        <f t="shared" si="68"/>
        <v>1288.1764854262569</v>
      </c>
      <c r="CY92" s="59">
        <f ca="1">AVERAGE(OFFSET($CX$3,0,0,'Données projet'!$E$13+1,1))-AVERAGE(OFFSET($H$3,0,0,'Données projet'!$E$13+1,1))</f>
        <v>773.15074145293738</v>
      </c>
      <c r="CZ92" s="59">
        <f t="shared" si="96"/>
        <v>248.49577986312505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32.167456662227501</v>
      </c>
      <c r="DG92" s="21">
        <f>EXP(-LN(2)/25)*DG91+(1-EXP(-LN(2)/25))/(LN(2)/25)*Calculateur!DB92*Calculateur!DD92*VLOOKUP('Données projet'!$B$13,Paramètres!$A$1:$I$89,3,0)*0.475*44/12</f>
        <v>34.267029823603458</v>
      </c>
      <c r="DH92" s="21">
        <f>EXP(-LN(2)/2)*DH91+(1-EXP(-LN(2)/2))/(LN(2)/2)*DB92*DE92*VLOOKUP('Données projet'!$B$13,Paramètres!$A$1:$I$89,3,0)*0.475*44/12</f>
        <v>0.53413135588952565</v>
      </c>
      <c r="DI92" s="22">
        <f t="shared" si="69"/>
        <v>66.968617841720487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9.4258333333333351</v>
      </c>
      <c r="DO92" s="12">
        <f>IF('Données projet'!$A$166&gt;35,DO91+DN92-DW91,IF(A92&lt;'Données projet'!$A$166,$DL$205^A92,IF(A92='Données projet'!$A$166,'Données projet'!$B$166,DO91+DN92-DW91)))</f>
        <v>353.09166666666681</v>
      </c>
      <c r="DP92" s="17">
        <f>DO92*VLOOKUP('Données projet'!$B$14,Paramètres!$A$1:$I$89,3,0)*VLOOKUP('Données projet'!$B$14,Paramètres!$A$1:$I$89,5,0)</f>
        <v>165.24690000000007</v>
      </c>
      <c r="DQ92" s="13">
        <f t="shared" si="97"/>
        <v>42.023736751793869</v>
      </c>
      <c r="DR92" s="20">
        <f t="shared" si="70"/>
        <v>360.99635900937443</v>
      </c>
      <c r="DS92" s="59">
        <f t="shared" si="71"/>
        <v>654.32969234270774</v>
      </c>
      <c r="DT92" s="59">
        <f ca="1">AVERAGE(OFFSET($DS$3,0,0,'Données projet'!$E$14+1,1))-AVERAGE(OFFSET($H$3,0,0,'Données projet'!$E$14+1,1))</f>
        <v>293.15557501692803</v>
      </c>
      <c r="DU92" s="59">
        <f t="shared" si="98"/>
        <v>237.1930412773068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51.013165516940568</v>
      </c>
      <c r="EB92" s="21">
        <f>EXP(-LN(2)/25)*EB91+(1-EXP(-LN(2)/25))/(LN(2)/25)*Calculateur!DW92*Calculateur!DY92*VLOOKUP('Données projet'!$B$14,Paramètres!$A$1:$I$89,3,0)*0.475*44/12</f>
        <v>18.561174118849966</v>
      </c>
      <c r="EC92" s="21">
        <f>EXP(-LN(2)/2)*EC91+(1-EXP(-LN(2)/2))/(LN(2)/2)*DW92*DZ92*VLOOKUP('Données projet'!$B$14,Paramètres!$A$1:$I$89,3,0)*0.475*44/12</f>
        <v>4.9816558547111338</v>
      </c>
      <c r="ED92" s="22">
        <f t="shared" si="72"/>
        <v>74.555995490501672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-1.7053025658242404E-13</v>
      </c>
      <c r="EK92" s="17">
        <f>EJ92*VLOOKUP('Données projet'!$B$15,Paramètres!$A$1:$I$89,3,0)*VLOOKUP('Données projet'!$B$15,Paramètres!$A$1:$I$89,5,0)</f>
        <v>-1.0197709343628959E-13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225.86663363047296</v>
      </c>
      <c r="EP92" s="59">
        <f t="shared" si="100"/>
        <v>258.08349727304397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59.88587139857453</v>
      </c>
      <c r="EW92" s="21">
        <f>EXP(-LN(2)/25)*EW91+(1-EXP(-LN(2)/25))/(LN(2)/25)*Calculateur!ER92*Calculateur!ET92*VLOOKUP('Données projet'!$B$15,Paramètres!$A$1:$I$89,3,0)*0.475*44/12</f>
        <v>17.681598973893909</v>
      </c>
      <c r="EX92" s="21">
        <f>EXP(-LN(2)/2)*EX91+(1-EXP(-LN(2)/2))/(LN(2)/2)*ER92*EU92*VLOOKUP('Données projet'!$B$15,Paramètres!$A$1:$I$89,3,0)*0.475*44/12</f>
        <v>3.8599921863476257E-3</v>
      </c>
      <c r="EY92" s="22">
        <f t="shared" si="75"/>
        <v>77.571330364654784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388.12151914648013</v>
      </c>
      <c r="T93" s="59">
        <f t="shared" si="88"/>
        <v>481.43684454382793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90.790773556215143</v>
      </c>
      <c r="AA93" s="21">
        <f>EXP(-LN(2)/25)*AA92+(1-EXP(-LN(2)/25))/(LN(2)/25)*Calculateur!V93*Calculateur!X93*VLOOKUP('Données projet'!$B$9,Paramètres!$A$1:$I$89,3,0)*0.475*44/12</f>
        <v>24.025147006446236</v>
      </c>
      <c r="AB93" s="21">
        <f>EXP(-LN(2)/2)*AB92+(1-EXP(-LN(2)/2))/(LN(2)/2)*V93*Y93*VLOOKUP('Données projet'!$B$9,Paramètres!$A$1:$I$89,3,0)*0.475*44/12</f>
        <v>5.8978509553558227E-4</v>
      </c>
      <c r="AC93" s="22">
        <f t="shared" si="57"/>
        <v>114.81651034775692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-1.3596945791505279E-13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349.71285006949597</v>
      </c>
      <c r="AO93" s="59">
        <f t="shared" si="90"/>
        <v>258.51550516456842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125.7307248438298</v>
      </c>
      <c r="AV93" s="21">
        <f>EXP(-LN(2)/25)*AV92+(1-EXP(-LN(2)/25))/(LN(2)/25)*Calculateur!AQ93*Calculateur!AS93*VLOOKUP('Données projet'!$B$10,Paramètres!$A$1:$I$89,3,0)*0.475*44/12</f>
        <v>39.214901521877898</v>
      </c>
      <c r="AW93" s="21">
        <f>EXP(-LN(2)/2)*AW92+(1-EXP(-LN(2)/2))/(LN(2)/2)*AQ93*AT93*VLOOKUP('Données projet'!$B$10,Paramètres!$A$1:$I$89,3,0)*0.475*44/12</f>
        <v>2.2098950875377721</v>
      </c>
      <c r="AX93" s="21">
        <f t="shared" si="60"/>
        <v>167.15552145324548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149.35897435897434</v>
      </c>
      <c r="BB93" s="12">
        <f>VLOOKUP(A93,'Données projet'!$A$87:$I$107,9,0)</f>
        <v>1.9230769230769169</v>
      </c>
      <c r="BC93" s="12">
        <f t="array" ref="BC93">INDEX(BB:BB,MIN(IF(ISNUMBER(BB93:BB289),ROW(BB93:BB289),"")))</f>
        <v>1.9230769230769169</v>
      </c>
      <c r="BD93" s="12">
        <f>IF('Données projet'!$A$88&gt;35,BD92+BC93-BL92,IF(A93&lt;'Données projet'!$A$88,$BA$205^A93,IF(A93='Données projet'!$A$88,'Données projet'!$B$88,BD92+BC93-BL92)))</f>
        <v>149.35897435897436</v>
      </c>
      <c r="BE93" s="13">
        <f>BD93*VLOOKUP('Données projet'!$B$11,Paramètres!$A$1:$I$89,3,0)*VLOOKUP('Données projet'!$B$11,Paramètres!$A$1:$I$89,5,0)</f>
        <v>156.11000000000001</v>
      </c>
      <c r="BF93" s="13">
        <f t="shared" si="91"/>
        <v>39.963862158593372</v>
      </c>
      <c r="BG93" s="20">
        <f t="shared" si="61"/>
        <v>341.49530992621681</v>
      </c>
      <c r="BH93" s="59">
        <f t="shared" si="62"/>
        <v>634.82864325955006</v>
      </c>
      <c r="BI93" s="59">
        <f ca="1">AVERAGE(OFFSET($BH$3,0,0,'Données projet'!$E$11+1,1))-AVERAGE(OFFSET($H$3,0,0,'Données projet'!$E$11+1,1))</f>
        <v>260.74709892624571</v>
      </c>
      <c r="BJ93" s="59">
        <f t="shared" si="92"/>
        <v>237.17381692184887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7.0512820512820511</v>
      </c>
      <c r="BM93" s="16">
        <f>IF(ISNA(VLOOKUP(A93,'Données projet'!$A$87:$I$107,5,0)),0%,VLOOKUP(A93,'Données projet'!$A$87:$I$107,5,0)*VLOOKUP('Données projet'!$B$11,Paramètres!$A$1:$I$89,7,0))</f>
        <v>4.3000000000000003E-2</v>
      </c>
      <c r="BN93" s="16">
        <f>IF(ISNA(VLOOKUP(A93,'Données projet'!$A$87:$I$107,6,0)),0%,VLOOKUP(A93,'Données projet'!$A$87:$I$107,6,0)*VLOOKUP('Données projet'!$B$11,Paramètres!$A$1:$I$89,7,0))</f>
        <v>0.215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2.6753025015198952</v>
      </c>
      <c r="BQ93" s="21">
        <f>EXP(-LN(2)/25)*BQ92+(1-EXP(-LN(2)/25))/(LN(2)/25)*Calculateur!BL93*Calculateur!BN93*VLOOKUP('Données projet'!$B$11,Paramètres!$A$1:$I$89,3,0)*0.475*44/12</f>
        <v>17.778446590752356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20.45374909227225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471.37</v>
      </c>
      <c r="BW93" s="12">
        <f>VLOOKUP(A93,'Données projet'!$A$113:$I$133,9,0)</f>
        <v>11.667500000000004</v>
      </c>
      <c r="BX93" s="12">
        <f t="array" ref="BX93">INDEX(BW:BW,MIN(IF(ISNUMBER(BW93:BW289),ROW(BW93:BW289),"")))</f>
        <v>11.667500000000004</v>
      </c>
      <c r="BY93" s="12">
        <f>IF('Données projet'!$A$114&gt;35,BY92+BX93-CG92,IF(A93&lt;'Données projet'!$A$114,$BV$205^A93,IF(A93='Données projet'!$A$114,'Données projet'!$B$114,BY92+BX93-CG92)))</f>
        <v>471.37000000000006</v>
      </c>
      <c r="BZ93" s="13">
        <f>BY93*VLOOKUP('Données projet'!$B$12,Paramètres!$A$1:$I$89,3,0)*VLOOKUP('Données projet'!$B$12,Paramètres!$A$1:$I$89,5,0)</f>
        <v>426.49557600000003</v>
      </c>
      <c r="CA93" s="13">
        <f t="shared" si="93"/>
        <v>97.128021924116638</v>
      </c>
      <c r="CB93" s="20">
        <f t="shared" si="64"/>
        <v>911.9777663845033</v>
      </c>
      <c r="CC93" s="59">
        <f t="shared" si="65"/>
        <v>1205.3110997178367</v>
      </c>
      <c r="CD93" s="59">
        <f ca="1">AVERAGE(OFFSET($CC$3,0,0,'Données projet'!$E$12+1,1))-AVERAGE(OFFSET($H$3,0,0,'Données projet'!$E$12+1,1))</f>
        <v>695.0879239758051</v>
      </c>
      <c r="CE93" s="59">
        <f t="shared" si="94"/>
        <v>226.22150997227476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68.54000000000002</v>
      </c>
      <c r="CH93" s="16">
        <f>IF(ISNA(VLOOKUP(A93,'Données projet'!$A$113:$I$133,5,0)),0%,VLOOKUP(A93,'Données projet'!$A$113:$I$133,5,0)*VLOOKUP('Données projet'!$B$12,Paramètres!$A$1:$I$89,7,0))</f>
        <v>0.15049999999999999</v>
      </c>
      <c r="CI93" s="16">
        <f>IF(ISNA(VLOOKUP(A93,'Données projet'!$A$113:$I$133,6,0)),0%,VLOOKUP(A93,'Données projet'!$A$113:$I$133,6,0)*VLOOKUP('Données projet'!$B$12,Paramètres!$A$1:$I$89,7,0))</f>
        <v>8.6000000000000007E-2</v>
      </c>
      <c r="CJ93" s="16">
        <f>IF(ISNA(VLOOKUP(A93,'Données projet'!$A$113:$I$133,7,0)),0%,VLOOKUP(A93,'Données projet'!$A$113:$I$133,7,0))</f>
        <v>0.1</v>
      </c>
      <c r="CK93" s="21">
        <f>EXP(-LN(2)/35)*CK92+(1-EXP(-LN(2)/35))/(LN(2)/35)*CG93*CH93*VLOOKUP('Données projet'!$B$12,Paramètres!$A$1:$I$89,3,0)*0.475*44/12</f>
        <v>38.458053803247623</v>
      </c>
      <c r="CL93" s="21">
        <f>EXP(-LN(2)/25)*CL92+(1-EXP(-LN(2)/25))/(LN(2)/25)*Calculateur!CG93*Calculateur!CI93*VLOOKUP('Données projet'!$B$12,Paramètres!$A$1:$I$89,3,0)*0.475*44/12</f>
        <v>35.61319127159561</v>
      </c>
      <c r="CM93" s="21">
        <f>EXP(-LN(2)/2)*CM92+(1-EXP(-LN(2)/2))/(LN(2)/2)*CG93*CJ93*VLOOKUP('Données projet'!$B$12,Paramètres!$A$1:$I$89,3,0)*0.475*44/12</f>
        <v>6.1882952279506034</v>
      </c>
      <c r="CN93" s="22">
        <f t="shared" si="66"/>
        <v>80.259540302793837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471.37</v>
      </c>
      <c r="CR93" s="12">
        <f>VLOOKUP(A93,'Données projet'!$A$139:$I$159,9,0)</f>
        <v>11.667500000000004</v>
      </c>
      <c r="CS93" s="12">
        <f t="array" ref="CS93">INDEX(CR:CR,MIN(IF(ISNUMBER(CR93:CR289),ROW(CR93:CR289),"")))</f>
        <v>11.667500000000004</v>
      </c>
      <c r="CT93" s="12">
        <f>IF('Données projet'!$A$140&gt;35,CT92+CS93-DB92,IF(A93&lt;'Données projet'!$A$140,$CQ$205^A93,IF(A93='Données projet'!$A$140,'Données projet'!$B$140,CT92+CS93-DB92)))</f>
        <v>471.37000000000006</v>
      </c>
      <c r="CU93" s="17">
        <f>CT93*VLOOKUP('Données projet'!$B$13,Paramètres!$A$1:$I$89,3,0)*VLOOKUP('Données projet'!$B$13,Paramètres!$A$1:$I$89,5,0)</f>
        <v>477.96918000000005</v>
      </c>
      <c r="CV93" s="13">
        <f t="shared" si="95"/>
        <v>107.41620653497527</v>
      </c>
      <c r="CW93" s="20">
        <f t="shared" si="67"/>
        <v>1019.5462148817486</v>
      </c>
      <c r="CX93" s="59">
        <f t="shared" si="68"/>
        <v>1312.879548215082</v>
      </c>
      <c r="CY93" s="59">
        <f ca="1">AVERAGE(OFFSET($CX$3,0,0,'Données projet'!$E$13+1,1))-AVERAGE(OFFSET($H$3,0,0,'Données projet'!$E$13+1,1))</f>
        <v>773.15074145293738</v>
      </c>
      <c r="CZ93" s="59">
        <f t="shared" si="96"/>
        <v>248.49577986312505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68.54000000000002</v>
      </c>
      <c r="DC93" s="16">
        <f>IF(ISNA(VLOOKUP(A93,'Données projet'!$A$139:$I$159,5,0)),0%,VLOOKUP(A93,'Données projet'!$A$139:$I$159,5,0)*VLOOKUP('Données projet'!$B$13,Paramètres!$A$1:$I$89,7,0))</f>
        <v>0.15049999999999999</v>
      </c>
      <c r="DD93" s="16">
        <f>IF(ISNA(VLOOKUP(A93,'Données projet'!$A$139:$I$159,6,0)),0%,VLOOKUP(A93,'Données projet'!$A$139:$I$159,6,0)*VLOOKUP('Données projet'!$B$13,Paramètres!$A$1:$I$89,7,0))</f>
        <v>8.6000000000000007E-2</v>
      </c>
      <c r="DE93" s="16">
        <f>IF(ISNA(VLOOKUP(A93,'Données projet'!$A$139:$I$159,7,0)),0%,VLOOKUP(A93,'Données projet'!$A$139:$I$159,7,0))</f>
        <v>0.1</v>
      </c>
      <c r="DF93" s="21">
        <f>EXP(-LN(2)/35)*DF92+(1-EXP(-LN(2)/35))/(LN(2)/35)*DB93*DC93*VLOOKUP('Données projet'!$B$13,Paramètres!$A$1:$I$89,3,0)*0.475*44/12</f>
        <v>43.099543055363696</v>
      </c>
      <c r="DG93" s="21">
        <f>EXP(-LN(2)/25)*DG92+(1-EXP(-LN(2)/25))/(LN(2)/25)*Calculateur!DB93*Calculateur!DD93*VLOOKUP('Données projet'!$B$13,Paramètres!$A$1:$I$89,3,0)*0.475*44/12</f>
        <v>39.911335045753695</v>
      </c>
      <c r="DH93" s="21">
        <f>EXP(-LN(2)/2)*DH92+(1-EXP(-LN(2)/2))/(LN(2)/2)*DB93*DE93*VLOOKUP('Données projet'!$B$13,Paramètres!$A$1:$I$89,3,0)*0.475*44/12</f>
        <v>6.9351584451170574</v>
      </c>
      <c r="DI93" s="22">
        <f t="shared" si="69"/>
        <v>89.946036546234438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9.4258333333333351</v>
      </c>
      <c r="DO93" s="12">
        <f>IF('Données projet'!$A$166&gt;35,DO92+DN93-DW92,IF(A93&lt;'Données projet'!$A$166,$DL$205^A93,IF(A93='Données projet'!$A$166,'Données projet'!$B$166,DO92+DN93-DW92)))</f>
        <v>362.51750000000015</v>
      </c>
      <c r="DP93" s="17">
        <f>DO93*VLOOKUP('Données projet'!$B$14,Paramètres!$A$1:$I$89,3,0)*VLOOKUP('Données projet'!$B$14,Paramètres!$A$1:$I$89,5,0)</f>
        <v>169.65819000000005</v>
      </c>
      <c r="DQ93" s="13">
        <f t="shared" si="97"/>
        <v>43.013460550801888</v>
      </c>
      <c r="DR93" s="20">
        <f t="shared" si="70"/>
        <v>370.40312470931332</v>
      </c>
      <c r="DS93" s="59">
        <f t="shared" si="71"/>
        <v>663.73645804264663</v>
      </c>
      <c r="DT93" s="59">
        <f ca="1">AVERAGE(OFFSET($DS$3,0,0,'Données projet'!$E$14+1,1))-AVERAGE(OFFSET($H$3,0,0,'Données projet'!$E$14+1,1))</f>
        <v>293.15557501692803</v>
      </c>
      <c r="DU93" s="59">
        <f t="shared" si="98"/>
        <v>237.1930412773068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50.012828456111983</v>
      </c>
      <c r="EB93" s="21">
        <f>EXP(-LN(2)/25)*EB92+(1-EXP(-LN(2)/25))/(LN(2)/25)*Calculateur!DW93*Calculateur!DY93*VLOOKUP('Données projet'!$B$14,Paramètres!$A$1:$I$89,3,0)*0.475*44/12</f>
        <v>18.053617836480289</v>
      </c>
      <c r="EC93" s="21">
        <f>EXP(-LN(2)/2)*EC92+(1-EXP(-LN(2)/2))/(LN(2)/2)*DW93*DZ93*VLOOKUP('Données projet'!$B$14,Paramètres!$A$1:$I$89,3,0)*0.475*44/12</f>
        <v>3.5225626364039093</v>
      </c>
      <c r="ED93" s="22">
        <f t="shared" si="72"/>
        <v>71.589008928996179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-1.7053025658242404E-13</v>
      </c>
      <c r="EK93" s="17">
        <f>EJ93*VLOOKUP('Données projet'!$B$15,Paramètres!$A$1:$I$89,3,0)*VLOOKUP('Données projet'!$B$15,Paramètres!$A$1:$I$89,5,0)</f>
        <v>-1.0197709343628959E-13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225.86663363047296</v>
      </c>
      <c r="EP93" s="59">
        <f t="shared" si="100"/>
        <v>258.08349727304397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58.711545987223317</v>
      </c>
      <c r="EW93" s="21">
        <f>EXP(-LN(2)/25)*EW92+(1-EXP(-LN(2)/25))/(LN(2)/25)*Calculateur!ER93*Calculateur!ET93*VLOOKUP('Données projet'!$B$15,Paramètres!$A$1:$I$89,3,0)*0.475*44/12</f>
        <v>17.198094720117901</v>
      </c>
      <c r="EX93" s="21">
        <f>EXP(-LN(2)/2)*EX92+(1-EXP(-LN(2)/2))/(LN(2)/2)*ER93*EU93*VLOOKUP('Données projet'!$B$15,Paramètres!$A$1:$I$89,3,0)*0.475*44/12</f>
        <v>2.729426650293494E-3</v>
      </c>
      <c r="EY93" s="22">
        <f t="shared" si="75"/>
        <v>75.912370133991516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388.12151914648013</v>
      </c>
      <c r="T94" s="59">
        <f t="shared" si="88"/>
        <v>481.43684454382793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89.010421863681614</v>
      </c>
      <c r="AA94" s="21">
        <f>EXP(-LN(2)/25)*AA93+(1-EXP(-LN(2)/25))/(LN(2)/25)*Calculateur!V94*Calculateur!X94*VLOOKUP('Données projet'!$B$9,Paramètres!$A$1:$I$89,3,0)*0.475*44/12</f>
        <v>23.368178098127395</v>
      </c>
      <c r="AB94" s="21">
        <f>EXP(-LN(2)/2)*AB93+(1-EXP(-LN(2)/2))/(LN(2)/2)*V94*Y94*VLOOKUP('Données projet'!$B$9,Paramètres!$A$1:$I$89,3,0)*0.475*44/12</f>
        <v>4.17041040495966E-4</v>
      </c>
      <c r="AC94" s="22">
        <f t="shared" si="57"/>
        <v>112.37901700284951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-1.3596945791505279E-13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349.71285006949597</v>
      </c>
      <c r="AO94" s="59">
        <f t="shared" si="90"/>
        <v>258.51550516456842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123.26522201781214</v>
      </c>
      <c r="AV94" s="21">
        <f>EXP(-LN(2)/25)*AV93+(1-EXP(-LN(2)/25))/(LN(2)/25)*Calculateur!AQ94*Calculateur!AS94*VLOOKUP('Données projet'!$B$10,Paramètres!$A$1:$I$89,3,0)*0.475*44/12</f>
        <v>38.142567977540104</v>
      </c>
      <c r="AW94" s="21">
        <f>EXP(-LN(2)/2)*AW93+(1-EXP(-LN(2)/2))/(LN(2)/2)*AQ94*AT94*VLOOKUP('Données projet'!$B$10,Paramètres!$A$1:$I$89,3,0)*0.475*44/12</f>
        <v>1.5626318021087977</v>
      </c>
      <c r="AX94" s="21">
        <f t="shared" si="60"/>
        <v>162.97042179746103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1.7948717948717956</v>
      </c>
      <c r="BD94" s="12">
        <f>IF('Données projet'!$A$88&gt;35,BD93+BC94-BL93,IF(A94&lt;'Données projet'!$A$88,$BA$205^A94,IF(A94='Données projet'!$A$88,'Données projet'!$B$88,BD93+BC94-BL93)))</f>
        <v>144.10256410256412</v>
      </c>
      <c r="BE94" s="13">
        <f>BD94*VLOOKUP('Données projet'!$B$11,Paramètres!$A$1:$I$89,3,0)*VLOOKUP('Données projet'!$B$11,Paramètres!$A$1:$I$89,5,0)</f>
        <v>150.61600000000004</v>
      </c>
      <c r="BF94" s="13">
        <f t="shared" si="91"/>
        <v>38.718540424004757</v>
      </c>
      <c r="BG94" s="20">
        <f t="shared" si="61"/>
        <v>329.75765790514163</v>
      </c>
      <c r="BH94" s="59">
        <f t="shared" si="62"/>
        <v>623.090991238475</v>
      </c>
      <c r="BI94" s="59">
        <f ca="1">AVERAGE(OFFSET($BH$3,0,0,'Données projet'!$E$11+1,1))-AVERAGE(OFFSET($H$3,0,0,'Données projet'!$E$11+1,1))</f>
        <v>260.74709892624571</v>
      </c>
      <c r="BJ94" s="59">
        <f t="shared" si="92"/>
        <v>237.17381692184887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2.6228414512384917</v>
      </c>
      <c r="BQ94" s="21">
        <f>EXP(-LN(2)/25)*BQ93+(1-EXP(-LN(2)/25))/(LN(2)/25)*Calculateur!BL94*Calculateur!BN94*VLOOKUP('Données projet'!$B$11,Paramètres!$A$1:$I$89,3,0)*0.475*44/12</f>
        <v>17.29229403380036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19.915135485038853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11.283999999999997</v>
      </c>
      <c r="BY94" s="12">
        <f>IF('Données projet'!$A$114&gt;35,BY93+BX94-CG93,IF(A94&lt;'Données projet'!$A$114,$BV$205^A94,IF(A94='Données projet'!$A$114,'Données projet'!$B$114,BY93+BX94-CG93)))</f>
        <v>414.11400000000003</v>
      </c>
      <c r="BZ94" s="13">
        <f>BY94*VLOOKUP('Données projet'!$B$12,Paramètres!$A$1:$I$89,3,0)*VLOOKUP('Données projet'!$B$12,Paramètres!$A$1:$I$89,5,0)</f>
        <v>374.69034720000002</v>
      </c>
      <c r="CA94" s="13">
        <f t="shared" si="93"/>
        <v>86.626165379177522</v>
      </c>
      <c r="CB94" s="20">
        <f t="shared" si="64"/>
        <v>803.45959274206746</v>
      </c>
      <c r="CC94" s="59">
        <f t="shared" si="65"/>
        <v>1096.7929260754008</v>
      </c>
      <c r="CD94" s="59">
        <f ca="1">AVERAGE(OFFSET($CC$3,0,0,'Données projet'!$E$12+1,1))-AVERAGE(OFFSET($H$3,0,0,'Données projet'!$E$12+1,1))</f>
        <v>695.0879239758051</v>
      </c>
      <c r="CE94" s="59">
        <f t="shared" si="94"/>
        <v>226.22150997227476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37.703914825262558</v>
      </c>
      <c r="CL94" s="21">
        <f>EXP(-LN(2)/25)*CL93+(1-EXP(-LN(2)/25))/(LN(2)/25)*Calculateur!CG94*Calculateur!CI94*VLOOKUP('Données projet'!$B$12,Paramètres!$A$1:$I$89,3,0)*0.475*44/12</f>
        <v>34.639346683457497</v>
      </c>
      <c r="CM94" s="21">
        <f>EXP(-LN(2)/2)*CM93+(1-EXP(-LN(2)/2))/(LN(2)/2)*CG94*CJ94*VLOOKUP('Données projet'!$B$12,Paramètres!$A$1:$I$89,3,0)*0.475*44/12</f>
        <v>4.3757855196682236</v>
      </c>
      <c r="CN94" s="22">
        <f t="shared" si="66"/>
        <v>76.719047028388275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11.283999999999997</v>
      </c>
      <c r="CT94" s="12">
        <f>IF('Données projet'!$A$140&gt;35,CT93+CS94-DB93,IF(A94&lt;'Données projet'!$A$140,$CQ$205^A94,IF(A94='Données projet'!$A$140,'Données projet'!$B$140,CT93+CS94-DB93)))</f>
        <v>414.11400000000003</v>
      </c>
      <c r="CU94" s="17">
        <f>CT94*VLOOKUP('Données projet'!$B$13,Paramètres!$A$1:$I$89,3,0)*VLOOKUP('Données projet'!$B$13,Paramètres!$A$1:$I$89,5,0)</f>
        <v>419.91159600000003</v>
      </c>
      <c r="CV94" s="13">
        <f t="shared" si="95"/>
        <v>95.80195176807392</v>
      </c>
      <c r="CW94" s="20">
        <f t="shared" si="67"/>
        <v>898.201095696062</v>
      </c>
      <c r="CX94" s="59">
        <f t="shared" si="68"/>
        <v>1191.5344290293954</v>
      </c>
      <c r="CY94" s="59">
        <f ca="1">AVERAGE(OFFSET($CX$3,0,0,'Données projet'!$E$13+1,1))-AVERAGE(OFFSET($H$3,0,0,'Données projet'!$E$13+1,1))</f>
        <v>773.15074145293738</v>
      </c>
      <c r="CZ94" s="59">
        <f t="shared" si="96"/>
        <v>248.49577986312505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42.254387304173541</v>
      </c>
      <c r="DG94" s="21">
        <f>EXP(-LN(2)/25)*DG93+(1-EXP(-LN(2)/25))/(LN(2)/25)*Calculateur!DB94*Calculateur!DD94*VLOOKUP('Données projet'!$B$13,Paramètres!$A$1:$I$89,3,0)*0.475*44/12</f>
        <v>38.81995749008167</v>
      </c>
      <c r="DH94" s="21">
        <f>EXP(-LN(2)/2)*DH93+(1-EXP(-LN(2)/2))/(LN(2)/2)*DB94*DE94*VLOOKUP('Données projet'!$B$13,Paramètres!$A$1:$I$89,3,0)*0.475*44/12</f>
        <v>4.9038975651454244</v>
      </c>
      <c r="DI94" s="22">
        <f t="shared" si="69"/>
        <v>85.978242359400639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9.4258333333333351</v>
      </c>
      <c r="DO94" s="12">
        <f>IF('Données projet'!$A$166&gt;35,DO93+DN94-DW93,IF(A94&lt;'Données projet'!$A$166,$DL$205^A94,IF(A94='Données projet'!$A$166,'Données projet'!$B$166,DO93+DN94-DW93)))</f>
        <v>371.9433333333335</v>
      </c>
      <c r="DP94" s="17">
        <f>DO94*VLOOKUP('Données projet'!$B$14,Paramètres!$A$1:$I$89,3,0)*VLOOKUP('Données projet'!$B$14,Paramètres!$A$1:$I$89,5,0)</f>
        <v>174.06948000000008</v>
      </c>
      <c r="DQ94" s="13">
        <f t="shared" si="97"/>
        <v>44.000193101581445</v>
      </c>
      <c r="DR94" s="20">
        <f t="shared" si="70"/>
        <v>379.80468065192116</v>
      </c>
      <c r="DS94" s="59">
        <f t="shared" si="71"/>
        <v>673.13801398525447</v>
      </c>
      <c r="DT94" s="59">
        <f ca="1">AVERAGE(OFFSET($DS$3,0,0,'Données projet'!$E$14+1,1))-AVERAGE(OFFSET($H$3,0,0,'Données projet'!$E$14+1,1))</f>
        <v>293.15557501692803</v>
      </c>
      <c r="DU94" s="59">
        <f t="shared" si="98"/>
        <v>237.1930412773068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49.032107394900883</v>
      </c>
      <c r="EB94" s="21">
        <f>EXP(-LN(2)/25)*EB93+(1-EXP(-LN(2)/25))/(LN(2)/25)*Calculateur!DW94*Calculateur!DY94*VLOOKUP('Données projet'!$B$14,Paramètres!$A$1:$I$89,3,0)*0.475*44/12</f>
        <v>17.559940707343234</v>
      </c>
      <c r="EC94" s="21">
        <f>EXP(-LN(2)/2)*EC93+(1-EXP(-LN(2)/2))/(LN(2)/2)*DW94*DZ94*VLOOKUP('Données projet'!$B$14,Paramètres!$A$1:$I$89,3,0)*0.475*44/12</f>
        <v>2.4908279273555674</v>
      </c>
      <c r="ED94" s="22">
        <f t="shared" si="72"/>
        <v>69.082876029599689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-1.7053025658242404E-13</v>
      </c>
      <c r="EK94" s="17">
        <f>EJ94*VLOOKUP('Données projet'!$B$15,Paramètres!$A$1:$I$89,3,0)*VLOOKUP('Données projet'!$B$15,Paramètres!$A$1:$I$89,5,0)</f>
        <v>-1.0197709343628959E-13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225.86663363047296</v>
      </c>
      <c r="EP94" s="59">
        <f t="shared" si="100"/>
        <v>258.08349727304397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57.560248380920925</v>
      </c>
      <c r="EW94" s="21">
        <f>EXP(-LN(2)/25)*EW93+(1-EXP(-LN(2)/25))/(LN(2)/25)*Calculateur!ER94*Calculateur!ET94*VLOOKUP('Données projet'!$B$15,Paramètres!$A$1:$I$89,3,0)*0.475*44/12</f>
        <v>16.727811915587782</v>
      </c>
      <c r="EX94" s="21">
        <f>EXP(-LN(2)/2)*EX93+(1-EXP(-LN(2)/2))/(LN(2)/2)*ER94*EU94*VLOOKUP('Données projet'!$B$15,Paramètres!$A$1:$I$89,3,0)*0.475*44/12</f>
        <v>1.9299960931738133E-3</v>
      </c>
      <c r="EY94" s="22">
        <f t="shared" si="75"/>
        <v>74.289990292601871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388.12151914648013</v>
      </c>
      <c r="T95" s="59">
        <f t="shared" si="88"/>
        <v>481.43684454382793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87.264981781931368</v>
      </c>
      <c r="AA95" s="21">
        <f>EXP(-LN(2)/25)*AA94+(1-EXP(-LN(2)/25))/(LN(2)/25)*Calculateur!V95*Calculateur!X95*VLOOKUP('Données projet'!$B$9,Paramètres!$A$1:$I$89,3,0)*0.475*44/12</f>
        <v>22.729174039155023</v>
      </c>
      <c r="AB95" s="21">
        <f>EXP(-LN(2)/2)*AB94+(1-EXP(-LN(2)/2))/(LN(2)/2)*V95*Y95*VLOOKUP('Données projet'!$B$9,Paramètres!$A$1:$I$89,3,0)*0.475*44/12</f>
        <v>2.9489254776779114E-4</v>
      </c>
      <c r="AC95" s="22">
        <f t="shared" si="57"/>
        <v>109.99445071363417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-1.3596945791505279E-13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349.71285006949597</v>
      </c>
      <c r="AO95" s="59">
        <f t="shared" si="90"/>
        <v>258.51550516456842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120.84806619840442</v>
      </c>
      <c r="AV95" s="21">
        <f>EXP(-LN(2)/25)*AV94+(1-EXP(-LN(2)/25))/(LN(2)/25)*Calculateur!AQ95*Calculateur!AS95*VLOOKUP('Données projet'!$B$10,Paramètres!$A$1:$I$89,3,0)*0.475*44/12</f>
        <v>37.099557450363797</v>
      </c>
      <c r="AW95" s="21">
        <f>EXP(-LN(2)/2)*AW94+(1-EXP(-LN(2)/2))/(LN(2)/2)*AQ95*AT95*VLOOKUP('Données projet'!$B$10,Paramètres!$A$1:$I$89,3,0)*0.475*44/12</f>
        <v>1.104947543768886</v>
      </c>
      <c r="AX95" s="21">
        <f t="shared" si="60"/>
        <v>159.0525711925371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1.7948717948717956</v>
      </c>
      <c r="BD95" s="12">
        <f>IF('Données projet'!$A$88&gt;35,BD94+BC95-BL94,IF(A95&lt;'Données projet'!$A$88,$BA$205^A95,IF(A95='Données projet'!$A$88,'Données projet'!$B$88,BD94+BC95-BL94)))</f>
        <v>145.89743589743591</v>
      </c>
      <c r="BE95" s="13">
        <f>BD95*VLOOKUP('Données projet'!$B$11,Paramètres!$A$1:$I$89,3,0)*VLOOKUP('Données projet'!$B$11,Paramètres!$A$1:$I$89,5,0)</f>
        <v>152.49200000000002</v>
      </c>
      <c r="BF95" s="13">
        <f t="shared" si="91"/>
        <v>39.144357350259597</v>
      </c>
      <c r="BG95" s="20">
        <f t="shared" si="61"/>
        <v>333.76665571836884</v>
      </c>
      <c r="BH95" s="59">
        <f t="shared" si="62"/>
        <v>627.0999890517021</v>
      </c>
      <c r="BI95" s="59">
        <f ca="1">AVERAGE(OFFSET($BH$3,0,0,'Données projet'!$E$11+1,1))-AVERAGE(OFFSET($H$3,0,0,'Données projet'!$E$11+1,1))</f>
        <v>260.74709892624571</v>
      </c>
      <c r="BJ95" s="59">
        <f t="shared" si="92"/>
        <v>237.17381692184887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2.5714091301550255</v>
      </c>
      <c r="BQ95" s="21">
        <f>EXP(-LN(2)/25)*BQ94+(1-EXP(-LN(2)/25))/(LN(2)/25)*Calculateur!BL95*Calculateur!BN95*VLOOKUP('Données projet'!$B$11,Paramètres!$A$1:$I$89,3,0)*0.475*44/12</f>
        <v>16.819435344083868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19.390844474238893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11.283999999999997</v>
      </c>
      <c r="BY95" s="12">
        <f>IF('Données projet'!$A$114&gt;35,BY94+BX95-CG94,IF(A95&lt;'Données projet'!$A$114,$BV$205^A95,IF(A95='Données projet'!$A$114,'Données projet'!$B$114,BY94+BX95-CG94)))</f>
        <v>425.39800000000002</v>
      </c>
      <c r="BZ95" s="13">
        <f>BY95*VLOOKUP('Données projet'!$B$12,Paramètres!$A$1:$I$89,3,0)*VLOOKUP('Données projet'!$B$12,Paramètres!$A$1:$I$89,5,0)</f>
        <v>384.90011040000002</v>
      </c>
      <c r="CA95" s="13">
        <f t="shared" si="93"/>
        <v>88.708572204563708</v>
      </c>
      <c r="CB95" s="20">
        <f t="shared" si="64"/>
        <v>824.86845553628189</v>
      </c>
      <c r="CC95" s="59">
        <f t="shared" si="65"/>
        <v>1118.2017888696153</v>
      </c>
      <c r="CD95" s="59">
        <f ca="1">AVERAGE(OFFSET($CC$3,0,0,'Données projet'!$E$12+1,1))-AVERAGE(OFFSET($H$3,0,0,'Données projet'!$E$12+1,1))</f>
        <v>695.0879239758051</v>
      </c>
      <c r="CE95" s="59">
        <f t="shared" si="94"/>
        <v>226.22150997227476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36.964564052656428</v>
      </c>
      <c r="CL95" s="21">
        <f>EXP(-LN(2)/25)*CL94+(1-EXP(-LN(2)/25))/(LN(2)/25)*Calculateur!CG95*Calculateur!CI95*VLOOKUP('Données projet'!$B$12,Paramètres!$A$1:$I$89,3,0)*0.475*44/12</f>
        <v>33.692131926794282</v>
      </c>
      <c r="CM95" s="21">
        <f>EXP(-LN(2)/2)*CM94+(1-EXP(-LN(2)/2))/(LN(2)/2)*CG95*CJ95*VLOOKUP('Données projet'!$B$12,Paramètres!$A$1:$I$89,3,0)*0.475*44/12</f>
        <v>3.0941476139753021</v>
      </c>
      <c r="CN95" s="22">
        <f t="shared" si="66"/>
        <v>73.750843593426026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11.283999999999997</v>
      </c>
      <c r="CT95" s="12">
        <f>IF('Données projet'!$A$140&gt;35,CT94+CS95-DB94,IF(A95&lt;'Données projet'!$A$140,$CQ$205^A95,IF(A95='Données projet'!$A$140,'Données projet'!$B$140,CT94+CS95-DB94)))</f>
        <v>425.39800000000002</v>
      </c>
      <c r="CU95" s="17">
        <f>CT95*VLOOKUP('Données projet'!$B$13,Paramètres!$A$1:$I$89,3,0)*VLOOKUP('Données projet'!$B$13,Paramètres!$A$1:$I$89,5,0)</f>
        <v>431.35357200000004</v>
      </c>
      <c r="CV95" s="13">
        <f t="shared" si="95"/>
        <v>98.104935368628276</v>
      </c>
      <c r="CW95" s="20">
        <f t="shared" si="67"/>
        <v>922.14023366702747</v>
      </c>
      <c r="CX95" s="59">
        <f t="shared" si="68"/>
        <v>1215.4735670003608</v>
      </c>
      <c r="CY95" s="59">
        <f ca="1">AVERAGE(OFFSET($CX$3,0,0,'Données projet'!$E$13+1,1))-AVERAGE(OFFSET($H$3,0,0,'Données projet'!$E$13+1,1))</f>
        <v>773.15074145293738</v>
      </c>
      <c r="CZ95" s="59">
        <f t="shared" si="96"/>
        <v>248.49577986312505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41.42580454177012</v>
      </c>
      <c r="DG95" s="21">
        <f>EXP(-LN(2)/25)*DG94+(1-EXP(-LN(2)/25))/(LN(2)/25)*Calculateur!DB95*Calculateur!DD95*VLOOKUP('Données projet'!$B$13,Paramètres!$A$1:$I$89,3,0)*0.475*44/12</f>
        <v>37.758423711062548</v>
      </c>
      <c r="DH95" s="21">
        <f>EXP(-LN(2)/2)*DH94+(1-EXP(-LN(2)/2))/(LN(2)/2)*DB95*DE95*VLOOKUP('Données projet'!$B$13,Paramètres!$A$1:$I$89,3,0)*0.475*44/12</f>
        <v>3.4675792225585291</v>
      </c>
      <c r="DI95" s="22">
        <f t="shared" si="69"/>
        <v>82.651807475391195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9.4258333333333351</v>
      </c>
      <c r="DO95" s="12">
        <f>IF('Données projet'!$A$166&gt;35,DO94+DN95-DW94,IF(A95&lt;'Données projet'!$A$166,$DL$205^A95,IF(A95='Données projet'!$A$166,'Données projet'!$B$166,DO94+DN95-DW94)))</f>
        <v>381.36916666666684</v>
      </c>
      <c r="DP95" s="17">
        <f>DO95*VLOOKUP('Données projet'!$B$14,Paramètres!$A$1:$I$89,3,0)*VLOOKUP('Données projet'!$B$14,Paramètres!$A$1:$I$89,5,0)</f>
        <v>178.48077000000009</v>
      </c>
      <c r="DQ95" s="13">
        <f t="shared" si="97"/>
        <v>44.984018925971618</v>
      </c>
      <c r="DR95" s="20">
        <f t="shared" si="70"/>
        <v>389.20117404606736</v>
      </c>
      <c r="DS95" s="59">
        <f t="shared" si="71"/>
        <v>682.53450737940068</v>
      </c>
      <c r="DT95" s="59">
        <f ca="1">AVERAGE(OFFSET($DS$3,0,0,'Données projet'!$E$14+1,1))-AVERAGE(OFFSET($H$3,0,0,'Données projet'!$E$14+1,1))</f>
        <v>293.15557501692803</v>
      </c>
      <c r="DU95" s="59">
        <f t="shared" si="98"/>
        <v>237.1930412773068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48.070617675519351</v>
      </c>
      <c r="EB95" s="21">
        <f>EXP(-LN(2)/25)*EB94+(1-EXP(-LN(2)/25))/(LN(2)/25)*Calculateur!DW95*Calculateur!DY95*VLOOKUP('Données projet'!$B$14,Paramètres!$A$1:$I$89,3,0)*0.475*44/12</f>
        <v>17.079763205263784</v>
      </c>
      <c r="EC95" s="21">
        <f>EXP(-LN(2)/2)*EC94+(1-EXP(-LN(2)/2))/(LN(2)/2)*DW95*DZ95*VLOOKUP('Données projet'!$B$14,Paramètres!$A$1:$I$89,3,0)*0.475*44/12</f>
        <v>1.7612813182019549</v>
      </c>
      <c r="ED95" s="22">
        <f t="shared" si="72"/>
        <v>66.911662198985084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-1.7053025658242404E-13</v>
      </c>
      <c r="EK95" s="17">
        <f>EJ95*VLOOKUP('Données projet'!$B$15,Paramètres!$A$1:$I$89,3,0)*VLOOKUP('Données projet'!$B$15,Paramètres!$A$1:$I$89,5,0)</f>
        <v>-1.0197709343628959E-13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225.86663363047296</v>
      </c>
      <c r="EP95" s="59">
        <f t="shared" si="100"/>
        <v>258.08349727304397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56.431527018455924</v>
      </c>
      <c r="EW95" s="21">
        <f>EXP(-LN(2)/25)*EW94+(1-EXP(-LN(2)/25))/(LN(2)/25)*Calculateur!ER95*Calculateur!ET95*VLOOKUP('Données projet'!$B$15,Paramètres!$A$1:$I$89,3,0)*0.475*44/12</f>
        <v>16.270389019078639</v>
      </c>
      <c r="EX95" s="21">
        <f>EXP(-LN(2)/2)*EX94+(1-EXP(-LN(2)/2))/(LN(2)/2)*ER95*EU95*VLOOKUP('Données projet'!$B$15,Paramètres!$A$1:$I$89,3,0)*0.475*44/12</f>
        <v>1.3647133251467472E-3</v>
      </c>
      <c r="EY95" s="22">
        <f t="shared" si="75"/>
        <v>72.703280750859705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388.12151914648013</v>
      </c>
      <c r="T96" s="59">
        <f t="shared" si="88"/>
        <v>481.43684454382793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85.553768715570911</v>
      </c>
      <c r="AA96" s="21">
        <f>EXP(-LN(2)/25)*AA95+(1-EXP(-LN(2)/25))/(LN(2)/25)*Calculateur!V96*Calculateur!X96*VLOOKUP('Données projet'!$B$9,Paramètres!$A$1:$I$89,3,0)*0.475*44/12</f>
        <v>22.107643579779015</v>
      </c>
      <c r="AB96" s="21">
        <f>EXP(-LN(2)/2)*AB95+(1-EXP(-LN(2)/2))/(LN(2)/2)*V96*Y96*VLOOKUP('Données projet'!$B$9,Paramètres!$A$1:$I$89,3,0)*0.475*44/12</f>
        <v>2.08520520247983E-4</v>
      </c>
      <c r="AC96" s="22">
        <f t="shared" si="57"/>
        <v>107.66162081587017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-1.3596945791505279E-13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349.71285006949597</v>
      </c>
      <c r="AO96" s="59">
        <f t="shared" si="90"/>
        <v>258.51550516456842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118.47830933029583</v>
      </c>
      <c r="AV96" s="21">
        <f>EXP(-LN(2)/25)*AV95+(1-EXP(-LN(2)/25))/(LN(2)/25)*Calculateur!AQ96*Calculateur!AS96*VLOOKUP('Données projet'!$B$10,Paramètres!$A$1:$I$89,3,0)*0.475*44/12</f>
        <v>36.085068100902667</v>
      </c>
      <c r="AW96" s="21">
        <f>EXP(-LN(2)/2)*AW95+(1-EXP(-LN(2)/2))/(LN(2)/2)*AQ96*AT96*VLOOKUP('Données projet'!$B$10,Paramètres!$A$1:$I$89,3,0)*0.475*44/12</f>
        <v>0.78131590105439885</v>
      </c>
      <c r="AX96" s="21">
        <f t="shared" si="60"/>
        <v>155.34469333225289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1.7948717948717956</v>
      </c>
      <c r="BD96" s="12">
        <f>IF('Données projet'!$A$88&gt;35,BD95+BC96-BL95,IF(A96&lt;'Données projet'!$A$88,$BA$205^A96,IF(A96='Données projet'!$A$88,'Données projet'!$B$88,BD95+BC96-BL95)))</f>
        <v>147.69230769230771</v>
      </c>
      <c r="BE96" s="13">
        <f>BD96*VLOOKUP('Données projet'!$B$11,Paramètres!$A$1:$I$89,3,0)*VLOOKUP('Données projet'!$B$11,Paramètres!$A$1:$I$89,5,0)</f>
        <v>154.36800000000002</v>
      </c>
      <c r="BF96" s="13">
        <f t="shared" si="91"/>
        <v>39.569564932787465</v>
      </c>
      <c r="BG96" s="20">
        <f t="shared" si="61"/>
        <v>337.7745922579382</v>
      </c>
      <c r="BH96" s="59">
        <f t="shared" si="62"/>
        <v>631.10792559127151</v>
      </c>
      <c r="BI96" s="59">
        <f ca="1">AVERAGE(OFFSET($BH$3,0,0,'Données projet'!$E$11+1,1))-AVERAGE(OFFSET($H$3,0,0,'Données projet'!$E$11+1,1))</f>
        <v>260.74709892624571</v>
      </c>
      <c r="BJ96" s="59">
        <f t="shared" si="92"/>
        <v>237.17381692184887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2.5209853655173879</v>
      </c>
      <c r="BQ96" s="21">
        <f>EXP(-LN(2)/25)*BQ95+(1-EXP(-LN(2)/25))/(LN(2)/25)*Calculateur!BL96*Calculateur!BN96*VLOOKUP('Données projet'!$B$11,Paramètres!$A$1:$I$89,3,0)*0.475*44/12</f>
        <v>16.35950700010423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18.880492365621617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11.283999999999997</v>
      </c>
      <c r="BY96" s="12">
        <f>IF('Données projet'!$A$114&gt;35,BY95+BX96-CG95,IF(A96&lt;'Données projet'!$A$114,$BV$205^A96,IF(A96='Données projet'!$A$114,'Données projet'!$B$114,BY95+BX96-CG95)))</f>
        <v>436.68200000000002</v>
      </c>
      <c r="BZ96" s="13">
        <f>BY96*VLOOKUP('Données projet'!$B$12,Paramètres!$A$1:$I$89,3,0)*VLOOKUP('Données projet'!$B$12,Paramètres!$A$1:$I$89,5,0)</f>
        <v>395.10987360000001</v>
      </c>
      <c r="CA96" s="13">
        <f t="shared" si="93"/>
        <v>90.784558517022006</v>
      </c>
      <c r="CB96" s="20">
        <f t="shared" si="64"/>
        <v>846.26613593714671</v>
      </c>
      <c r="CC96" s="59">
        <f t="shared" si="65"/>
        <v>1139.5994692704801</v>
      </c>
      <c r="CD96" s="59">
        <f ca="1">AVERAGE(OFFSET($CC$3,0,0,'Données projet'!$E$12+1,1))-AVERAGE(OFFSET($H$3,0,0,'Données projet'!$E$12+1,1))</f>
        <v>695.0879239758051</v>
      </c>
      <c r="CE96" s="59">
        <f t="shared" si="94"/>
        <v>226.22150997227476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36.239711497741659</v>
      </c>
      <c r="CL96" s="21">
        <f>EXP(-LN(2)/25)*CL95+(1-EXP(-LN(2)/25))/(LN(2)/25)*Calculateur!CG96*Calculateur!CI96*VLOOKUP('Données projet'!$B$12,Paramètres!$A$1:$I$89,3,0)*0.475*44/12</f>
        <v>32.770818807463876</v>
      </c>
      <c r="CM96" s="21">
        <f>EXP(-LN(2)/2)*CM95+(1-EXP(-LN(2)/2))/(LN(2)/2)*CG96*CJ96*VLOOKUP('Données projet'!$B$12,Paramètres!$A$1:$I$89,3,0)*0.475*44/12</f>
        <v>2.1878927598341122</v>
      </c>
      <c r="CN96" s="22">
        <f t="shared" si="66"/>
        <v>71.198423065039648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11.283999999999997</v>
      </c>
      <c r="CT96" s="12">
        <f>IF('Données projet'!$A$140&gt;35,CT95+CS96-DB95,IF(A96&lt;'Données projet'!$A$140,$CQ$205^A96,IF(A96='Données projet'!$A$140,'Données projet'!$B$140,CT95+CS96-DB95)))</f>
        <v>436.68200000000002</v>
      </c>
      <c r="CU96" s="17">
        <f>CT96*VLOOKUP('Données projet'!$B$13,Paramètres!$A$1:$I$89,3,0)*VLOOKUP('Données projet'!$B$13,Paramètres!$A$1:$I$89,5,0)</f>
        <v>442.795548</v>
      </c>
      <c r="CV96" s="13">
        <f t="shared" si="95"/>
        <v>100.40081837010669</v>
      </c>
      <c r="CW96" s="20">
        <f t="shared" si="67"/>
        <v>946.06700476126923</v>
      </c>
      <c r="CX96" s="59">
        <f t="shared" si="68"/>
        <v>1239.4003380946026</v>
      </c>
      <c r="CY96" s="59">
        <f ca="1">AVERAGE(OFFSET($CX$3,0,0,'Données projet'!$E$13+1,1))-AVERAGE(OFFSET($H$3,0,0,'Données projet'!$E$13+1,1))</f>
        <v>773.15074145293738</v>
      </c>
      <c r="CZ96" s="59">
        <f t="shared" si="96"/>
        <v>248.49577986312505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40.613469781951842</v>
      </c>
      <c r="DG96" s="21">
        <f>EXP(-LN(2)/25)*DG95+(1-EXP(-LN(2)/25))/(LN(2)/25)*Calculateur!DB96*Calculateur!DD96*VLOOKUP('Données projet'!$B$13,Paramètres!$A$1:$I$89,3,0)*0.475*44/12</f>
        <v>36.725917629054337</v>
      </c>
      <c r="DH96" s="21">
        <f>EXP(-LN(2)/2)*DH95+(1-EXP(-LN(2)/2))/(LN(2)/2)*DB96*DE96*VLOOKUP('Données projet'!$B$13,Paramètres!$A$1:$I$89,3,0)*0.475*44/12</f>
        <v>2.4519487825727126</v>
      </c>
      <c r="DI96" s="22">
        <f t="shared" si="69"/>
        <v>79.7913361935789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9.4258333333333351</v>
      </c>
      <c r="DO96" s="12">
        <f>IF('Données projet'!$A$166&gt;35,DO95+DN96-DW95,IF(A96&lt;'Données projet'!$A$166,$DL$205^A96,IF(A96='Données projet'!$A$166,'Données projet'!$B$166,DO95+DN96-DW95)))</f>
        <v>390.79500000000019</v>
      </c>
      <c r="DP96" s="17">
        <f>DO96*VLOOKUP('Données projet'!$B$14,Paramètres!$A$1:$I$89,3,0)*VLOOKUP('Données projet'!$B$14,Paramètres!$A$1:$I$89,5,0)</f>
        <v>182.8920600000001</v>
      </c>
      <c r="DQ96" s="13">
        <f t="shared" si="97"/>
        <v>45.965018129602747</v>
      </c>
      <c r="DR96" s="20">
        <f t="shared" si="70"/>
        <v>398.59274440905824</v>
      </c>
      <c r="DS96" s="59">
        <f t="shared" si="71"/>
        <v>691.9260777423915</v>
      </c>
      <c r="DT96" s="59">
        <f ca="1">AVERAGE(OFFSET($DS$3,0,0,'Données projet'!$E$14+1,1))-AVERAGE(OFFSET($H$3,0,0,'Données projet'!$E$14+1,1))</f>
        <v>293.15557501692803</v>
      </c>
      <c r="DU96" s="59">
        <f t="shared" si="98"/>
        <v>237.1930412773068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47.127982183084072</v>
      </c>
      <c r="EB96" s="21">
        <f>EXP(-LN(2)/25)*EB95+(1-EXP(-LN(2)/25))/(LN(2)/25)*Calculateur!DW96*Calculateur!DY96*VLOOKUP('Données projet'!$B$14,Paramètres!$A$1:$I$89,3,0)*0.475*44/12</f>
        <v>16.612716182230134</v>
      </c>
      <c r="EC96" s="21">
        <f>EXP(-LN(2)/2)*EC95+(1-EXP(-LN(2)/2))/(LN(2)/2)*DW96*DZ96*VLOOKUP('Données projet'!$B$14,Paramètres!$A$1:$I$89,3,0)*0.475*44/12</f>
        <v>1.2454139636777837</v>
      </c>
      <c r="ED96" s="22">
        <f t="shared" si="72"/>
        <v>64.986112328991979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-1.7053025658242404E-13</v>
      </c>
      <c r="EK96" s="17">
        <f>EJ96*VLOOKUP('Données projet'!$B$15,Paramètres!$A$1:$I$89,3,0)*VLOOKUP('Données projet'!$B$15,Paramètres!$A$1:$I$89,5,0)</f>
        <v>-1.0197709343628959E-13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225.86663363047296</v>
      </c>
      <c r="EP96" s="59">
        <f t="shared" si="100"/>
        <v>258.08349727304397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55.324939193456807</v>
      </c>
      <c r="EW96" s="21">
        <f>EXP(-LN(2)/25)*EW95+(1-EXP(-LN(2)/25))/(LN(2)/25)*Calculateur!ER96*Calculateur!ET96*VLOOKUP('Données projet'!$B$15,Paramètres!$A$1:$I$89,3,0)*0.475*44/12</f>
        <v>15.825474375729362</v>
      </c>
      <c r="EX96" s="21">
        <f>EXP(-LN(2)/2)*EX95+(1-EXP(-LN(2)/2))/(LN(2)/2)*ER96*EU96*VLOOKUP('Données projet'!$B$15,Paramètres!$A$1:$I$89,3,0)*0.475*44/12</f>
        <v>9.6499804658690676E-4</v>
      </c>
      <c r="EY96" s="22">
        <f t="shared" si="75"/>
        <v>71.151378567232754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388.12151914648013</v>
      </c>
      <c r="T97" s="59">
        <f t="shared" si="88"/>
        <v>481.43684454382793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83.876111493704869</v>
      </c>
      <c r="AA97" s="21">
        <f>EXP(-LN(2)/25)*AA96+(1-EXP(-LN(2)/25))/(LN(2)/25)*Calculateur!V97*Calculateur!X97*VLOOKUP('Données projet'!$B$9,Paramètres!$A$1:$I$89,3,0)*0.475*44/12</f>
        <v>21.503108903499509</v>
      </c>
      <c r="AB97" s="21">
        <f>EXP(-LN(2)/2)*AB96+(1-EXP(-LN(2)/2))/(LN(2)/2)*V97*Y97*VLOOKUP('Données projet'!$B$9,Paramètres!$A$1:$I$89,3,0)*0.475*44/12</f>
        <v>1.4744627388389557E-4</v>
      </c>
      <c r="AC97" s="22">
        <f t="shared" si="57"/>
        <v>105.37936784347826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-1.3596945791505279E-13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349.71285006949597</v>
      </c>
      <c r="AO97" s="59">
        <f t="shared" si="90"/>
        <v>258.51550516456842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116.15502194896187</v>
      </c>
      <c r="AV97" s="21">
        <f>EXP(-LN(2)/25)*AV96+(1-EXP(-LN(2)/25))/(LN(2)/25)*Calculateur!AQ97*Calculateur!AS97*VLOOKUP('Données projet'!$B$10,Paramètres!$A$1:$I$89,3,0)*0.475*44/12</f>
        <v>35.098320016052227</v>
      </c>
      <c r="AW97" s="21">
        <f>EXP(-LN(2)/2)*AW96+(1-EXP(-LN(2)/2))/(LN(2)/2)*AQ97*AT97*VLOOKUP('Données projet'!$B$10,Paramètres!$A$1:$I$89,3,0)*0.475*44/12</f>
        <v>0.55247377188444302</v>
      </c>
      <c r="AX97" s="21">
        <f t="shared" si="60"/>
        <v>151.80581573689855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1.7948717948717956</v>
      </c>
      <c r="BD97" s="12">
        <f>IF('Données projet'!$A$88&gt;35,BD96+BC97-BL96,IF(A97&lt;'Données projet'!$A$88,$BA$205^A97,IF(A97='Données projet'!$A$88,'Données projet'!$B$88,BD96+BC97-BL96)))</f>
        <v>149.4871794871795</v>
      </c>
      <c r="BE97" s="13">
        <f>BD97*VLOOKUP('Données projet'!$B$11,Paramètres!$A$1:$I$89,3,0)*VLOOKUP('Données projet'!$B$11,Paramètres!$A$1:$I$89,5,0)</f>
        <v>156.24400000000003</v>
      </c>
      <c r="BF97" s="13">
        <f t="shared" si="91"/>
        <v>39.994171433339048</v>
      </c>
      <c r="BG97" s="20">
        <f t="shared" si="61"/>
        <v>341.78148191306553</v>
      </c>
      <c r="BH97" s="59">
        <f t="shared" si="62"/>
        <v>635.11481524639885</v>
      </c>
      <c r="BI97" s="59">
        <f ca="1">AVERAGE(OFFSET($BH$3,0,0,'Données projet'!$E$11+1,1))-AVERAGE(OFFSET($H$3,0,0,'Données projet'!$E$11+1,1))</f>
        <v>260.74709892624571</v>
      </c>
      <c r="BJ97" s="59">
        <f t="shared" si="92"/>
        <v>237.17381692184887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2.4715503801488348</v>
      </c>
      <c r="BQ97" s="21">
        <f>EXP(-LN(2)/25)*BQ96+(1-EXP(-LN(2)/25))/(LN(2)/25)*Calculateur!BL97*Calculateur!BN97*VLOOKUP('Données projet'!$B$11,Paramètres!$A$1:$I$89,3,0)*0.475*44/12</f>
        <v>15.912155420877298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18.383705801026132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11.283999999999997</v>
      </c>
      <c r="BY97" s="12">
        <f>IF('Données projet'!$A$114&gt;35,BY96+BX97-CG96,IF(A97&lt;'Données projet'!$A$114,$BV$205^A97,IF(A97='Données projet'!$A$114,'Données projet'!$B$114,BY96+BX97-CG96)))</f>
        <v>447.96600000000001</v>
      </c>
      <c r="BZ97" s="13">
        <f>BY97*VLOOKUP('Données projet'!$B$12,Paramètres!$A$1:$I$89,3,0)*VLOOKUP('Données projet'!$B$12,Paramètres!$A$1:$I$89,5,0)</f>
        <v>405.31963679999996</v>
      </c>
      <c r="CA97" s="13">
        <f t="shared" si="93"/>
        <v>92.854309299710778</v>
      </c>
      <c r="CB97" s="20">
        <f t="shared" si="64"/>
        <v>867.65295612366288</v>
      </c>
      <c r="CC97" s="59">
        <f t="shared" si="65"/>
        <v>1160.9862894569962</v>
      </c>
      <c r="CD97" s="59">
        <f ca="1">AVERAGE(OFFSET($CC$3,0,0,'Données projet'!$E$12+1,1))-AVERAGE(OFFSET($H$3,0,0,'Données projet'!$E$12+1,1))</f>
        <v>695.0879239758051</v>
      </c>
      <c r="CE97" s="59">
        <f t="shared" si="94"/>
        <v>226.22150997227476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35.529072859312365</v>
      </c>
      <c r="CL97" s="21">
        <f>EXP(-LN(2)/25)*CL96+(1-EXP(-LN(2)/25))/(LN(2)/25)*Calculateur!CG97*Calculateur!CI97*VLOOKUP('Données projet'!$B$12,Paramètres!$A$1:$I$89,3,0)*0.475*44/12</f>
        <v>31.874699043831313</v>
      </c>
      <c r="CM97" s="21">
        <f>EXP(-LN(2)/2)*CM96+(1-EXP(-LN(2)/2))/(LN(2)/2)*CG97*CJ97*VLOOKUP('Données projet'!$B$12,Paramètres!$A$1:$I$89,3,0)*0.475*44/12</f>
        <v>1.5470738069876513</v>
      </c>
      <c r="CN97" s="22">
        <f t="shared" si="66"/>
        <v>68.950845710131333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11.283999999999997</v>
      </c>
      <c r="CT97" s="12">
        <f>IF('Données projet'!$A$140&gt;35,CT96+CS97-DB96,IF(A97&lt;'Données projet'!$A$140,$CQ$205^A97,IF(A97='Données projet'!$A$140,'Données projet'!$B$140,CT96+CS97-DB96)))</f>
        <v>447.96600000000001</v>
      </c>
      <c r="CU97" s="17">
        <f>CT97*VLOOKUP('Données projet'!$B$13,Paramètres!$A$1:$I$89,3,0)*VLOOKUP('Données projet'!$B$13,Paramètres!$A$1:$I$89,5,0)</f>
        <v>454.23752400000006</v>
      </c>
      <c r="CV97" s="13">
        <f t="shared" si="95"/>
        <v>102.68980534981601</v>
      </c>
      <c r="CW97" s="20">
        <f t="shared" si="67"/>
        <v>969.98176528426302</v>
      </c>
      <c r="CX97" s="59">
        <f t="shared" si="68"/>
        <v>1263.3150986175963</v>
      </c>
      <c r="CY97" s="59">
        <f ca="1">AVERAGE(OFFSET($CX$3,0,0,'Données projet'!$E$13+1,1))-AVERAGE(OFFSET($H$3,0,0,'Données projet'!$E$13+1,1))</f>
        <v>773.15074145293738</v>
      </c>
      <c r="CZ97" s="59">
        <f t="shared" si="96"/>
        <v>248.49577986312505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39.817064411298325</v>
      </c>
      <c r="DG97" s="21">
        <f>EXP(-LN(2)/25)*DG96+(1-EXP(-LN(2)/25))/(LN(2)/25)*Calculateur!DB97*Calculateur!DD97*VLOOKUP('Données projet'!$B$13,Paramètres!$A$1:$I$89,3,0)*0.475*44/12</f>
        <v>35.721645480155779</v>
      </c>
      <c r="DH97" s="21">
        <f>EXP(-LN(2)/2)*DH96+(1-EXP(-LN(2)/2))/(LN(2)/2)*DB97*DE97*VLOOKUP('Données projet'!$B$13,Paramètres!$A$1:$I$89,3,0)*0.475*44/12</f>
        <v>1.7337896112792648</v>
      </c>
      <c r="DI97" s="22">
        <f t="shared" si="69"/>
        <v>77.272499502733368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9.4258333333333351</v>
      </c>
      <c r="DO97" s="12">
        <f>IF('Données projet'!$A$166&gt;35,DO96+DN97-DW96,IF(A97&lt;'Données projet'!$A$166,$DL$205^A97,IF(A97='Données projet'!$A$166,'Données projet'!$B$166,DO96+DN97-DW96)))</f>
        <v>400.22083333333353</v>
      </c>
      <c r="DP97" s="17">
        <f>DO97*VLOOKUP('Données projet'!$B$14,Paramètres!$A$1:$I$89,3,0)*VLOOKUP('Données projet'!$B$14,Paramètres!$A$1:$I$89,5,0)</f>
        <v>187.30335000000008</v>
      </c>
      <c r="DQ97" s="13">
        <f t="shared" si="97"/>
        <v>46.943266733511237</v>
      </c>
      <c r="DR97" s="20">
        <f t="shared" si="70"/>
        <v>407.97952414419888</v>
      </c>
      <c r="DS97" s="59">
        <f t="shared" si="71"/>
        <v>701.31285747753213</v>
      </c>
      <c r="DT97" s="59">
        <f ca="1">AVERAGE(OFFSET($DS$3,0,0,'Données projet'!$E$14+1,1))-AVERAGE(OFFSET($H$3,0,0,'Données projet'!$E$14+1,1))</f>
        <v>293.15557501692803</v>
      </c>
      <c r="DU97" s="59">
        <f t="shared" si="98"/>
        <v>237.1930412773068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46.203831197704567</v>
      </c>
      <c r="EB97" s="21">
        <f>EXP(-LN(2)/25)*EB96+(1-EXP(-LN(2)/25))/(LN(2)/25)*Calculateur!DW97*Calculateur!DY97*VLOOKUP('Données projet'!$B$14,Paramètres!$A$1:$I$89,3,0)*0.475*44/12</f>
        <v>16.158440584602275</v>
      </c>
      <c r="EC97" s="21">
        <f>EXP(-LN(2)/2)*EC96+(1-EXP(-LN(2)/2))/(LN(2)/2)*DW97*DZ97*VLOOKUP('Données projet'!$B$14,Paramètres!$A$1:$I$89,3,0)*0.475*44/12</f>
        <v>0.88064065910097744</v>
      </c>
      <c r="ED97" s="22">
        <f t="shared" si="72"/>
        <v>63.242912441407817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-1.7053025658242404E-13</v>
      </c>
      <c r="EK97" s="17">
        <f>EJ97*VLOOKUP('Données projet'!$B$15,Paramètres!$A$1:$I$89,3,0)*VLOOKUP('Données projet'!$B$15,Paramètres!$A$1:$I$89,5,0)</f>
        <v>-1.0197709343628959E-13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225.86663363047296</v>
      </c>
      <c r="EP97" s="59">
        <f t="shared" si="100"/>
        <v>258.08349727304397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54.240050880753998</v>
      </c>
      <c r="EW97" s="21">
        <f>EXP(-LN(2)/25)*EW96+(1-EXP(-LN(2)/25))/(LN(2)/25)*Calculateur!ER97*Calculateur!ET97*VLOOKUP('Données projet'!$B$15,Paramètres!$A$1:$I$89,3,0)*0.475*44/12</f>
        <v>15.392725946699516</v>
      </c>
      <c r="EX97" s="21">
        <f>EXP(-LN(2)/2)*EX96+(1-EXP(-LN(2)/2))/(LN(2)/2)*ER97*EU97*VLOOKUP('Données projet'!$B$15,Paramètres!$A$1:$I$89,3,0)*0.475*44/12</f>
        <v>6.8235666257337373E-4</v>
      </c>
      <c r="EY97" s="22">
        <f t="shared" si="75"/>
        <v>69.633459184116091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388.12151914648013</v>
      </c>
      <c r="T98" s="59">
        <f t="shared" si="88"/>
        <v>481.43684454382793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82.231352106689755</v>
      </c>
      <c r="AA98" s="21">
        <f>EXP(-LN(2)/25)*AA97+(1-EXP(-LN(2)/25))/(LN(2)/25)*Calculateur!V98*Calculateur!X98*VLOOKUP('Données projet'!$B$9,Paramètres!$A$1:$I$89,3,0)*0.475*44/12</f>
        <v>20.915105259733963</v>
      </c>
      <c r="AB98" s="21">
        <f>EXP(-LN(2)/2)*AB97+(1-EXP(-LN(2)/2))/(LN(2)/2)*V98*Y98*VLOOKUP('Données projet'!$B$9,Paramètres!$A$1:$I$89,3,0)*0.475*44/12</f>
        <v>1.042602601239915E-4</v>
      </c>
      <c r="AC98" s="22">
        <f t="shared" si="57"/>
        <v>103.14656162668385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-1.3596945791505279E-13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349.71285006949597</v>
      </c>
      <c r="AO98" s="59">
        <f t="shared" si="90"/>
        <v>258.51550516456842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113.87729281611051</v>
      </c>
      <c r="AV98" s="21">
        <f>EXP(-LN(2)/25)*AV97+(1-EXP(-LN(2)/25))/(LN(2)/25)*Calculateur!AQ98*Calculateur!AS98*VLOOKUP('Données projet'!$B$10,Paramètres!$A$1:$I$89,3,0)*0.475*44/12</f>
        <v>34.138554609472848</v>
      </c>
      <c r="AW98" s="21">
        <f>EXP(-LN(2)/2)*AW97+(1-EXP(-LN(2)/2))/(LN(2)/2)*AQ98*AT98*VLOOKUP('Données projet'!$B$10,Paramètres!$A$1:$I$89,3,0)*0.475*44/12</f>
        <v>0.39065795052719943</v>
      </c>
      <c r="AX98" s="21">
        <f t="shared" si="60"/>
        <v>148.40650537611057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151.28205128205127</v>
      </c>
      <c r="BB98" s="12">
        <f>VLOOKUP(A98,'Données projet'!$A$87:$I$107,9,0)</f>
        <v>1.7948717948717956</v>
      </c>
      <c r="BC98" s="12">
        <f t="array" ref="BC98">INDEX(BB:BB,MIN(IF(ISNUMBER(BB98:BB294),ROW(BB98:BB294),"")))</f>
        <v>1.7948717948717956</v>
      </c>
      <c r="BD98" s="12">
        <f>IF('Données projet'!$A$88&gt;35,BD97+BC98-BL97,IF(A98&lt;'Données projet'!$A$88,$BA$205^A98,IF(A98='Données projet'!$A$88,'Données projet'!$B$88,BD97+BC98-BL97)))</f>
        <v>151.2820512820513</v>
      </c>
      <c r="BE98" s="13">
        <f>BD98*VLOOKUP('Données projet'!$B$11,Paramètres!$A$1:$I$89,3,0)*VLOOKUP('Données projet'!$B$11,Paramètres!$A$1:$I$89,5,0)</f>
        <v>158.12000000000003</v>
      </c>
      <c r="BF98" s="13">
        <f t="shared" si="91"/>
        <v>40.418184903854836</v>
      </c>
      <c r="BG98" s="20">
        <f t="shared" si="61"/>
        <v>345.78733870754724</v>
      </c>
      <c r="BH98" s="59">
        <f t="shared" si="62"/>
        <v>639.12067204088055</v>
      </c>
      <c r="BI98" s="59">
        <f ca="1">AVERAGE(OFFSET($BH$3,0,0,'Données projet'!$E$11+1,1))-AVERAGE(OFFSET($H$3,0,0,'Données projet'!$E$11+1,1))</f>
        <v>260.74709892624571</v>
      </c>
      <c r="BJ98" s="59">
        <f t="shared" si="92"/>
        <v>237.17381692184887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7.0512820512820511</v>
      </c>
      <c r="BM98" s="16">
        <f>IF(ISNA(VLOOKUP(A98,'Données projet'!$A$87:$I$107,5,0)),0%,VLOOKUP(A98,'Données projet'!$A$87:$I$107,5,0)*VLOOKUP('Données projet'!$B$11,Paramètres!$A$1:$I$89,7,0))</f>
        <v>4.3000000000000003E-2</v>
      </c>
      <c r="BN98" s="16">
        <f>IF(ISNA(VLOOKUP(A98,'Données projet'!$A$87:$I$107,6,0)),0%,VLOOKUP(A98,'Données projet'!$A$87:$I$107,6,0)*VLOOKUP('Données projet'!$B$11,Paramètres!$A$1:$I$89,7,0))</f>
        <v>0.215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2.7734194026687824</v>
      </c>
      <c r="BQ98" s="21">
        <f>EXP(-LN(2)/25)*BQ97+(1-EXP(-LN(2)/25))/(LN(2)/25)*Calculateur!BL98*Calculateur!BN98*VLOOKUP('Données projet'!$B$11,Paramètres!$A$1:$I$89,3,0)*0.475*44/12</f>
        <v>17.221812779603791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19.995232182272574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11.283999999999997</v>
      </c>
      <c r="BY98" s="12">
        <f>IF('Données projet'!$A$114&gt;35,BY97+BX98-CG97,IF(A98&lt;'Données projet'!$A$114,$BV$205^A98,IF(A98='Données projet'!$A$114,'Données projet'!$B$114,BY97+BX98-CG97)))</f>
        <v>459.25</v>
      </c>
      <c r="BZ98" s="13">
        <f>BY98*VLOOKUP('Données projet'!$B$12,Paramètres!$A$1:$I$89,3,0)*VLOOKUP('Données projet'!$B$12,Paramètres!$A$1:$I$89,5,0)</f>
        <v>415.52940000000001</v>
      </c>
      <c r="CA98" s="13">
        <f t="shared" si="93"/>
        <v>94.917999685477398</v>
      </c>
      <c r="CB98" s="20">
        <f t="shared" si="64"/>
        <v>889.02922111887312</v>
      </c>
      <c r="CC98" s="59">
        <f t="shared" si="65"/>
        <v>1182.3625544522065</v>
      </c>
      <c r="CD98" s="59">
        <f ca="1">AVERAGE(OFFSET($CC$3,0,0,'Données projet'!$E$12+1,1))-AVERAGE(OFFSET($H$3,0,0,'Données projet'!$E$12+1,1))</f>
        <v>695.0879239758051</v>
      </c>
      <c r="CE98" s="59">
        <f t="shared" si="94"/>
        <v>226.22150997227476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34.8323694111359</v>
      </c>
      <c r="CL98" s="21">
        <f>EXP(-LN(2)/25)*CL97+(1-EXP(-LN(2)/25))/(LN(2)/25)*Calculateur!CG98*Calculateur!CI98*VLOOKUP('Données projet'!$B$12,Paramètres!$A$1:$I$89,3,0)*0.475*44/12</f>
        <v>31.003083722260175</v>
      </c>
      <c r="CM98" s="21">
        <f>EXP(-LN(2)/2)*CM97+(1-EXP(-LN(2)/2))/(LN(2)/2)*CG98*CJ98*VLOOKUP('Données projet'!$B$12,Paramètres!$A$1:$I$89,3,0)*0.475*44/12</f>
        <v>1.0939463799170563</v>
      </c>
      <c r="CN98" s="22">
        <f t="shared" si="66"/>
        <v>66.929399513313129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11.283999999999997</v>
      </c>
      <c r="CT98" s="12">
        <f>IF('Données projet'!$A$140&gt;35,CT97+CS98-DB97,IF(A98&lt;'Données projet'!$A$140,$CQ$205^A98,IF(A98='Données projet'!$A$140,'Données projet'!$B$140,CT97+CS98-DB97)))</f>
        <v>459.25</v>
      </c>
      <c r="CU98" s="17">
        <f>CT98*VLOOKUP('Données projet'!$B$13,Paramètres!$A$1:$I$89,3,0)*VLOOKUP('Données projet'!$B$13,Paramètres!$A$1:$I$89,5,0)</f>
        <v>465.67950000000002</v>
      </c>
      <c r="CV98" s="13">
        <f t="shared" si="95"/>
        <v>104.97208999136814</v>
      </c>
      <c r="CW98" s="20">
        <f t="shared" si="67"/>
        <v>993.88485256829938</v>
      </c>
      <c r="CX98" s="59">
        <f t="shared" si="68"/>
        <v>1287.2181859016328</v>
      </c>
      <c r="CY98" s="59">
        <f ca="1">AVERAGE(OFFSET($CX$3,0,0,'Données projet'!$E$13+1,1))-AVERAGE(OFFSET($H$3,0,0,'Données projet'!$E$13+1,1))</f>
        <v>773.15074145293738</v>
      </c>
      <c r="CZ98" s="59">
        <f t="shared" si="96"/>
        <v>248.49577986312505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39.03627606420401</v>
      </c>
      <c r="DG98" s="21">
        <f>EXP(-LN(2)/25)*DG97+(1-EXP(-LN(2)/25))/(LN(2)/25)*Calculateur!DB98*Calculateur!DD98*VLOOKUP('Données projet'!$B$13,Paramètres!$A$1:$I$89,3,0)*0.475*44/12</f>
        <v>34.744835205981225</v>
      </c>
      <c r="DH98" s="21">
        <f>EXP(-LN(2)/2)*DH97+(1-EXP(-LN(2)/2))/(LN(2)/2)*DB98*DE98*VLOOKUP('Données projet'!$B$13,Paramètres!$A$1:$I$89,3,0)*0.475*44/12</f>
        <v>1.2259743912863565</v>
      </c>
      <c r="DI98" s="22">
        <f t="shared" si="69"/>
        <v>75.007085661471592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9.4258333333333351</v>
      </c>
      <c r="DO98" s="12">
        <f>IF('Données projet'!$A$166&gt;35,DO97+DN98-DW97,IF(A98&lt;'Données projet'!$A$166,$DL$205^A98,IF(A98='Données projet'!$A$166,'Données projet'!$B$166,DO97+DN98-DW97)))</f>
        <v>409.64666666666687</v>
      </c>
      <c r="DP98" s="17">
        <f>DO98*VLOOKUP('Données projet'!$B$14,Paramètres!$A$1:$I$89,3,0)*VLOOKUP('Données projet'!$B$14,Paramètres!$A$1:$I$89,5,0)</f>
        <v>191.71464000000009</v>
      </c>
      <c r="DQ98" s="13">
        <f t="shared" si="97"/>
        <v>47.918836973633752</v>
      </c>
      <c r="DR98" s="20">
        <f t="shared" si="70"/>
        <v>417.36163906241222</v>
      </c>
      <c r="DS98" s="59">
        <f t="shared" si="71"/>
        <v>710.69497239574548</v>
      </c>
      <c r="DT98" s="59">
        <f ca="1">AVERAGE(OFFSET($DS$3,0,0,'Données projet'!$E$14+1,1))-AVERAGE(OFFSET($H$3,0,0,'Données projet'!$E$14+1,1))</f>
        <v>293.15557501692803</v>
      </c>
      <c r="DU98" s="59">
        <f t="shared" si="98"/>
        <v>237.1930412773068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45.297802249471914</v>
      </c>
      <c r="EB98" s="21">
        <f>EXP(-LN(2)/25)*EB97+(1-EXP(-LN(2)/25))/(LN(2)/25)*Calculateur!DW98*Calculateur!DY98*VLOOKUP('Données projet'!$B$14,Paramètres!$A$1:$I$89,3,0)*0.475*44/12</f>
        <v>15.716587177080866</v>
      </c>
      <c r="EC98" s="21">
        <f>EXP(-LN(2)/2)*EC97+(1-EXP(-LN(2)/2))/(LN(2)/2)*DW98*DZ98*VLOOKUP('Données projet'!$B$14,Paramètres!$A$1:$I$89,3,0)*0.475*44/12</f>
        <v>0.62270698183889184</v>
      </c>
      <c r="ED98" s="22">
        <f t="shared" si="72"/>
        <v>61.63709640839167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-1.7053025658242404E-13</v>
      </c>
      <c r="EK98" s="17">
        <f>EJ98*VLOOKUP('Données projet'!$B$15,Paramètres!$A$1:$I$89,3,0)*VLOOKUP('Données projet'!$B$15,Paramètres!$A$1:$I$89,5,0)</f>
        <v>-1.0197709343628959E-13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225.86663363047296</v>
      </c>
      <c r="EP98" s="59">
        <f t="shared" si="100"/>
        <v>258.08349727304397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53.176436566146755</v>
      </c>
      <c r="EW98" s="21">
        <f>EXP(-LN(2)/25)*EW97+(1-EXP(-LN(2)/25))/(LN(2)/25)*Calculateur!ER98*Calculateur!ET98*VLOOKUP('Données projet'!$B$15,Paramètres!$A$1:$I$89,3,0)*0.475*44/12</f>
        <v>14.97181104621874</v>
      </c>
      <c r="EX98" s="21">
        <f>EXP(-LN(2)/2)*EX97+(1-EXP(-LN(2)/2))/(LN(2)/2)*ER98*EU98*VLOOKUP('Données projet'!$B$15,Paramètres!$A$1:$I$89,3,0)*0.475*44/12</f>
        <v>4.8249902329345343E-4</v>
      </c>
      <c r="EY98" s="22">
        <f t="shared" si="75"/>
        <v>68.148730111388787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388.12151914648013</v>
      </c>
      <c r="T99" s="59">
        <f t="shared" si="88"/>
        <v>481.43684454382793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80.618845448049839</v>
      </c>
      <c r="AA99" s="21">
        <f>EXP(-LN(2)/25)*AA98+(1-EXP(-LN(2)/25))/(LN(2)/25)*Calculateur!V99*Calculateur!X99*VLOOKUP('Données projet'!$B$9,Paramètres!$A$1:$I$89,3,0)*0.475*44/12</f>
        <v>20.343180606528954</v>
      </c>
      <c r="AB99" s="21">
        <f>EXP(-LN(2)/2)*AB98+(1-EXP(-LN(2)/2))/(LN(2)/2)*V99*Y99*VLOOKUP('Données projet'!$B$9,Paramètres!$A$1:$I$89,3,0)*0.475*44/12</f>
        <v>7.3723136941947784E-5</v>
      </c>
      <c r="AC99" s="22">
        <f t="shared" si="57"/>
        <v>100.96209977771572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-1.3596945791505279E-13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349.71285006949597</v>
      </c>
      <c r="AO99" s="59">
        <f t="shared" si="90"/>
        <v>258.51550516456842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111.64422856227677</v>
      </c>
      <c r="AV99" s="21">
        <f>EXP(-LN(2)/25)*AV98+(1-EXP(-LN(2)/25))/(LN(2)/25)*Calculateur!AQ99*Calculateur!AS99*VLOOKUP('Données projet'!$B$10,Paramètres!$A$1:$I$89,3,0)*0.475*44/12</f>
        <v>33.20503403840825</v>
      </c>
      <c r="AW99" s="21">
        <f>EXP(-LN(2)/2)*AW98+(1-EXP(-LN(2)/2))/(LN(2)/2)*AQ99*AT99*VLOOKUP('Données projet'!$B$10,Paramètres!$A$1:$I$89,3,0)*0.475*44/12</f>
        <v>0.27623688594222151</v>
      </c>
      <c r="AX99" s="21">
        <f t="shared" si="60"/>
        <v>145.12549948662723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1.9230769230769227</v>
      </c>
      <c r="BD99" s="12">
        <f>IF('Données projet'!$A$88&gt;35,BD98+BC99-BL98,IF(A99&lt;'Données projet'!$A$88,$BA$205^A99,IF(A99='Données projet'!$A$88,'Données projet'!$B$88,BD98+BC99-BL98)))</f>
        <v>146.15384615384619</v>
      </c>
      <c r="BE99" s="13">
        <f>BD99*VLOOKUP('Données projet'!$B$11,Paramètres!$A$1:$I$89,3,0)*VLOOKUP('Données projet'!$B$11,Paramètres!$A$1:$I$89,5,0)</f>
        <v>152.76000000000005</v>
      </c>
      <c r="BF99" s="13">
        <f t="shared" si="91"/>
        <v>39.205138402364092</v>
      </c>
      <c r="BG99" s="20">
        <f t="shared" si="61"/>
        <v>334.33928271745089</v>
      </c>
      <c r="BH99" s="59">
        <f t="shared" si="62"/>
        <v>627.6726160507842</v>
      </c>
      <c r="BI99" s="59">
        <f ca="1">AVERAGE(OFFSET($BH$3,0,0,'Données projet'!$E$11+1,1))-AVERAGE(OFFSET($H$3,0,0,'Données projet'!$E$11+1,1))</f>
        <v>260.74709892624571</v>
      </c>
      <c r="BJ99" s="59">
        <f t="shared" si="92"/>
        <v>237.17381692184887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2.7190343398012495</v>
      </c>
      <c r="BQ99" s="21">
        <f>EXP(-LN(2)/25)*BQ98+(1-EXP(-LN(2)/25))/(LN(2)/25)*Calculateur!BL99*Calculateur!BN99*VLOOKUP('Données projet'!$B$11,Paramètres!$A$1:$I$89,3,0)*0.475*44/12</f>
        <v>16.750881403489753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19.469915743291004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11.283999999999997</v>
      </c>
      <c r="BY99" s="12">
        <f>IF('Données projet'!$A$114&gt;35,BY98+BX99-CG98,IF(A99&lt;'Données projet'!$A$114,$BV$205^A99,IF(A99='Données projet'!$A$114,'Données projet'!$B$114,BY98+BX99-CG98)))</f>
        <v>470.53399999999999</v>
      </c>
      <c r="BZ99" s="13">
        <f>BY99*VLOOKUP('Données projet'!$B$12,Paramètres!$A$1:$I$89,3,0)*VLOOKUP('Données projet'!$B$12,Paramètres!$A$1:$I$89,5,0)</f>
        <v>425.73916320000001</v>
      </c>
      <c r="CA99" s="13">
        <f t="shared" si="93"/>
        <v>96.975795710339128</v>
      </c>
      <c r="CB99" s="20">
        <f t="shared" si="64"/>
        <v>910.39522010217399</v>
      </c>
      <c r="CC99" s="59">
        <f t="shared" si="65"/>
        <v>1203.7285534355074</v>
      </c>
      <c r="CD99" s="59">
        <f ca="1">AVERAGE(OFFSET($CC$3,0,0,'Données projet'!$E$12+1,1))-AVERAGE(OFFSET($H$3,0,0,'Données projet'!$E$12+1,1))</f>
        <v>695.0879239758051</v>
      </c>
      <c r="CE99" s="59">
        <f t="shared" si="94"/>
        <v>226.22150997227476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34.149327892631035</v>
      </c>
      <c r="CL99" s="21">
        <f>EXP(-LN(2)/25)*CL98+(1-EXP(-LN(2)/25))/(LN(2)/25)*Calculateur!CG99*Calculateur!CI99*VLOOKUP('Données projet'!$B$12,Paramètres!$A$1:$I$89,3,0)*0.475*44/12</f>
        <v>30.155302767493655</v>
      </c>
      <c r="CM99" s="21">
        <f>EXP(-LN(2)/2)*CM98+(1-EXP(-LN(2)/2))/(LN(2)/2)*CG99*CJ99*VLOOKUP('Données projet'!$B$12,Paramètres!$A$1:$I$89,3,0)*0.475*44/12</f>
        <v>0.77353690349382576</v>
      </c>
      <c r="CN99" s="22">
        <f t="shared" si="66"/>
        <v>65.078167563618507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11.283999999999997</v>
      </c>
      <c r="CT99" s="12">
        <f>IF('Données projet'!$A$140&gt;35,CT98+CS99-DB98,IF(A99&lt;'Données projet'!$A$140,$CQ$205^A99,IF(A99='Données projet'!$A$140,'Données projet'!$B$140,CT98+CS99-DB98)))</f>
        <v>470.53399999999999</v>
      </c>
      <c r="CU99" s="17">
        <f>CT99*VLOOKUP('Données projet'!$B$13,Paramètres!$A$1:$I$89,3,0)*VLOOKUP('Données projet'!$B$13,Paramètres!$A$1:$I$89,5,0)</f>
        <v>477.12147600000003</v>
      </c>
      <c r="CV99" s="13">
        <f t="shared" si="95"/>
        <v>107.24785591797263</v>
      </c>
      <c r="CW99" s="20">
        <f t="shared" si="67"/>
        <v>1017.7765864238023</v>
      </c>
      <c r="CX99" s="59">
        <f t="shared" si="68"/>
        <v>1311.1099197571357</v>
      </c>
      <c r="CY99" s="59">
        <f ca="1">AVERAGE(OFFSET($CX$3,0,0,'Données projet'!$E$13+1,1))-AVERAGE(OFFSET($H$3,0,0,'Données projet'!$E$13+1,1))</f>
        <v>773.15074145293738</v>
      </c>
      <c r="CZ99" s="59">
        <f t="shared" si="96"/>
        <v>248.49577986312505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38.270798500362346</v>
      </c>
      <c r="DG99" s="21">
        <f>EXP(-LN(2)/25)*DG98+(1-EXP(-LN(2)/25))/(LN(2)/25)*Calculateur!DB99*Calculateur!DD99*VLOOKUP('Données projet'!$B$13,Paramètres!$A$1:$I$89,3,0)*0.475*44/12</f>
        <v>33.794735860122195</v>
      </c>
      <c r="DH99" s="21">
        <f>EXP(-LN(2)/2)*DH98+(1-EXP(-LN(2)/2))/(LN(2)/2)*DB99*DE99*VLOOKUP('Données projet'!$B$13,Paramètres!$A$1:$I$89,3,0)*0.475*44/12</f>
        <v>0.86689480563963262</v>
      </c>
      <c r="DI99" s="22">
        <f t="shared" si="69"/>
        <v>72.93242916612418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9.4258333333333351</v>
      </c>
      <c r="DO99" s="12">
        <f>IF('Données projet'!$A$166&gt;35,DO98+DN99-DW98,IF(A99&lt;'Données projet'!$A$166,$DL$205^A99,IF(A99='Données projet'!$A$166,'Données projet'!$B$166,DO98+DN99-DW98)))</f>
        <v>419.07250000000022</v>
      </c>
      <c r="DP99" s="17">
        <f>DO99*VLOOKUP('Données projet'!$B$14,Paramètres!$A$1:$I$89,3,0)*VLOOKUP('Données projet'!$B$14,Paramètres!$A$1:$I$89,5,0)</f>
        <v>196.1259300000001</v>
      </c>
      <c r="DQ99" s="13">
        <f t="shared" si="97"/>
        <v>48.891797571959543</v>
      </c>
      <c r="DR99" s="20">
        <f t="shared" si="70"/>
        <v>426.73920885449638</v>
      </c>
      <c r="DS99" s="59">
        <f t="shared" si="71"/>
        <v>720.07254218782964</v>
      </c>
      <c r="DT99" s="59">
        <f ca="1">AVERAGE(OFFSET($DS$3,0,0,'Données projet'!$E$14+1,1))-AVERAGE(OFFSET($H$3,0,0,'Données projet'!$E$14+1,1))</f>
        <v>293.15557501692803</v>
      </c>
      <c r="DU99" s="59">
        <f t="shared" si="98"/>
        <v>237.1930412773068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44.409539976291015</v>
      </c>
      <c r="EB99" s="21">
        <f>EXP(-LN(2)/25)*EB98+(1-EXP(-LN(2)/25))/(LN(2)/25)*Calculateur!DW99*Calculateur!DY99*VLOOKUP('Données projet'!$B$14,Paramètres!$A$1:$I$89,3,0)*0.475*44/12</f>
        <v>15.286816274224192</v>
      </c>
      <c r="EC99" s="21">
        <f>EXP(-LN(2)/2)*EC98+(1-EXP(-LN(2)/2))/(LN(2)/2)*DW99*DZ99*VLOOKUP('Données projet'!$B$14,Paramètres!$A$1:$I$89,3,0)*0.475*44/12</f>
        <v>0.44032032955048872</v>
      </c>
      <c r="ED99" s="22">
        <f t="shared" si="72"/>
        <v>60.136676580065696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-1.7053025658242404E-13</v>
      </c>
      <c r="EK99" s="17">
        <f>EJ99*VLOOKUP('Données projet'!$B$15,Paramètres!$A$1:$I$89,3,0)*VLOOKUP('Données projet'!$B$15,Paramètres!$A$1:$I$89,5,0)</f>
        <v>-1.0197709343628959E-13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225.86663363047296</v>
      </c>
      <c r="EP99" s="59">
        <f t="shared" si="100"/>
        <v>258.08349727304397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52.13367907950829</v>
      </c>
      <c r="EW99" s="21">
        <f>EXP(-LN(2)/25)*EW98+(1-EXP(-LN(2)/25))/(LN(2)/25)*Calculateur!ER99*Calculateur!ET99*VLOOKUP('Données projet'!$B$15,Paramètres!$A$1:$I$89,3,0)*0.475*44/12</f>
        <v>14.562406085826565</v>
      </c>
      <c r="EX99" s="21">
        <f>EXP(-LN(2)/2)*EX98+(1-EXP(-LN(2)/2))/(LN(2)/2)*ER99*EU99*VLOOKUP('Données projet'!$B$15,Paramètres!$A$1:$I$89,3,0)*0.475*44/12</f>
        <v>3.4117833128668692E-4</v>
      </c>
      <c r="EY99" s="22">
        <f t="shared" si="75"/>
        <v>66.696426343666133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388.12151914648013</v>
      </c>
      <c r="T100" s="59">
        <f t="shared" si="88"/>
        <v>481.43684454382793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79.037959061453904</v>
      </c>
      <c r="AA100" s="21">
        <f>EXP(-LN(2)/25)*AA99+(1-EXP(-LN(2)/25))/(LN(2)/25)*Calculateur!V100*Calculateur!X100*VLOOKUP('Données projet'!$B$9,Paramètres!$A$1:$I$89,3,0)*0.475*44/12</f>
        <v>19.786895263042044</v>
      </c>
      <c r="AB100" s="21">
        <f>EXP(-LN(2)/2)*AB99+(1-EXP(-LN(2)/2))/(LN(2)/2)*V100*Y100*VLOOKUP('Données projet'!$B$9,Paramètres!$A$1:$I$89,3,0)*0.475*44/12</f>
        <v>5.213013006199575E-5</v>
      </c>
      <c r="AC100" s="22">
        <f t="shared" si="57"/>
        <v>98.824906454626003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-1.3596945791505279E-13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349.71285006949597</v>
      </c>
      <c r="AO100" s="59">
        <f t="shared" si="90"/>
        <v>258.51550516456842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109.454953336426</v>
      </c>
      <c r="AV100" s="21">
        <f>EXP(-LN(2)/25)*AV99+(1-EXP(-LN(2)/25))/(LN(2)/25)*Calculateur!AQ100*Calculateur!AS100*VLOOKUP('Données projet'!$B$10,Paramètres!$A$1:$I$89,3,0)*0.475*44/12</f>
        <v>32.297040636451129</v>
      </c>
      <c r="AW100" s="21">
        <f>EXP(-LN(2)/2)*AW99+(1-EXP(-LN(2)/2))/(LN(2)/2)*AQ100*AT100*VLOOKUP('Données projet'!$B$10,Paramètres!$A$1:$I$89,3,0)*0.475*44/12</f>
        <v>0.19532897526359971</v>
      </c>
      <c r="AX100" s="21">
        <f t="shared" si="60"/>
        <v>141.94732294814074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1.9230769230769227</v>
      </c>
      <c r="BD100" s="12">
        <f>IF('Données projet'!$A$88&gt;35,BD99+BC100-BL99,IF(A100&lt;'Données projet'!$A$88,$BA$205^A100,IF(A100='Données projet'!$A$88,'Données projet'!$B$88,BD99+BC100-BL99)))</f>
        <v>148.07692307692312</v>
      </c>
      <c r="BE100" s="13">
        <f>BD100*VLOOKUP('Données projet'!$B$11,Paramètres!$A$1:$I$89,3,0)*VLOOKUP('Données projet'!$B$11,Paramètres!$A$1:$I$89,5,0)</f>
        <v>154.77000000000007</v>
      </c>
      <c r="BF100" s="13">
        <f t="shared" si="91"/>
        <v>39.660602363834606</v>
      </c>
      <c r="BG100" s="20">
        <f t="shared" si="61"/>
        <v>338.63329911701209</v>
      </c>
      <c r="BH100" s="59">
        <f t="shared" si="62"/>
        <v>631.9666324503454</v>
      </c>
      <c r="BI100" s="59">
        <f ca="1">AVERAGE(OFFSET($BH$3,0,0,'Données projet'!$E$11+1,1))-AVERAGE(OFFSET($H$3,0,0,'Données projet'!$E$11+1,1))</f>
        <v>260.74709892624571</v>
      </c>
      <c r="BJ100" s="59">
        <f t="shared" si="92"/>
        <v>237.17381692184887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2.6657157348449361</v>
      </c>
      <c r="BQ100" s="21">
        <f>EXP(-LN(2)/25)*BQ99+(1-EXP(-LN(2)/25))/(LN(2)/25)*Calculateur!BL100*Calculateur!BN100*VLOOKUP('Données projet'!$B$11,Paramètres!$A$1:$I$89,3,0)*0.475*44/12</f>
        <v>16.292827670620756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18.958543405465694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11.283999999999997</v>
      </c>
      <c r="BY100" s="12">
        <f>IF('Données projet'!$A$114&gt;35,BY99+BX100-CG99,IF(A100&lt;'Données projet'!$A$114,$BV$205^A100,IF(A100='Données projet'!$A$114,'Données projet'!$B$114,BY99+BX100-CG99)))</f>
        <v>481.81799999999998</v>
      </c>
      <c r="BZ100" s="13">
        <f>BY100*VLOOKUP('Données projet'!$B$12,Paramètres!$A$1:$I$89,3,0)*VLOOKUP('Données projet'!$B$12,Paramètres!$A$1:$I$89,5,0)</f>
        <v>435.9489264</v>
      </c>
      <c r="CA100" s="13">
        <f t="shared" si="93"/>
        <v>99.0278549926512</v>
      </c>
      <c r="CB100" s="20">
        <f t="shared" si="64"/>
        <v>931.75122759220085</v>
      </c>
      <c r="CC100" s="59">
        <f t="shared" si="65"/>
        <v>1225.0845609255341</v>
      </c>
      <c r="CD100" s="59">
        <f ca="1">AVERAGE(OFFSET($CC$3,0,0,'Données projet'!$E$12+1,1))-AVERAGE(OFFSET($H$3,0,0,'Données projet'!$E$12+1,1))</f>
        <v>695.0879239758051</v>
      </c>
      <c r="CE100" s="59">
        <f t="shared" si="94"/>
        <v>226.22150997227476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33.479680401689862</v>
      </c>
      <c r="CL100" s="21">
        <f>EXP(-LN(2)/25)*CL99+(1-EXP(-LN(2)/25))/(LN(2)/25)*Calculateur!CG100*Calculateur!CI100*VLOOKUP('Données projet'!$B$12,Paramètres!$A$1:$I$89,3,0)*0.475*44/12</f>
        <v>29.330704427518089</v>
      </c>
      <c r="CM100" s="21">
        <f>EXP(-LN(2)/2)*CM99+(1-EXP(-LN(2)/2))/(LN(2)/2)*CG100*CJ100*VLOOKUP('Données projet'!$B$12,Paramètres!$A$1:$I$89,3,0)*0.475*44/12</f>
        <v>0.54697318995852817</v>
      </c>
      <c r="CN100" s="22">
        <f t="shared" si="66"/>
        <v>63.357358019166476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11.283999999999997</v>
      </c>
      <c r="CT100" s="12">
        <f>IF('Données projet'!$A$140&gt;35,CT99+CS100-DB99,IF(A100&lt;'Données projet'!$A$140,$CQ$205^A100,IF(A100='Données projet'!$A$140,'Données projet'!$B$140,CT99+CS100-DB99)))</f>
        <v>481.81799999999998</v>
      </c>
      <c r="CU100" s="17">
        <f>CT100*VLOOKUP('Données projet'!$B$13,Paramètres!$A$1:$I$89,3,0)*VLOOKUP('Données projet'!$B$13,Paramètres!$A$1:$I$89,5,0)</f>
        <v>488.56345199999998</v>
      </c>
      <c r="CV100" s="13">
        <f t="shared" si="95"/>
        <v>109.5172774435449</v>
      </c>
      <c r="CW100" s="20">
        <f t="shared" si="67"/>
        <v>1041.6572704475072</v>
      </c>
      <c r="CX100" s="59">
        <f t="shared" si="68"/>
        <v>1334.9906037808405</v>
      </c>
      <c r="CY100" s="59">
        <f ca="1">AVERAGE(OFFSET($CX$3,0,0,'Données projet'!$E$13+1,1))-AVERAGE(OFFSET($H$3,0,0,'Données projet'!$E$13+1,1))</f>
        <v>773.15074145293738</v>
      </c>
      <c r="CZ100" s="59">
        <f t="shared" si="96"/>
        <v>248.49577986312505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37.520331484652409</v>
      </c>
      <c r="DG100" s="21">
        <f>EXP(-LN(2)/25)*DG99+(1-EXP(-LN(2)/25))/(LN(2)/25)*Calculateur!DB100*Calculateur!DD100*VLOOKUP('Données projet'!$B$13,Paramètres!$A$1:$I$89,3,0)*0.475*44/12</f>
        <v>32.870617030839234</v>
      </c>
      <c r="DH100" s="21">
        <f>EXP(-LN(2)/2)*DH99+(1-EXP(-LN(2)/2))/(LN(2)/2)*DB100*DE100*VLOOKUP('Données projet'!$B$13,Paramètres!$A$1:$I$89,3,0)*0.475*44/12</f>
        <v>0.61298719564317838</v>
      </c>
      <c r="DI100" s="22">
        <f t="shared" si="69"/>
        <v>71.003935711134815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9.4258333333333351</v>
      </c>
      <c r="DO100" s="12">
        <f>IF('Données projet'!$A$166&gt;35,DO99+DN100-DW99,IF(A100&lt;'Données projet'!$A$166,$DL$205^A100,IF(A100='Données projet'!$A$166,'Données projet'!$B$166,DO99+DN100-DW99)))</f>
        <v>428.49833333333356</v>
      </c>
      <c r="DP100" s="17">
        <f>DO100*VLOOKUP('Données projet'!$B$14,Paramètres!$A$1:$I$89,3,0)*VLOOKUP('Données projet'!$B$14,Paramètres!$A$1:$I$89,5,0)</f>
        <v>200.5372200000001</v>
      </c>
      <c r="DQ100" s="13">
        <f t="shared" si="97"/>
        <v>49.862213982600288</v>
      </c>
      <c r="DR100" s="20">
        <f t="shared" si="70"/>
        <v>436.11234751969567</v>
      </c>
      <c r="DS100" s="59">
        <f t="shared" si="71"/>
        <v>729.44568085302899</v>
      </c>
      <c r="DT100" s="59">
        <f ca="1">AVERAGE(OFFSET($DS$3,0,0,'Données projet'!$E$14+1,1))-AVERAGE(OFFSET($H$3,0,0,'Données projet'!$E$14+1,1))</f>
        <v>293.15557501692803</v>
      </c>
      <c r="DU100" s="59">
        <f t="shared" si="98"/>
        <v>237.1930412773068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43.538695984500698</v>
      </c>
      <c r="EB100" s="21">
        <f>EXP(-LN(2)/25)*EB99+(1-EXP(-LN(2)/25))/(LN(2)/25)*Calculateur!DW100*Calculateur!DY100*VLOOKUP('Données projet'!$B$14,Paramètres!$A$1:$I$89,3,0)*0.475*44/12</f>
        <v>14.868797479306801</v>
      </c>
      <c r="EC100" s="21">
        <f>EXP(-LN(2)/2)*EC99+(1-EXP(-LN(2)/2))/(LN(2)/2)*DW100*DZ100*VLOOKUP('Données projet'!$B$14,Paramètres!$A$1:$I$89,3,0)*0.475*44/12</f>
        <v>0.31135349091944592</v>
      </c>
      <c r="ED100" s="22">
        <f t="shared" si="72"/>
        <v>58.718846954726942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-1.7053025658242404E-13</v>
      </c>
      <c r="EK100" s="17">
        <f>EJ100*VLOOKUP('Données projet'!$B$15,Paramètres!$A$1:$I$89,3,0)*VLOOKUP('Données projet'!$B$15,Paramètres!$A$1:$I$89,5,0)</f>
        <v>-1.0197709343628959E-13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225.86663363047296</v>
      </c>
      <c r="EP100" s="59">
        <f t="shared" si="100"/>
        <v>258.08349727304397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51.111369431163538</v>
      </c>
      <c r="EW100" s="21">
        <f>EXP(-LN(2)/25)*EW99+(1-EXP(-LN(2)/25))/(LN(2)/25)*Calculateur!ER100*Calculateur!ET100*VLOOKUP('Données projet'!$B$15,Paramètres!$A$1:$I$89,3,0)*0.475*44/12</f>
        <v>14.164196325605984</v>
      </c>
      <c r="EX100" s="21">
        <f>EXP(-LN(2)/2)*EX99+(1-EXP(-LN(2)/2))/(LN(2)/2)*ER100*EU100*VLOOKUP('Données projet'!$B$15,Paramètres!$A$1:$I$89,3,0)*0.475*44/12</f>
        <v>2.4124951164672677E-4</v>
      </c>
      <c r="EY100" s="22">
        <f t="shared" si="75"/>
        <v>65.27580700628117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388.12151914648013</v>
      </c>
      <c r="T101" s="59">
        <f t="shared" si="88"/>
        <v>481.43684454382793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77.488072892653634</v>
      </c>
      <c r="AA101" s="21">
        <f>EXP(-LN(2)/25)*AA100+(1-EXP(-LN(2)/25))/(LN(2)/25)*Calculateur!V101*Calculateur!X101*VLOOKUP('Données projet'!$B$9,Paramètres!$A$1:$I$89,3,0)*0.475*44/12</f>
        <v>19.245821571526562</v>
      </c>
      <c r="AB101" s="21">
        <f>EXP(-LN(2)/2)*AB100+(1-EXP(-LN(2)/2))/(LN(2)/2)*V101*Y101*VLOOKUP('Données projet'!$B$9,Paramètres!$A$1:$I$89,3,0)*0.475*44/12</f>
        <v>3.6861568470973892E-5</v>
      </c>
      <c r="AC101" s="22">
        <f t="shared" si="57"/>
        <v>96.733931325748671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-1.3596945791505279E-13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349.71285006949597</v>
      </c>
      <c r="AO101" s="59">
        <f t="shared" si="90"/>
        <v>258.51550516456842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107.30860846242813</v>
      </c>
      <c r="AV101" s="21">
        <f>EXP(-LN(2)/25)*AV100+(1-EXP(-LN(2)/25))/(LN(2)/25)*Calculateur!AQ101*Calculateur!AS101*VLOOKUP('Données projet'!$B$10,Paramètres!$A$1:$I$89,3,0)*0.475*44/12</f>
        <v>31.41387636181982</v>
      </c>
      <c r="AW101" s="21">
        <f>EXP(-LN(2)/2)*AW100+(1-EXP(-LN(2)/2))/(LN(2)/2)*AQ101*AT101*VLOOKUP('Données projet'!$B$10,Paramètres!$A$1:$I$89,3,0)*0.475*44/12</f>
        <v>0.13811844297111076</v>
      </c>
      <c r="AX101" s="21">
        <f t="shared" si="60"/>
        <v>138.86060326721906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1.9230769230769227</v>
      </c>
      <c r="BD101" s="12">
        <f>IF('Données projet'!$A$88&gt;35,BD100+BC101-BL100,IF(A101&lt;'Données projet'!$A$88,$BA$205^A101,IF(A101='Données projet'!$A$88,'Données projet'!$B$88,BD100+BC101-BL100)))</f>
        <v>150.00000000000006</v>
      </c>
      <c r="BE101" s="13">
        <f>BD101*VLOOKUP('Données projet'!$B$11,Paramètres!$A$1:$I$89,3,0)*VLOOKUP('Données projet'!$B$11,Paramètres!$A$1:$I$89,5,0)</f>
        <v>156.78000000000006</v>
      </c>
      <c r="BF101" s="13">
        <f t="shared" si="91"/>
        <v>40.115378305457973</v>
      </c>
      <c r="BG101" s="20">
        <f t="shared" si="61"/>
        <v>342.92611721533939</v>
      </c>
      <c r="BH101" s="59">
        <f t="shared" si="62"/>
        <v>636.2594505486727</v>
      </c>
      <c r="BI101" s="59">
        <f ca="1">AVERAGE(OFFSET($BH$3,0,0,'Données projet'!$E$11+1,1))-AVERAGE(OFFSET($H$3,0,0,'Données projet'!$E$11+1,1))</f>
        <v>260.74709892624571</v>
      </c>
      <c r="BJ101" s="59">
        <f t="shared" si="92"/>
        <v>237.17381692184887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2.6134426752106781</v>
      </c>
      <c r="BQ101" s="21">
        <f>EXP(-LN(2)/25)*BQ100+(1-EXP(-LN(2)/25))/(LN(2)/25)*Calculateur!BL101*Calculateur!BN101*VLOOKUP('Données projet'!$B$11,Paramètres!$A$1:$I$89,3,0)*0.475*44/12</f>
        <v>15.847299441165061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18.460742116375741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11.283999999999997</v>
      </c>
      <c r="BY101" s="12">
        <f>IF('Données projet'!$A$114&gt;35,BY100+BX101-CG100,IF(A101&lt;'Données projet'!$A$114,$BV$205^A101,IF(A101='Données projet'!$A$114,'Données projet'!$B$114,BY100+BX101-CG100)))</f>
        <v>493.10199999999998</v>
      </c>
      <c r="BZ101" s="13">
        <f>BY101*VLOOKUP('Données projet'!$B$12,Paramètres!$A$1:$I$89,3,0)*VLOOKUP('Données projet'!$B$12,Paramètres!$A$1:$I$89,5,0)</f>
        <v>446.15868959999995</v>
      </c>
      <c r="CA101" s="13">
        <f t="shared" si="93"/>
        <v>101.07432734685769</v>
      </c>
      <c r="CB101" s="20">
        <f t="shared" si="64"/>
        <v>953.09750451577702</v>
      </c>
      <c r="CC101" s="59">
        <f t="shared" si="65"/>
        <v>1246.4308378491103</v>
      </c>
      <c r="CD101" s="59">
        <f ca="1">AVERAGE(OFFSET($CC$3,0,0,'Données projet'!$E$12+1,1))-AVERAGE(OFFSET($H$3,0,0,'Données projet'!$E$12+1,1))</f>
        <v>695.0879239758051</v>
      </c>
      <c r="CE101" s="59">
        <f t="shared" si="94"/>
        <v>226.22150997227476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32.823164289601401</v>
      </c>
      <c r="CL101" s="21">
        <f>EXP(-LN(2)/25)*CL100+(1-EXP(-LN(2)/25))/(LN(2)/25)*Calculateur!CG101*Calculateur!CI101*VLOOKUP('Données projet'!$B$12,Paramètres!$A$1:$I$89,3,0)*0.475*44/12</f>
        <v>28.528654772512898</v>
      </c>
      <c r="CM101" s="21">
        <f>EXP(-LN(2)/2)*CM100+(1-EXP(-LN(2)/2))/(LN(2)/2)*CG101*CJ101*VLOOKUP('Données projet'!$B$12,Paramètres!$A$1:$I$89,3,0)*0.475*44/12</f>
        <v>0.38676845174691288</v>
      </c>
      <c r="CN101" s="22">
        <f t="shared" si="66"/>
        <v>61.738587513861212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11.283999999999997</v>
      </c>
      <c r="CT101" s="12">
        <f>IF('Données projet'!$A$140&gt;35,CT100+CS101-DB100,IF(A101&lt;'Données projet'!$A$140,$CQ$205^A101,IF(A101='Données projet'!$A$140,'Données projet'!$B$140,CT100+CS101-DB100)))</f>
        <v>493.10199999999998</v>
      </c>
      <c r="CU101" s="17">
        <f>CT101*VLOOKUP('Données projet'!$B$13,Paramètres!$A$1:$I$89,3,0)*VLOOKUP('Données projet'!$B$13,Paramètres!$A$1:$I$89,5,0)</f>
        <v>500.00542799999999</v>
      </c>
      <c r="CV101" s="13">
        <f t="shared" si="95"/>
        <v>111.78052025146818</v>
      </c>
      <c r="CW101" s="20">
        <f t="shared" si="67"/>
        <v>1065.5271932046405</v>
      </c>
      <c r="CX101" s="59">
        <f t="shared" si="68"/>
        <v>1358.8605265379738</v>
      </c>
      <c r="CY101" s="59">
        <f ca="1">AVERAGE(OFFSET($CX$3,0,0,'Données projet'!$E$13+1,1))-AVERAGE(OFFSET($H$3,0,0,'Données projet'!$E$13+1,1))</f>
        <v>773.15074145293738</v>
      </c>
      <c r="CZ101" s="59">
        <f t="shared" si="96"/>
        <v>248.49577986312505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36.784580669380858</v>
      </c>
      <c r="DG101" s="21">
        <f>EXP(-LN(2)/25)*DG100+(1-EXP(-LN(2)/25))/(LN(2)/25)*Calculateur!DB101*Calculateur!DD101*VLOOKUP('Données projet'!$B$13,Paramètres!$A$1:$I$89,3,0)*0.475*44/12</f>
        <v>31.971768279540314</v>
      </c>
      <c r="DH101" s="21">
        <f>EXP(-LN(2)/2)*DH100+(1-EXP(-LN(2)/2))/(LN(2)/2)*DB101*DE101*VLOOKUP('Données projet'!$B$13,Paramètres!$A$1:$I$89,3,0)*0.475*44/12</f>
        <v>0.43344740281981636</v>
      </c>
      <c r="DI101" s="22">
        <f t="shared" si="69"/>
        <v>69.189796351740995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9.4258333333333351</v>
      </c>
      <c r="DO101" s="12">
        <f>IF('Données projet'!$A$166&gt;35,DO100+DN101-DW100,IF(A101&lt;'Données projet'!$A$166,$DL$205^A101,IF(A101='Données projet'!$A$166,'Données projet'!$B$166,DO100+DN101-DW100)))</f>
        <v>437.92416666666691</v>
      </c>
      <c r="DP101" s="17">
        <f>DO101*VLOOKUP('Données projet'!$B$14,Paramètres!$A$1:$I$89,3,0)*VLOOKUP('Données projet'!$B$14,Paramètres!$A$1:$I$89,5,0)</f>
        <v>204.94851000000008</v>
      </c>
      <c r="DQ101" s="13">
        <f t="shared" si="97"/>
        <v>50.83014861559694</v>
      </c>
      <c r="DR101" s="20">
        <f t="shared" si="70"/>
        <v>445.48116375549813</v>
      </c>
      <c r="DS101" s="59">
        <f t="shared" si="71"/>
        <v>738.81449708883144</v>
      </c>
      <c r="DT101" s="59">
        <f ca="1">AVERAGE(OFFSET($DS$3,0,0,'Données projet'!$E$14+1,1))-AVERAGE(OFFSET($H$3,0,0,'Données projet'!$E$14+1,1))</f>
        <v>293.15557501692803</v>
      </c>
      <c r="DU101" s="59">
        <f t="shared" si="98"/>
        <v>237.1930412773068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42.684928712227006</v>
      </c>
      <c r="EB101" s="21">
        <f>EXP(-LN(2)/25)*EB100+(1-EXP(-LN(2)/25))/(LN(2)/25)*Calculateur!DW101*Calculateur!DY101*VLOOKUP('Données projet'!$B$14,Paramètres!$A$1:$I$89,3,0)*0.475*44/12</f>
        <v>14.46220943031908</v>
      </c>
      <c r="EC101" s="21">
        <f>EXP(-LN(2)/2)*EC100+(1-EXP(-LN(2)/2))/(LN(2)/2)*DW101*DZ101*VLOOKUP('Données projet'!$B$14,Paramètres!$A$1:$I$89,3,0)*0.475*44/12</f>
        <v>0.22016016477524436</v>
      </c>
      <c r="ED101" s="22">
        <f t="shared" si="72"/>
        <v>57.367298307321327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-1.7053025658242404E-13</v>
      </c>
      <c r="EK101" s="17">
        <f>EJ101*VLOOKUP('Données projet'!$B$15,Paramètres!$A$1:$I$89,3,0)*VLOOKUP('Données projet'!$B$15,Paramètres!$A$1:$I$89,5,0)</f>
        <v>-1.0197709343628959E-13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225.86663363047296</v>
      </c>
      <c r="EP101" s="59">
        <f t="shared" si="100"/>
        <v>258.08349727304397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50.109106651475514</v>
      </c>
      <c r="EW101" s="21">
        <f>EXP(-LN(2)/25)*EW100+(1-EXP(-LN(2)/25))/(LN(2)/25)*Calculateur!ER101*Calculateur!ET101*VLOOKUP('Données projet'!$B$15,Paramètres!$A$1:$I$89,3,0)*0.475*44/12</f>
        <v>13.776875632219577</v>
      </c>
      <c r="EX101" s="21">
        <f>EXP(-LN(2)/2)*EX100+(1-EXP(-LN(2)/2))/(LN(2)/2)*ER101*EU101*VLOOKUP('Données projet'!$B$15,Paramètres!$A$1:$I$89,3,0)*0.475*44/12</f>
        <v>1.7058916564334349E-4</v>
      </c>
      <c r="EY101" s="22">
        <f t="shared" si="75"/>
        <v>63.886152872860734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388.12151914648013</v>
      </c>
      <c r="T102" s="59">
        <f t="shared" si="88"/>
        <v>481.43684454382793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75.968579046286322</v>
      </c>
      <c r="AA102" s="21">
        <f>EXP(-LN(2)/25)*AA101+(1-EXP(-LN(2)/25))/(LN(2)/25)*Calculateur!V102*Calculateur!X102*VLOOKUP('Données projet'!$B$9,Paramètres!$A$1:$I$89,3,0)*0.475*44/12</f>
        <v>18.719543568559398</v>
      </c>
      <c r="AB102" s="21">
        <f>EXP(-LN(2)/2)*AB101+(1-EXP(-LN(2)/2))/(LN(2)/2)*V102*Y102*VLOOKUP('Données projet'!$B$9,Paramètres!$A$1:$I$89,3,0)*0.475*44/12</f>
        <v>2.6065065030997875E-5</v>
      </c>
      <c r="AC102" s="22">
        <f t="shared" si="57"/>
        <v>94.688148679910753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-1.3596945791505279E-13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349.71285006949597</v>
      </c>
      <c r="AO102" s="59">
        <f t="shared" si="90"/>
        <v>258.51550516456842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105.20435210226825</v>
      </c>
      <c r="AV102" s="21">
        <f>EXP(-LN(2)/25)*AV101+(1-EXP(-LN(2)/25))/(LN(2)/25)*Calculateur!AQ102*Calculateur!AS102*VLOOKUP('Données projet'!$B$10,Paramètres!$A$1:$I$89,3,0)*0.475*44/12</f>
        <v>30.554862260721897</v>
      </c>
      <c r="AW102" s="21">
        <f>EXP(-LN(2)/2)*AW101+(1-EXP(-LN(2)/2))/(LN(2)/2)*AQ102*AT102*VLOOKUP('Données projet'!$B$10,Paramètres!$A$1:$I$89,3,0)*0.475*44/12</f>
        <v>9.7664487631799857E-2</v>
      </c>
      <c r="AX102" s="21">
        <f t="shared" si="60"/>
        <v>135.85687885062194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1.9230769230769227</v>
      </c>
      <c r="BD102" s="12">
        <f>IF('Données projet'!$A$88&gt;35,BD101+BC102-BL101,IF(A102&lt;'Données projet'!$A$88,$BA$205^A102,IF(A102='Données projet'!$A$88,'Données projet'!$B$88,BD101+BC102-BL101)))</f>
        <v>151.92307692307699</v>
      </c>
      <c r="BE102" s="13">
        <f>BD102*VLOOKUP('Données projet'!$B$11,Paramètres!$A$1:$I$89,3,0)*VLOOKUP('Données projet'!$B$11,Paramètres!$A$1:$I$89,5,0)</f>
        <v>158.79000000000008</v>
      </c>
      <c r="BF102" s="13">
        <f t="shared" si="91"/>
        <v>40.569476067936968</v>
      </c>
      <c r="BG102" s="20">
        <f t="shared" si="61"/>
        <v>347.21775415165695</v>
      </c>
      <c r="BH102" s="59">
        <f t="shared" si="62"/>
        <v>640.55108748499026</v>
      </c>
      <c r="BI102" s="59">
        <f ca="1">AVERAGE(OFFSET($BH$3,0,0,'Données projet'!$E$11+1,1))-AVERAGE(OFFSET($H$3,0,0,'Données projet'!$E$11+1,1))</f>
        <v>260.74709892624571</v>
      </c>
      <c r="BJ102" s="59">
        <f t="shared" si="92"/>
        <v>237.17381692184887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2.5621946583924298</v>
      </c>
      <c r="BQ102" s="21">
        <f>EXP(-LN(2)/25)*BQ101+(1-EXP(-LN(2)/25))/(LN(2)/25)*Calculateur!BL102*Calculateur!BN102*VLOOKUP('Données projet'!$B$11,Paramètres!$A$1:$I$89,3,0)*0.475*44/12</f>
        <v>15.413954204573145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17.976148862965573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11.283999999999997</v>
      </c>
      <c r="BY102" s="12">
        <f>IF('Données projet'!$A$114&gt;35,BY101+BX102-CG101,IF(A102&lt;'Données projet'!$A$114,$BV$205^A102,IF(A102='Données projet'!$A$114,'Données projet'!$B$114,BY101+BX102-CG101)))</f>
        <v>504.38599999999997</v>
      </c>
      <c r="BZ102" s="13">
        <f>BY102*VLOOKUP('Données projet'!$B$12,Paramètres!$A$1:$I$89,3,0)*VLOOKUP('Données projet'!$B$12,Paramètres!$A$1:$I$89,5,0)</f>
        <v>456.36845279999994</v>
      </c>
      <c r="CA102" s="13">
        <f t="shared" si="93"/>
        <v>103.11535533948117</v>
      </c>
      <c r="CB102" s="20">
        <f t="shared" si="64"/>
        <v>974.43429917626281</v>
      </c>
      <c r="CC102" s="59">
        <f t="shared" si="65"/>
        <v>1267.7676325095961</v>
      </c>
      <c r="CD102" s="59">
        <f ca="1">AVERAGE(OFFSET($CC$3,0,0,'Données projet'!$E$12+1,1))-AVERAGE(OFFSET($H$3,0,0,'Données projet'!$E$12+1,1))</f>
        <v>695.0879239758051</v>
      </c>
      <c r="CE102" s="59">
        <f t="shared" si="94"/>
        <v>226.22150997227476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32.179522058035708</v>
      </c>
      <c r="CL102" s="21">
        <f>EXP(-LN(2)/25)*CL101+(1-EXP(-LN(2)/25))/(LN(2)/25)*Calculateur!CG102*Calculateur!CI102*VLOOKUP('Données projet'!$B$12,Paramètres!$A$1:$I$89,3,0)*0.475*44/12</f>
        <v>27.74853720750178</v>
      </c>
      <c r="CM102" s="21">
        <f>EXP(-LN(2)/2)*CM101+(1-EXP(-LN(2)/2))/(LN(2)/2)*CG102*CJ102*VLOOKUP('Données projet'!$B$12,Paramètres!$A$1:$I$89,3,0)*0.475*44/12</f>
        <v>0.27348659497926409</v>
      </c>
      <c r="CN102" s="22">
        <f t="shared" si="66"/>
        <v>60.201545860516745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11.283999999999997</v>
      </c>
      <c r="CT102" s="12">
        <f>IF('Données projet'!$A$140&gt;35,CT101+CS102-DB101,IF(A102&lt;'Données projet'!$A$140,$CQ$205^A102,IF(A102='Données projet'!$A$140,'Données projet'!$B$140,CT101+CS102-DB101)))</f>
        <v>504.38599999999997</v>
      </c>
      <c r="CU102" s="17">
        <f>CT102*VLOOKUP('Données projet'!$B$13,Paramètres!$A$1:$I$89,3,0)*VLOOKUP('Données projet'!$B$13,Paramètres!$A$1:$I$89,5,0)</f>
        <v>511.44740399999995</v>
      </c>
      <c r="CV102" s="13">
        <f t="shared" si="95"/>
        <v>114.03774200947521</v>
      </c>
      <c r="CW102" s="20">
        <f t="shared" si="67"/>
        <v>1089.3866292998357</v>
      </c>
      <c r="CX102" s="59">
        <f t="shared" si="68"/>
        <v>1382.719962633169</v>
      </c>
      <c r="CY102" s="59">
        <f ca="1">AVERAGE(OFFSET($CX$3,0,0,'Données projet'!$E$13+1,1))-AVERAGE(OFFSET($H$3,0,0,'Données projet'!$E$13+1,1))</f>
        <v>773.15074145293738</v>
      </c>
      <c r="CZ102" s="59">
        <f t="shared" si="96"/>
        <v>248.49577986312505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36.063257478833101</v>
      </c>
      <c r="DG102" s="21">
        <f>EXP(-LN(2)/25)*DG101+(1-EXP(-LN(2)/25))/(LN(2)/25)*Calculateur!DB102*Calculateur!DD102*VLOOKUP('Données projet'!$B$13,Paramètres!$A$1:$I$89,3,0)*0.475*44/12</f>
        <v>31.097498594614063</v>
      </c>
      <c r="DH102" s="21">
        <f>EXP(-LN(2)/2)*DH101+(1-EXP(-LN(2)/2))/(LN(2)/2)*DB102*DE102*VLOOKUP('Données projet'!$B$13,Paramètres!$A$1:$I$89,3,0)*0.475*44/12</f>
        <v>0.30649359782158925</v>
      </c>
      <c r="DI102" s="22">
        <f t="shared" si="69"/>
        <v>67.467249671268746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447.35</v>
      </c>
      <c r="DM102" s="12">
        <f>VLOOKUP(A102,'Données projet'!$A$165:$I$185,9,0)</f>
        <v>9.4258333333333351</v>
      </c>
      <c r="DN102" s="12">
        <f t="array" ref="DN102">INDEX(DM:DM,MIN(IF(ISNUMBER(DM102:DM298),ROW(DM102:DM298),"")))</f>
        <v>9.4258333333333351</v>
      </c>
      <c r="DO102" s="12">
        <f>IF('Données projet'!$A$166&gt;35,DO101+DN102-DW101,IF(A102&lt;'Données projet'!$A$166,$DL$205^A102,IF(A102='Données projet'!$A$166,'Données projet'!$B$166,DO101+DN102-DW101)))</f>
        <v>447.35000000000025</v>
      </c>
      <c r="DP102" s="17">
        <f>DO102*VLOOKUP('Données projet'!$B$14,Paramètres!$A$1:$I$89,3,0)*VLOOKUP('Données projet'!$B$14,Paramètres!$A$1:$I$89,5,0)</f>
        <v>209.35980000000012</v>
      </c>
      <c r="DQ102" s="13">
        <f t="shared" si="97"/>
        <v>51.795661040915135</v>
      </c>
      <c r="DR102" s="20">
        <f t="shared" si="70"/>
        <v>454.84576131292738</v>
      </c>
      <c r="DS102" s="59">
        <f t="shared" si="71"/>
        <v>748.17909464626064</v>
      </c>
      <c r="DT102" s="59">
        <f ca="1">AVERAGE(OFFSET($DS$3,0,0,'Données projet'!$E$14+1,1))-AVERAGE(OFFSET($H$3,0,0,'Données projet'!$E$14+1,1))</f>
        <v>293.15557501692803</v>
      </c>
      <c r="DU102" s="59">
        <f t="shared" si="98"/>
        <v>237.1930412773068</v>
      </c>
      <c r="DV102" s="15">
        <f>IF(ISNA(VLOOKUP(A102,'Données projet'!$A$165:$I$185,3,0)),0,VLOOKUP(A102,'Données projet'!$A$165:$I$185,3,0))</f>
        <v>5</v>
      </c>
      <c r="DW102" s="15">
        <f>IF(ISNA(VLOOKUP(A102,'Données projet'!$A$165:$I$185,4,0)),0,VLOOKUP(A102,'Données projet'!$A$165:$I$185,4,0))</f>
        <v>222.86</v>
      </c>
      <c r="DX102" s="16">
        <f>IF(ISNA(VLOOKUP(A102,'Données projet'!$A$165:$I$185,5,0)),0%,VLOOKUP(A102,'Données projet'!$A$165:$I$185,5,0)*VLOOKUP('Données projet'!$B$14,Paramètres!$A$1:$I$89,7,0))</f>
        <v>0.33</v>
      </c>
      <c r="DY102" s="16">
        <f>IF(ISNA(VLOOKUP(A102,'Données projet'!$A$165:$I$185,6,0)),0%,VLOOKUP(A102,'Données projet'!$A$165:$I$185,6,0)*VLOOKUP('Données projet'!$B$14,Paramètres!$A$1:$I$89,7,0))</f>
        <v>0.11000000000000001</v>
      </c>
      <c r="DZ102" s="16">
        <f>IF(ISNA(VLOOKUP(A102,'Données projet'!$A$165:$I$185,7,0)),0%,VLOOKUP(A102,'Données projet'!$A$165:$I$185,7,0))</f>
        <v>0.2</v>
      </c>
      <c r="EA102" s="21">
        <f>EXP(-LN(2)/35)*EA101+(1-EXP(-LN(2)/35))/(LN(2)/35)*DW102*DX102*VLOOKUP('Données projet'!$B$14,Paramètres!$A$1:$I$89,3,0)*0.475*44/12</f>
        <v>87.506259882458664</v>
      </c>
      <c r="EB102" s="21">
        <f>EXP(-LN(2)/25)*EB101+(1-EXP(-LN(2)/25))/(LN(2)/25)*Calculateur!DW102*Calculateur!DY102*VLOOKUP('Données projet'!$B$14,Paramètres!$A$1:$I$89,3,0)*0.475*44/12</f>
        <v>29.226266966233041</v>
      </c>
      <c r="EC102" s="21">
        <f>EXP(-LN(2)/2)*EC101+(1-EXP(-LN(2)/2))/(LN(2)/2)*DW102*DZ102*VLOOKUP('Données projet'!$B$14,Paramètres!$A$1:$I$89,3,0)*0.475*44/12</f>
        <v>23.773698273243351</v>
      </c>
      <c r="ED102" s="22">
        <f t="shared" si="72"/>
        <v>140.50622512193505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-1.7053025658242404E-13</v>
      </c>
      <c r="EK102" s="17">
        <f>EJ102*VLOOKUP('Données projet'!$B$15,Paramètres!$A$1:$I$89,3,0)*VLOOKUP('Données projet'!$B$15,Paramètres!$A$1:$I$89,5,0)</f>
        <v>-1.0197709343628959E-13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225.86663363047296</v>
      </c>
      <c r="EP102" s="59">
        <f t="shared" si="100"/>
        <v>258.08349727304397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49.126497633577237</v>
      </c>
      <c r="EW102" s="21">
        <f>EXP(-LN(2)/25)*EW101+(1-EXP(-LN(2)/25))/(LN(2)/25)*Calculateur!ER102*Calculateur!ET102*VLOOKUP('Données projet'!$B$15,Paramètres!$A$1:$I$89,3,0)*0.475*44/12</f>
        <v>13.40014624356213</v>
      </c>
      <c r="EX102" s="21">
        <f>EXP(-LN(2)/2)*EX101+(1-EXP(-LN(2)/2))/(LN(2)/2)*ER102*EU102*VLOOKUP('Données projet'!$B$15,Paramètres!$A$1:$I$89,3,0)*0.475*44/12</f>
        <v>1.206247558233634E-4</v>
      </c>
      <c r="EY102" s="22">
        <f t="shared" si="75"/>
        <v>62.526764501895187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388.12151914648013</v>
      </c>
      <c r="T103" s="59">
        <f t="shared" si="88"/>
        <v>481.43684454382793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74.478881547446534</v>
      </c>
      <c r="AA103" s="21">
        <f>EXP(-LN(2)/25)*AA102+(1-EXP(-LN(2)/25))/(LN(2)/25)*Calculateur!V103*Calculateur!X103*VLOOKUP('Données projet'!$B$9,Paramètres!$A$1:$I$89,3,0)*0.475*44/12</f>
        <v>18.20765666525913</v>
      </c>
      <c r="AB103" s="21">
        <f>EXP(-LN(2)/2)*AB102+(1-EXP(-LN(2)/2))/(LN(2)/2)*V103*Y103*VLOOKUP('Données projet'!$B$9,Paramètres!$A$1:$I$89,3,0)*0.475*44/12</f>
        <v>1.8430784235486946E-5</v>
      </c>
      <c r="AC103" s="22">
        <f t="shared" si="57"/>
        <v>92.686556643489908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-1.3596945791505279E-13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349.71285006949597</v>
      </c>
      <c r="AO103" s="59">
        <f t="shared" si="90"/>
        <v>258.51550516456842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103.14135892586145</v>
      </c>
      <c r="AV103" s="21">
        <f>EXP(-LN(2)/25)*AV102+(1-EXP(-LN(2)/25))/(LN(2)/25)*Calculateur!AQ103*Calculateur!AS103*VLOOKUP('Données projet'!$B$10,Paramètres!$A$1:$I$89,3,0)*0.475*44/12</f>
        <v>29.719337945392084</v>
      </c>
      <c r="AW103" s="21">
        <f>EXP(-LN(2)/2)*AW102+(1-EXP(-LN(2)/2))/(LN(2)/2)*AQ103*AT103*VLOOKUP('Données projet'!$B$10,Paramètres!$A$1:$I$89,3,0)*0.475*44/12</f>
        <v>6.9059221485555378E-2</v>
      </c>
      <c r="AX103" s="21">
        <f t="shared" si="60"/>
        <v>132.9297560927391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153.84615384615384</v>
      </c>
      <c r="BB103" s="12">
        <f>VLOOKUP(A103,'Données projet'!$A$87:$I$107,9,0)</f>
        <v>1.9230769230769227</v>
      </c>
      <c r="BC103" s="12">
        <f t="array" ref="BC103">INDEX(BB:BB,MIN(IF(ISNUMBER(BB103:BB299),ROW(BB103:BB299),"")))</f>
        <v>1.9230769230769227</v>
      </c>
      <c r="BD103" s="12">
        <f>IF('Données projet'!$A$88&gt;35,BD102+BC103-BL102,IF(A103&lt;'Données projet'!$A$88,$BA$205^A103,IF(A103='Données projet'!$A$88,'Données projet'!$B$88,BD102+BC103-BL102)))</f>
        <v>153.84615384615392</v>
      </c>
      <c r="BE103" s="13">
        <f>BD103*VLOOKUP('Données projet'!$B$11,Paramètres!$A$1:$I$89,3,0)*VLOOKUP('Données projet'!$B$11,Paramètres!$A$1:$I$89,5,0)</f>
        <v>160.8000000000001</v>
      </c>
      <c r="BF103" s="13">
        <f t="shared" si="91"/>
        <v>41.022905228516315</v>
      </c>
      <c r="BG103" s="20">
        <f t="shared" si="61"/>
        <v>351.50822660633276</v>
      </c>
      <c r="BH103" s="59">
        <f t="shared" si="62"/>
        <v>644.84155993966601</v>
      </c>
      <c r="BI103" s="59">
        <f ca="1">AVERAGE(OFFSET($BH$3,0,0,'Données projet'!$E$11+1,1))-AVERAGE(OFFSET($H$3,0,0,'Données projet'!$E$11+1,1))</f>
        <v>260.74709892624571</v>
      </c>
      <c r="BJ103" s="59">
        <f t="shared" si="92"/>
        <v>237.17381692184887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153.84615384615384</v>
      </c>
      <c r="BM103" s="16">
        <f>IF(ISNA(VLOOKUP(A103,'Données projet'!$A$87:$I$107,5,0)),0%,VLOOKUP(A103,'Données projet'!$A$87:$I$107,5,0)*VLOOKUP('Données projet'!$B$11,Paramètres!$A$1:$I$89,7,0))</f>
        <v>8.6000000000000007E-2</v>
      </c>
      <c r="BN103" s="16">
        <f>IF(ISNA(VLOOKUP(A103,'Données projet'!$A$87:$I$107,6,0)),0%,VLOOKUP(A103,'Données projet'!$A$87:$I$107,6,0)*VLOOKUP('Données projet'!$B$11,Paramètres!$A$1:$I$89,7,0))</f>
        <v>0.17200000000000001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17.799280368411043</v>
      </c>
      <c r="BQ103" s="21">
        <f>EXP(-LN(2)/25)*BQ102+(1-EXP(-LN(2)/25))/(LN(2)/25)*Calculateur!BL103*Calculateur!BN103*VLOOKUP('Données projet'!$B$11,Paramètres!$A$1:$I$89,3,0)*0.475*44/12</f>
        <v>45.446732308528091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63.246012676939131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515.66999999999996</v>
      </c>
      <c r="BW103" s="12">
        <f>VLOOKUP(A103,'Données projet'!$A$113:$I$133,9,0)</f>
        <v>11.283999999999997</v>
      </c>
      <c r="BX103" s="12">
        <f t="array" ref="BX103">INDEX(BW:BW,MIN(IF(ISNUMBER(BW103:BW299),ROW(BW103:BW299),"")))</f>
        <v>11.283999999999997</v>
      </c>
      <c r="BY103" s="12">
        <f>IF('Données projet'!$A$114&gt;35,BY102+BX103-CG102,IF(A103&lt;'Données projet'!$A$114,$BV$205^A103,IF(A103='Données projet'!$A$114,'Données projet'!$B$114,BY102+BX103-CG102)))</f>
        <v>515.66999999999996</v>
      </c>
      <c r="BZ103" s="13">
        <f>BY103*VLOOKUP('Données projet'!$B$12,Paramètres!$A$1:$I$89,3,0)*VLOOKUP('Données projet'!$B$12,Paramètres!$A$1:$I$89,5,0)</f>
        <v>466.57821599999988</v>
      </c>
      <c r="CA103" s="13">
        <f t="shared" si="93"/>
        <v>105.15107479395371</v>
      </c>
      <c r="CB103" s="20">
        <f t="shared" si="64"/>
        <v>995.76184813280258</v>
      </c>
      <c r="CC103" s="59">
        <f t="shared" si="65"/>
        <v>1289.095181466136</v>
      </c>
      <c r="CD103" s="59">
        <f ca="1">AVERAGE(OFFSET($CC$3,0,0,'Données projet'!$E$12+1,1))-AVERAGE(OFFSET($H$3,0,0,'Données projet'!$E$12+1,1))</f>
        <v>695.0879239758051</v>
      </c>
      <c r="CE103" s="59">
        <f t="shared" si="94"/>
        <v>226.22150997227476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93.039999999999964</v>
      </c>
      <c r="CH103" s="16">
        <f>IF(ISNA(VLOOKUP(A103,'Données projet'!$A$113:$I$133,5,0)),0%,VLOOKUP(A103,'Données projet'!$A$113:$I$133,5,0)*VLOOKUP('Données projet'!$B$12,Paramètres!$A$1:$I$89,7,0))</f>
        <v>0.215</v>
      </c>
      <c r="CI103" s="16">
        <f>IF(ISNA(VLOOKUP(A103,'Données projet'!$A$113:$I$133,6,0)),0%,VLOOKUP(A103,'Données projet'!$A$113:$I$133,6,0)*VLOOKUP('Données projet'!$B$12,Paramètres!$A$1:$I$89,7,0))</f>
        <v>8.6000000000000007E-2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51.556694072634123</v>
      </c>
      <c r="CL103" s="21">
        <f>EXP(-LN(2)/25)*CL102+(1-EXP(-LN(2)/25))/(LN(2)/25)*Calculateur!CG103*Calculateur!CI103*VLOOKUP('Données projet'!$B$12,Paramètres!$A$1:$I$89,3,0)*0.475*44/12</f>
        <v>34.961517172632867</v>
      </c>
      <c r="CM103" s="21">
        <f>EXP(-LN(2)/2)*CM102+(1-EXP(-LN(2)/2))/(LN(2)/2)*CG103*CJ103*VLOOKUP('Données projet'!$B$12,Paramètres!$A$1:$I$89,3,0)*0.475*44/12</f>
        <v>0.19338422587345644</v>
      </c>
      <c r="CN103" s="22">
        <f t="shared" si="66"/>
        <v>86.711595471140456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515.66999999999996</v>
      </c>
      <c r="CR103" s="12">
        <f>VLOOKUP(A103,'Données projet'!$A$139:$I$159,9,0)</f>
        <v>11.283999999999997</v>
      </c>
      <c r="CS103" s="12">
        <f t="array" ref="CS103">INDEX(CR:CR,MIN(IF(ISNUMBER(CR103:CR299),ROW(CR103:CR299),"")))</f>
        <v>11.283999999999997</v>
      </c>
      <c r="CT103" s="12">
        <f>IF('Données projet'!$A$140&gt;35,CT102+CS103-DB102,IF(A103&lt;'Données projet'!$A$140,$CQ$205^A103,IF(A103='Données projet'!$A$140,'Données projet'!$B$140,CT102+CS103-DB102)))</f>
        <v>515.66999999999996</v>
      </c>
      <c r="CU103" s="17">
        <f>CT103*VLOOKUP('Données projet'!$B$13,Paramètres!$A$1:$I$89,3,0)*VLOOKUP('Données projet'!$B$13,Paramètres!$A$1:$I$89,5,0)</f>
        <v>522.88937999999996</v>
      </c>
      <c r="CV103" s="13">
        <f t="shared" si="95"/>
        <v>116.28909292795412</v>
      </c>
      <c r="CW103" s="20">
        <f t="shared" si="67"/>
        <v>1113.23584034952</v>
      </c>
      <c r="CX103" s="59">
        <f t="shared" si="68"/>
        <v>1406.5691736828533</v>
      </c>
      <c r="CY103" s="59">
        <f ca="1">AVERAGE(OFFSET($CX$3,0,0,'Données projet'!$E$13+1,1))-AVERAGE(OFFSET($H$3,0,0,'Données projet'!$E$13+1,1))</f>
        <v>773.15074145293738</v>
      </c>
      <c r="CZ103" s="59">
        <f t="shared" si="96"/>
        <v>248.49577986312505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93.039999999999964</v>
      </c>
      <c r="DC103" s="16">
        <f>IF(ISNA(VLOOKUP(A103,'Données projet'!$A$139:$I$159,5,0)),0%,VLOOKUP(A103,'Données projet'!$A$139:$I$159,5,0)*VLOOKUP('Données projet'!$B$13,Paramètres!$A$1:$I$89,7,0))</f>
        <v>0.215</v>
      </c>
      <c r="DD103" s="16">
        <f>IF(ISNA(VLOOKUP(A103,'Données projet'!$A$139:$I$159,6,0)),0%,VLOOKUP(A103,'Données projet'!$A$139:$I$159,6,0)*VLOOKUP('Données projet'!$B$13,Paramètres!$A$1:$I$89,7,0))</f>
        <v>8.6000000000000007E-2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57.779053702089946</v>
      </c>
      <c r="DG103" s="21">
        <f>EXP(-LN(2)/25)*DG102+(1-EXP(-LN(2)/25))/(LN(2)/25)*Calculateur!DB103*Calculateur!DD103*VLOOKUP('Données projet'!$B$13,Paramètres!$A$1:$I$89,3,0)*0.475*44/12</f>
        <v>39.181010624502349</v>
      </c>
      <c r="DH103" s="21">
        <f>EXP(-LN(2)/2)*DH102+(1-EXP(-LN(2)/2))/(LN(2)/2)*DB103*DE103*VLOOKUP('Données projet'!$B$13,Paramètres!$A$1:$I$89,3,0)*0.475*44/12</f>
        <v>0.21672370140990821</v>
      </c>
      <c r="DI103" s="22">
        <f t="shared" si="69"/>
        <v>97.176788028002193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6.5620000000000003</v>
      </c>
      <c r="DO103" s="12">
        <f>IF('Données projet'!$A$166&gt;35,DO102+DN103-DW102,IF(A103&lt;'Données projet'!$A$166,$DL$205^A103,IF(A103='Données projet'!$A$166,'Données projet'!$B$166,DO102+DN103-DW102)))</f>
        <v>231.05200000000025</v>
      </c>
      <c r="DP103" s="17">
        <f>DO103*VLOOKUP('Données projet'!$B$14,Paramètres!$A$1:$I$89,3,0)*VLOOKUP('Données projet'!$B$14,Paramètres!$A$1:$I$89,5,0)</f>
        <v>108.13233600000011</v>
      </c>
      <c r="DQ103" s="13">
        <f t="shared" si="97"/>
        <v>28.890510766614838</v>
      </c>
      <c r="DR103" s="20">
        <f t="shared" si="70"/>
        <v>238.64812478518766</v>
      </c>
      <c r="DS103" s="59">
        <f t="shared" si="71"/>
        <v>531.981458118521</v>
      </c>
      <c r="DT103" s="59">
        <f ca="1">AVERAGE(OFFSET($DS$3,0,0,'Données projet'!$E$14+1,1))-AVERAGE(OFFSET($H$3,0,0,'Données projet'!$E$14+1,1))</f>
        <v>293.15557501692803</v>
      </c>
      <c r="DU103" s="59">
        <f t="shared" si="98"/>
        <v>237.1930412773068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85.79031549971198</v>
      </c>
      <c r="EB103" s="21">
        <f>EXP(-LN(2)/25)*EB102+(1-EXP(-LN(2)/25))/(LN(2)/25)*Calculateur!DW103*Calculateur!DY103*VLOOKUP('Données projet'!$B$14,Paramètres!$A$1:$I$89,3,0)*0.475*44/12</f>
        <v>28.427073159098818</v>
      </c>
      <c r="EC103" s="21">
        <f>EXP(-LN(2)/2)*EC102+(1-EXP(-LN(2)/2))/(LN(2)/2)*DW103*DZ103*VLOOKUP('Données projet'!$B$14,Paramètres!$A$1:$I$89,3,0)*0.475*44/12</f>
        <v>16.81054326289329</v>
      </c>
      <c r="ED103" s="22">
        <f t="shared" si="72"/>
        <v>131.02793192170407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-1.7053025658242404E-13</v>
      </c>
      <c r="EK103" s="17">
        <f>EJ103*VLOOKUP('Données projet'!$B$15,Paramètres!$A$1:$I$89,3,0)*VLOOKUP('Données projet'!$B$15,Paramètres!$A$1:$I$89,5,0)</f>
        <v>-1.0197709343628959E-13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225.86663363047296</v>
      </c>
      <c r="EP103" s="59">
        <f t="shared" si="100"/>
        <v>258.08349727304397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48.163156979187626</v>
      </c>
      <c r="EW103" s="21">
        <f>EXP(-LN(2)/25)*EW102+(1-EXP(-LN(2)/25))/(LN(2)/25)*Calculateur!ER103*Calculateur!ET103*VLOOKUP('Données projet'!$B$15,Paramètres!$A$1:$I$89,3,0)*0.475*44/12</f>
        <v>13.033718539848859</v>
      </c>
      <c r="EX103" s="21">
        <f>EXP(-LN(2)/2)*EX102+(1-EXP(-LN(2)/2))/(LN(2)/2)*ER103*EU103*VLOOKUP('Données projet'!$B$15,Paramètres!$A$1:$I$89,3,0)*0.475*44/12</f>
        <v>8.5294582821671757E-5</v>
      </c>
      <c r="EY103" s="22">
        <f t="shared" si="75"/>
        <v>61.196960813619306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388.12151914648013</v>
      </c>
      <c r="T104" s="59">
        <f t="shared" si="88"/>
        <v>481.43684454382793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73.018396107933242</v>
      </c>
      <c r="AA104" s="21">
        <f>EXP(-LN(2)/25)*AA103+(1-EXP(-LN(2)/25))/(LN(2)/25)*Calculateur!V104*Calculateur!X104*VLOOKUP('Données projet'!$B$9,Paramètres!$A$1:$I$89,3,0)*0.475*44/12</f>
        <v>17.709767336248568</v>
      </c>
      <c r="AB104" s="21">
        <f>EXP(-LN(2)/2)*AB103+(1-EXP(-LN(2)/2))/(LN(2)/2)*V104*Y104*VLOOKUP('Données projet'!$B$9,Paramètres!$A$1:$I$89,3,0)*0.475*44/12</f>
        <v>1.3032532515498938E-5</v>
      </c>
      <c r="AC104" s="22">
        <f t="shared" si="57"/>
        <v>90.728176476714324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-1.3596945791505279E-13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349.71285006949597</v>
      </c>
      <c r="AO104" s="59">
        <f t="shared" si="90"/>
        <v>258.51550516456842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101.1188197873424</v>
      </c>
      <c r="AV104" s="21">
        <f>EXP(-LN(2)/25)*AV103+(1-EXP(-LN(2)/25))/(LN(2)/25)*Calculateur!AQ104*Calculateur!AS104*VLOOKUP('Données projet'!$B$10,Paramètres!$A$1:$I$89,3,0)*0.475*44/12</f>
        <v>28.906661086403279</v>
      </c>
      <c r="AW104" s="21">
        <f>EXP(-LN(2)/2)*AW103+(1-EXP(-LN(2)/2))/(LN(2)/2)*AQ104*AT104*VLOOKUP('Données projet'!$B$10,Paramètres!$A$1:$I$89,3,0)*0.475*44/12</f>
        <v>4.8832243815899928E-2</v>
      </c>
      <c r="AX104" s="21">
        <f t="shared" si="60"/>
        <v>130.07431311756159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8.5265128291212022E-14</v>
      </c>
      <c r="BE104" s="13">
        <f>BD104*VLOOKUP('Données projet'!$B$11,Paramètres!$A$1:$I$89,3,0)*VLOOKUP('Données projet'!$B$11,Paramètres!$A$1:$I$89,5,0)</f>
        <v>8.9119112089974823E-14</v>
      </c>
      <c r="BF104" s="13">
        <f t="shared" si="91"/>
        <v>1.3568952080113142E-12</v>
      </c>
      <c r="BG104" s="20">
        <f t="shared" si="61"/>
        <v>2.5184749408430782E-12</v>
      </c>
      <c r="BH104" s="59">
        <f t="shared" si="62"/>
        <v>293.33333333333582</v>
      </c>
      <c r="BI104" s="59">
        <f ca="1">AVERAGE(OFFSET($BH$3,0,0,'Données projet'!$E$11+1,1))-AVERAGE(OFFSET($H$3,0,0,'Données projet'!$E$11+1,1))</f>
        <v>260.74709892624571</v>
      </c>
      <c r="BJ104" s="59">
        <f t="shared" si="92"/>
        <v>237.17381692184887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17.450247336875538</v>
      </c>
      <c r="BQ104" s="21">
        <f>EXP(-LN(2)/25)*BQ103+(1-EXP(-LN(2)/25))/(LN(2)/25)*Calculateur!BL104*Calculateur!BN104*VLOOKUP('Données projet'!$B$11,Paramètres!$A$1:$I$89,3,0)*0.475*44/12</f>
        <v>44.203989023611605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61.654236360487147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10.840999999999998</v>
      </c>
      <c r="BY104" s="12">
        <f>IF('Données projet'!$A$114&gt;35,BY103+BX104-CG103,IF(A104&lt;'Données projet'!$A$114,$BV$205^A104,IF(A104='Données projet'!$A$114,'Données projet'!$B$114,BY103+BX104-CG103)))</f>
        <v>433.471</v>
      </c>
      <c r="BZ104" s="13">
        <f>BY104*VLOOKUP('Données projet'!$B$12,Paramètres!$A$1:$I$89,3,0)*VLOOKUP('Données projet'!$B$12,Paramètres!$A$1:$I$89,5,0)</f>
        <v>392.20456079999997</v>
      </c>
      <c r="CA104" s="13">
        <f t="shared" si="93"/>
        <v>90.194453866780407</v>
      </c>
      <c r="CB104" s="20">
        <f t="shared" si="64"/>
        <v>840.17828387797579</v>
      </c>
      <c r="CC104" s="59">
        <f t="shared" si="65"/>
        <v>1133.5116172113092</v>
      </c>
      <c r="CD104" s="59">
        <f ca="1">AVERAGE(OFFSET($CC$3,0,0,'Données projet'!$E$12+1,1))-AVERAGE(OFFSET($H$3,0,0,'Données projet'!$E$12+1,1))</f>
        <v>695.0879239758051</v>
      </c>
      <c r="CE104" s="59">
        <f t="shared" si="94"/>
        <v>226.22150997227476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50.545698748348073</v>
      </c>
      <c r="CL104" s="21">
        <f>EXP(-LN(2)/25)*CL103+(1-EXP(-LN(2)/25))/(LN(2)/25)*Calculateur!CG104*Calculateur!CI104*VLOOKUP('Données projet'!$B$12,Paramètres!$A$1:$I$89,3,0)*0.475*44/12</f>
        <v>34.005492647000942</v>
      </c>
      <c r="CM104" s="21">
        <f>EXP(-LN(2)/2)*CM103+(1-EXP(-LN(2)/2))/(LN(2)/2)*CG104*CJ104*VLOOKUP('Données projet'!$B$12,Paramètres!$A$1:$I$89,3,0)*0.475*44/12</f>
        <v>0.13674329748963204</v>
      </c>
      <c r="CN104" s="22">
        <f t="shared" si="66"/>
        <v>84.687934692838638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10.840999999999998</v>
      </c>
      <c r="CT104" s="12">
        <f>IF('Données projet'!$A$140&gt;35,CT103+CS104-DB103,IF(A104&lt;'Données projet'!$A$140,$CQ$205^A104,IF(A104='Données projet'!$A$140,'Données projet'!$B$140,CT103+CS104-DB103)))</f>
        <v>433.471</v>
      </c>
      <c r="CU104" s="17">
        <f>CT104*VLOOKUP('Données projet'!$B$13,Paramètres!$A$1:$I$89,3,0)*VLOOKUP('Données projet'!$B$13,Paramètres!$A$1:$I$89,5,0)</f>
        <v>439.53959400000002</v>
      </c>
      <c r="CV104" s="13">
        <f t="shared" si="95"/>
        <v>99.748207499094377</v>
      </c>
      <c r="CW104" s="20">
        <f t="shared" si="67"/>
        <v>939.25958761092261</v>
      </c>
      <c r="CX104" s="59">
        <f t="shared" si="68"/>
        <v>1232.5929209442559</v>
      </c>
      <c r="CY104" s="59">
        <f ca="1">AVERAGE(OFFSET($CX$3,0,0,'Données projet'!$E$13+1,1))-AVERAGE(OFFSET($H$3,0,0,'Données projet'!$E$13+1,1))</f>
        <v>773.15074145293738</v>
      </c>
      <c r="CZ104" s="59">
        <f t="shared" si="96"/>
        <v>248.49577986312505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56.646041700734891</v>
      </c>
      <c r="DG104" s="21">
        <f>EXP(-LN(2)/25)*DG103+(1-EXP(-LN(2)/25))/(LN(2)/25)*Calculateur!DB104*Calculateur!DD104*VLOOKUP('Données projet'!$B$13,Paramètres!$A$1:$I$89,3,0)*0.475*44/12</f>
        <v>38.109603828535533</v>
      </c>
      <c r="DH104" s="21">
        <f>EXP(-LN(2)/2)*DH103+(1-EXP(-LN(2)/2))/(LN(2)/2)*DB104*DE104*VLOOKUP('Données projet'!$B$13,Paramètres!$A$1:$I$89,3,0)*0.475*44/12</f>
        <v>0.15324679891079462</v>
      </c>
      <c r="DI104" s="22">
        <f t="shared" si="69"/>
        <v>94.908892328181224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6.5620000000000003</v>
      </c>
      <c r="DO104" s="12">
        <f>IF('Données projet'!$A$166&gt;35,DO103+DN104-DW103,IF(A104&lt;'Données projet'!$A$166,$DL$205^A104,IF(A104='Données projet'!$A$166,'Données projet'!$B$166,DO103+DN104-DW103)))</f>
        <v>237.61400000000026</v>
      </c>
      <c r="DP104" s="17">
        <f>DO104*VLOOKUP('Données projet'!$B$14,Paramètres!$A$1:$I$89,3,0)*VLOOKUP('Données projet'!$B$14,Paramètres!$A$1:$I$89,5,0)</f>
        <v>111.20335200000012</v>
      </c>
      <c r="DQ104" s="13">
        <f t="shared" si="97"/>
        <v>29.614323908502584</v>
      </c>
      <c r="DR104" s="20">
        <f t="shared" si="70"/>
        <v>245.25745220730889</v>
      </c>
      <c r="DS104" s="59">
        <f t="shared" si="71"/>
        <v>538.59078554064217</v>
      </c>
      <c r="DT104" s="59">
        <f ca="1">AVERAGE(OFFSET($DS$3,0,0,'Données projet'!$E$14+1,1))-AVERAGE(OFFSET($H$3,0,0,'Données projet'!$E$14+1,1))</f>
        <v>293.15557501692803</v>
      </c>
      <c r="DU104" s="59">
        <f t="shared" si="98"/>
        <v>237.1930412773068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84.108019739688231</v>
      </c>
      <c r="EB104" s="21">
        <f>EXP(-LN(2)/25)*EB103+(1-EXP(-LN(2)/25))/(LN(2)/25)*Calculateur!DW104*Calculateur!DY104*VLOOKUP('Données projet'!$B$14,Paramètres!$A$1:$I$89,3,0)*0.475*44/12</f>
        <v>27.649733348648454</v>
      </c>
      <c r="EC104" s="21">
        <f>EXP(-LN(2)/2)*EC103+(1-EXP(-LN(2)/2))/(LN(2)/2)*DW104*DZ104*VLOOKUP('Données projet'!$B$14,Paramètres!$A$1:$I$89,3,0)*0.475*44/12</f>
        <v>11.886849136621677</v>
      </c>
      <c r="ED104" s="22">
        <f t="shared" si="72"/>
        <v>123.64460222495836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-1.7053025658242404E-13</v>
      </c>
      <c r="EK104" s="17">
        <f>EJ104*VLOOKUP('Données projet'!$B$15,Paramètres!$A$1:$I$89,3,0)*VLOOKUP('Données projet'!$B$15,Paramètres!$A$1:$I$89,5,0)</f>
        <v>-1.0197709343628959E-13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225.86663363047296</v>
      </c>
      <c r="EP104" s="59">
        <f t="shared" si="100"/>
        <v>258.08349727304397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47.218706847450811</v>
      </c>
      <c r="EW104" s="21">
        <f>EXP(-LN(2)/25)*EW103+(1-EXP(-LN(2)/25))/(LN(2)/25)*Calculateur!ER104*Calculateur!ET104*VLOOKUP('Données projet'!$B$15,Paramètres!$A$1:$I$89,3,0)*0.475*44/12</f>
        <v>12.677310820963223</v>
      </c>
      <c r="EX104" s="21">
        <f>EXP(-LN(2)/2)*EX103+(1-EXP(-LN(2)/2))/(LN(2)/2)*ER104*EU104*VLOOKUP('Données projet'!$B$15,Paramètres!$A$1:$I$89,3,0)*0.475*44/12</f>
        <v>6.0312377911681713E-5</v>
      </c>
      <c r="EY104" s="22">
        <f t="shared" si="75"/>
        <v>59.896077980791944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388.12151914648013</v>
      </c>
      <c r="T105" s="59">
        <f t="shared" si="88"/>
        <v>481.43684454382793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71.586549897080644</v>
      </c>
      <c r="AA105" s="21">
        <f>EXP(-LN(2)/25)*AA104+(1-EXP(-LN(2)/25))/(LN(2)/25)*Calculateur!V105*Calculateur!X105*VLOOKUP('Données projet'!$B$9,Paramètres!$A$1:$I$89,3,0)*0.475*44/12</f>
        <v>17.225492817122664</v>
      </c>
      <c r="AB105" s="21">
        <f>EXP(-LN(2)/2)*AB104+(1-EXP(-LN(2)/2))/(LN(2)/2)*V105*Y105*VLOOKUP('Données projet'!$B$9,Paramètres!$A$1:$I$89,3,0)*0.475*44/12</f>
        <v>9.215392117743473E-6</v>
      </c>
      <c r="AC105" s="22">
        <f t="shared" si="57"/>
        <v>88.812051929595413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-1.3596945791505279E-13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349.71285006949597</v>
      </c>
      <c r="AO105" s="59">
        <f t="shared" si="90"/>
        <v>258.51550516456842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99.135941407702646</v>
      </c>
      <c r="AV105" s="21">
        <f>EXP(-LN(2)/25)*AV104+(1-EXP(-LN(2)/25))/(LN(2)/25)*Calculateur!AQ105*Calculateur!AS105*VLOOKUP('Données projet'!$B$10,Paramètres!$A$1:$I$89,3,0)*0.475*44/12</f>
        <v>28.116206918860343</v>
      </c>
      <c r="AW105" s="21">
        <f>EXP(-LN(2)/2)*AW104+(1-EXP(-LN(2)/2))/(LN(2)/2)*AQ105*AT105*VLOOKUP('Données projet'!$B$10,Paramètres!$A$1:$I$89,3,0)*0.475*44/12</f>
        <v>3.4529610742777689E-2</v>
      </c>
      <c r="AX105" s="21">
        <f t="shared" si="60"/>
        <v>127.28667793730577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8.5265128291212022E-14</v>
      </c>
      <c r="BE105" s="13">
        <f>BD105*VLOOKUP('Données projet'!$B$11,Paramètres!$A$1:$I$89,3,0)*VLOOKUP('Données projet'!$B$11,Paramètres!$A$1:$I$89,5,0)</f>
        <v>8.9119112089974823E-14</v>
      </c>
      <c r="BF105" s="13">
        <f t="shared" si="91"/>
        <v>1.3568952080113142E-12</v>
      </c>
      <c r="BG105" s="20">
        <f t="shared" si="61"/>
        <v>2.5184749408430782E-12</v>
      </c>
      <c r="BH105" s="59">
        <f t="shared" si="62"/>
        <v>293.33333333333582</v>
      </c>
      <c r="BI105" s="59">
        <f ca="1">AVERAGE(OFFSET($BH$3,0,0,'Données projet'!$E$11+1,1))-AVERAGE(OFFSET($H$3,0,0,'Données projet'!$E$11+1,1))</f>
        <v>260.74709892624571</v>
      </c>
      <c r="BJ105" s="59">
        <f t="shared" si="92"/>
        <v>237.17381692184887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17.108058630199316</v>
      </c>
      <c r="BQ105" s="21">
        <f>EXP(-LN(2)/25)*BQ104+(1-EXP(-LN(2)/25))/(LN(2)/25)*Calculateur!BL105*Calculateur!BN105*VLOOKUP('Données projet'!$B$11,Paramètres!$A$1:$I$89,3,0)*0.475*44/12</f>
        <v>42.995228619174192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60.103287249373508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10.840999999999998</v>
      </c>
      <c r="BY105" s="12">
        <f>IF('Données projet'!$A$114&gt;35,BY104+BX105-CG104,IF(A105&lt;'Données projet'!$A$114,$BV$205^A105,IF(A105='Données projet'!$A$114,'Données projet'!$B$114,BY104+BX105-CG104)))</f>
        <v>444.31200000000001</v>
      </c>
      <c r="BZ105" s="13">
        <f>BY105*VLOOKUP('Données projet'!$B$12,Paramètres!$A$1:$I$89,3,0)*VLOOKUP('Données projet'!$B$12,Paramètres!$A$1:$I$89,5,0)</f>
        <v>402.01349760000005</v>
      </c>
      <c r="CA105" s="13">
        <f t="shared" si="93"/>
        <v>92.18475159332958</v>
      </c>
      <c r="CB105" s="20">
        <f t="shared" si="64"/>
        <v>860.72861734504897</v>
      </c>
      <c r="CC105" s="59">
        <f t="shared" si="65"/>
        <v>1154.0619506783823</v>
      </c>
      <c r="CD105" s="59">
        <f ca="1">AVERAGE(OFFSET($CC$3,0,0,'Données projet'!$E$12+1,1))-AVERAGE(OFFSET($H$3,0,0,'Données projet'!$E$12+1,1))</f>
        <v>695.0879239758051</v>
      </c>
      <c r="CE105" s="59">
        <f t="shared" si="94"/>
        <v>226.22150997227476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49.55452842572501</v>
      </c>
      <c r="CL105" s="21">
        <f>EXP(-LN(2)/25)*CL104+(1-EXP(-LN(2)/25))/(LN(2)/25)*Calculateur!CG105*Calculateur!CI105*VLOOKUP('Données projet'!$B$12,Paramètres!$A$1:$I$89,3,0)*0.475*44/12</f>
        <v>33.075610662297564</v>
      </c>
      <c r="CM105" s="21">
        <f>EXP(-LN(2)/2)*CM104+(1-EXP(-LN(2)/2))/(LN(2)/2)*CG105*CJ105*VLOOKUP('Données projet'!$B$12,Paramètres!$A$1:$I$89,3,0)*0.475*44/12</f>
        <v>9.6692112936728219E-2</v>
      </c>
      <c r="CN105" s="22">
        <f t="shared" si="66"/>
        <v>82.726831200959296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10.840999999999998</v>
      </c>
      <c r="CT105" s="12">
        <f>IF('Données projet'!$A$140&gt;35,CT104+CS105-DB104,IF(A105&lt;'Données projet'!$A$140,$CQ$205^A105,IF(A105='Données projet'!$A$140,'Données projet'!$B$140,CT104+CS105-DB104)))</f>
        <v>444.31200000000001</v>
      </c>
      <c r="CU105" s="17">
        <f>CT105*VLOOKUP('Données projet'!$B$13,Paramètres!$A$1:$I$89,3,0)*VLOOKUP('Données projet'!$B$13,Paramètres!$A$1:$I$89,5,0)</f>
        <v>450.53236800000002</v>
      </c>
      <c r="CV105" s="13">
        <f t="shared" si="95"/>
        <v>101.94932544040419</v>
      </c>
      <c r="CW105" s="20">
        <f t="shared" si="67"/>
        <v>962.23894940870412</v>
      </c>
      <c r="CX105" s="59">
        <f t="shared" si="68"/>
        <v>1255.5722827420375</v>
      </c>
      <c r="CY105" s="59">
        <f ca="1">AVERAGE(OFFSET($CX$3,0,0,'Données projet'!$E$13+1,1))-AVERAGE(OFFSET($H$3,0,0,'Données projet'!$E$13+1,1))</f>
        <v>773.15074145293738</v>
      </c>
      <c r="CZ105" s="59">
        <f t="shared" si="96"/>
        <v>248.49577986312505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55.53524737365732</v>
      </c>
      <c r="DG105" s="21">
        <f>EXP(-LN(2)/25)*DG104+(1-EXP(-LN(2)/25))/(LN(2)/25)*Calculateur!DB105*Calculateur!DD105*VLOOKUP('Données projet'!$B$13,Paramètres!$A$1:$I$89,3,0)*0.475*44/12</f>
        <v>37.067494707747265</v>
      </c>
      <c r="DH105" s="21">
        <f>EXP(-LN(2)/2)*DH104+(1-EXP(-LN(2)/2))/(LN(2)/2)*DB105*DE105*VLOOKUP('Données projet'!$B$13,Paramètres!$A$1:$I$89,3,0)*0.475*44/12</f>
        <v>0.1083618507049541</v>
      </c>
      <c r="DI105" s="22">
        <f t="shared" si="69"/>
        <v>92.711103932109538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6.5620000000000003</v>
      </c>
      <c r="DO105" s="12">
        <f>IF('Données projet'!$A$166&gt;35,DO104+DN105-DW104,IF(A105&lt;'Données projet'!$A$166,$DL$205^A105,IF(A105='Données projet'!$A$166,'Données projet'!$B$166,DO104+DN105-DW104)))</f>
        <v>244.17600000000027</v>
      </c>
      <c r="DP105" s="17">
        <f>DO105*VLOOKUP('Données projet'!$B$14,Paramètres!$A$1:$I$89,3,0)*VLOOKUP('Données projet'!$B$14,Paramètres!$A$1:$I$89,5,0)</f>
        <v>114.27436800000012</v>
      </c>
      <c r="DQ105" s="13">
        <f t="shared" si="97"/>
        <v>30.335813756540151</v>
      </c>
      <c r="DR105" s="20">
        <f t="shared" si="70"/>
        <v>251.86273322597432</v>
      </c>
      <c r="DS105" s="59">
        <f t="shared" si="71"/>
        <v>545.19606655930761</v>
      </c>
      <c r="DT105" s="59">
        <f ca="1">AVERAGE(OFFSET($DS$3,0,0,'Données projet'!$E$14+1,1))-AVERAGE(OFFSET($H$3,0,0,'Données projet'!$E$14+1,1))</f>
        <v>293.15557501692803</v>
      </c>
      <c r="DU105" s="59">
        <f t="shared" si="98"/>
        <v>237.1930412773068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82.45871277341945</v>
      </c>
      <c r="EB105" s="21">
        <f>EXP(-LN(2)/25)*EB104+(1-EXP(-LN(2)/25))/(LN(2)/25)*Calculateur!DW105*Calculateur!DY105*VLOOKUP('Données projet'!$B$14,Paramètres!$A$1:$I$89,3,0)*0.475*44/12</f>
        <v>26.893649936193381</v>
      </c>
      <c r="EC105" s="21">
        <f>EXP(-LN(2)/2)*EC104+(1-EXP(-LN(2)/2))/(LN(2)/2)*DW105*DZ105*VLOOKUP('Données projet'!$B$14,Paramètres!$A$1:$I$89,3,0)*0.475*44/12</f>
        <v>8.4052716314466469</v>
      </c>
      <c r="ED105" s="22">
        <f t="shared" si="72"/>
        <v>117.75763434105949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-1.7053025658242404E-13</v>
      </c>
      <c r="EK105" s="17">
        <f>EJ105*VLOOKUP('Données projet'!$B$15,Paramètres!$A$1:$I$89,3,0)*VLOOKUP('Données projet'!$B$15,Paramètres!$A$1:$I$89,5,0)</f>
        <v>-1.0197709343628959E-13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225.86663363047296</v>
      </c>
      <c r="EP105" s="59">
        <f t="shared" si="100"/>
        <v>258.08349727304397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46.29277680673966</v>
      </c>
      <c r="EW105" s="21">
        <f>EXP(-LN(2)/25)*EW104+(1-EXP(-LN(2)/25))/(LN(2)/25)*Calculateur!ER105*Calculateur!ET105*VLOOKUP('Données projet'!$B$15,Paramètres!$A$1:$I$89,3,0)*0.475*44/12</f>
        <v>12.330649089893182</v>
      </c>
      <c r="EX105" s="21">
        <f>EXP(-LN(2)/2)*EX104+(1-EXP(-LN(2)/2))/(LN(2)/2)*ER105*EU105*VLOOKUP('Données projet'!$B$15,Paramètres!$A$1:$I$89,3,0)*0.475*44/12</f>
        <v>4.2647291410835885E-5</v>
      </c>
      <c r="EY105" s="22">
        <f t="shared" si="75"/>
        <v>58.623468543924247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388.12151914648013</v>
      </c>
      <c r="T106" s="59">
        <f t="shared" si="88"/>
        <v>481.43684454382793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70.182781317082913</v>
      </c>
      <c r="AA106" s="21">
        <f>EXP(-LN(2)/25)*AA105+(1-EXP(-LN(2)/25))/(LN(2)/25)*Calculateur!V106*Calculateur!X106*VLOOKUP('Données projet'!$B$9,Paramètres!$A$1:$I$89,3,0)*0.475*44/12</f>
        <v>16.754460810189148</v>
      </c>
      <c r="AB106" s="21">
        <f>EXP(-LN(2)/2)*AB105+(1-EXP(-LN(2)/2))/(LN(2)/2)*V106*Y106*VLOOKUP('Données projet'!$B$9,Paramètres!$A$1:$I$89,3,0)*0.475*44/12</f>
        <v>6.5162662577494688E-6</v>
      </c>
      <c r="AC106" s="22">
        <f t="shared" si="57"/>
        <v>86.937248643538311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-1.3596945791505279E-13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349.71285006949597</v>
      </c>
      <c r="AO106" s="59">
        <f t="shared" si="90"/>
        <v>258.51550516456842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97.191946063651244</v>
      </c>
      <c r="AV106" s="21">
        <f>EXP(-LN(2)/25)*AV105+(1-EXP(-LN(2)/25))/(LN(2)/25)*Calculateur!AQ106*Calculateur!AS106*VLOOKUP('Données projet'!$B$10,Paramètres!$A$1:$I$89,3,0)*0.475*44/12</f>
        <v>27.347367762097043</v>
      </c>
      <c r="AW106" s="21">
        <f>EXP(-LN(2)/2)*AW105+(1-EXP(-LN(2)/2))/(LN(2)/2)*AQ106*AT106*VLOOKUP('Données projet'!$B$10,Paramètres!$A$1:$I$89,3,0)*0.475*44/12</f>
        <v>2.4416121907949964E-2</v>
      </c>
      <c r="AX106" s="21">
        <f t="shared" si="60"/>
        <v>124.56372994765623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8.5265128291212022E-14</v>
      </c>
      <c r="BE106" s="13">
        <f>BD106*VLOOKUP('Données projet'!$B$11,Paramètres!$A$1:$I$89,3,0)*VLOOKUP('Données projet'!$B$11,Paramètres!$A$1:$I$89,5,0)</f>
        <v>8.9119112089974823E-14</v>
      </c>
      <c r="BF106" s="13">
        <f t="shared" si="91"/>
        <v>1.3568952080113142E-12</v>
      </c>
      <c r="BG106" s="20">
        <f t="shared" si="61"/>
        <v>2.5184749408430782E-12</v>
      </c>
      <c r="BH106" s="59">
        <f t="shared" si="62"/>
        <v>293.33333333333582</v>
      </c>
      <c r="BI106" s="59">
        <f ca="1">AVERAGE(OFFSET($BH$3,0,0,'Données projet'!$E$11+1,1))-AVERAGE(OFFSET($H$3,0,0,'Données projet'!$E$11+1,1))</f>
        <v>260.74709892624571</v>
      </c>
      <c r="BJ106" s="59">
        <f t="shared" si="92"/>
        <v>237.17381692184887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16.772580035346515</v>
      </c>
      <c r="BQ106" s="21">
        <f>EXP(-LN(2)/25)*BQ105+(1-EXP(-LN(2)/25))/(LN(2)/25)*Calculateur!BL106*Calculateur!BN106*VLOOKUP('Données projet'!$B$11,Paramètres!$A$1:$I$89,3,0)*0.475*44/12</f>
        <v>41.819521831562071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58.592101866908585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10.840999999999998</v>
      </c>
      <c r="BY106" s="12">
        <f>IF('Données projet'!$A$114&gt;35,BY105+BX106-CG105,IF(A106&lt;'Données projet'!$A$114,$BV$205^A106,IF(A106='Données projet'!$A$114,'Données projet'!$B$114,BY105+BX106-CG105)))</f>
        <v>455.15300000000002</v>
      </c>
      <c r="BZ106" s="13">
        <f>BY106*VLOOKUP('Données projet'!$B$12,Paramètres!$A$1:$I$89,3,0)*VLOOKUP('Données projet'!$B$12,Paramètres!$A$1:$I$89,5,0)</f>
        <v>411.82243440000002</v>
      </c>
      <c r="CA106" s="13">
        <f t="shared" si="93"/>
        <v>94.169404094334013</v>
      </c>
      <c r="CB106" s="20">
        <f t="shared" si="64"/>
        <v>881.26911871096502</v>
      </c>
      <c r="CC106" s="59">
        <f t="shared" si="65"/>
        <v>1174.6024520442984</v>
      </c>
      <c r="CD106" s="59">
        <f ca="1">AVERAGE(OFFSET($CC$3,0,0,'Données projet'!$E$12+1,1))-AVERAGE(OFFSET($H$3,0,0,'Données projet'!$E$12+1,1))</f>
        <v>695.0879239758051</v>
      </c>
      <c r="CE106" s="59">
        <f t="shared" si="94"/>
        <v>226.22150997227476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48.582794348574382</v>
      </c>
      <c r="CL106" s="21">
        <f>EXP(-LN(2)/25)*CL105+(1-EXP(-LN(2)/25))/(LN(2)/25)*Calculateur!CG106*Calculateur!CI106*VLOOKUP('Données projet'!$B$12,Paramètres!$A$1:$I$89,3,0)*0.475*44/12</f>
        <v>32.171156349366271</v>
      </c>
      <c r="CM106" s="21">
        <f>EXP(-LN(2)/2)*CM105+(1-EXP(-LN(2)/2))/(LN(2)/2)*CG106*CJ106*VLOOKUP('Données projet'!$B$12,Paramètres!$A$1:$I$89,3,0)*0.475*44/12</f>
        <v>6.8371648744816022E-2</v>
      </c>
      <c r="CN106" s="22">
        <f t="shared" si="66"/>
        <v>80.822322346685468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10.840999999999998</v>
      </c>
      <c r="CT106" s="12">
        <f>IF('Données projet'!$A$140&gt;35,CT105+CS106-DB105,IF(A106&lt;'Données projet'!$A$140,$CQ$205^A106,IF(A106='Données projet'!$A$140,'Données projet'!$B$140,CT105+CS106-DB105)))</f>
        <v>455.15300000000002</v>
      </c>
      <c r="CU106" s="17">
        <f>CT106*VLOOKUP('Données projet'!$B$13,Paramètres!$A$1:$I$89,3,0)*VLOOKUP('Données projet'!$B$13,Paramètres!$A$1:$I$89,5,0)</f>
        <v>461.52514200000007</v>
      </c>
      <c r="CV106" s="13">
        <f t="shared" si="95"/>
        <v>104.1442001915301</v>
      </c>
      <c r="CW106" s="20">
        <f t="shared" si="67"/>
        <v>985.20743765024827</v>
      </c>
      <c r="CX106" s="59">
        <f t="shared" si="68"/>
        <v>1278.5407709835815</v>
      </c>
      <c r="CY106" s="59">
        <f ca="1">AVERAGE(OFFSET($CX$3,0,0,'Données projet'!$E$13+1,1))-AVERAGE(OFFSET($H$3,0,0,'Données projet'!$E$13+1,1))</f>
        <v>773.15074145293738</v>
      </c>
      <c r="CZ106" s="59">
        <f t="shared" si="96"/>
        <v>248.49577986312505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54.446235045816103</v>
      </c>
      <c r="DG106" s="21">
        <f>EXP(-LN(2)/25)*DG105+(1-EXP(-LN(2)/25))/(LN(2)/25)*Calculateur!DB106*Calculateur!DD106*VLOOKUP('Données projet'!$B$13,Paramètres!$A$1:$I$89,3,0)*0.475*44/12</f>
        <v>36.05388211566909</v>
      </c>
      <c r="DH106" s="21">
        <f>EXP(-LN(2)/2)*DH105+(1-EXP(-LN(2)/2))/(LN(2)/2)*DB106*DE106*VLOOKUP('Données projet'!$B$13,Paramètres!$A$1:$I$89,3,0)*0.475*44/12</f>
        <v>7.6623399455397312E-2</v>
      </c>
      <c r="DI106" s="22">
        <f t="shared" si="69"/>
        <v>90.576740560940593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6.5620000000000003</v>
      </c>
      <c r="DO106" s="12">
        <f>IF('Données projet'!$A$166&gt;35,DO105+DN106-DW105,IF(A106&lt;'Données projet'!$A$166,$DL$205^A106,IF(A106='Données projet'!$A$166,'Données projet'!$B$166,DO105+DN106-DW105)))</f>
        <v>250.73800000000028</v>
      </c>
      <c r="DP106" s="17">
        <f>DO106*VLOOKUP('Données projet'!$B$14,Paramètres!$A$1:$I$89,3,0)*VLOOKUP('Données projet'!$B$14,Paramètres!$A$1:$I$89,5,0)</f>
        <v>117.34538400000014</v>
      </c>
      <c r="DQ106" s="13">
        <f t="shared" si="97"/>
        <v>31.055049922708768</v>
      </c>
      <c r="DR106" s="20">
        <f t="shared" si="70"/>
        <v>258.46408908205132</v>
      </c>
      <c r="DS106" s="59">
        <f t="shared" si="71"/>
        <v>551.79742241538463</v>
      </c>
      <c r="DT106" s="59">
        <f ca="1">AVERAGE(OFFSET($DS$3,0,0,'Données projet'!$E$14+1,1))-AVERAGE(OFFSET($H$3,0,0,'Données projet'!$E$14+1,1))</f>
        <v>293.15557501692803</v>
      </c>
      <c r="DU106" s="59">
        <f t="shared" si="98"/>
        <v>237.1930412773068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80.841747710781277</v>
      </c>
      <c r="EB106" s="21">
        <f>EXP(-LN(2)/25)*EB105+(1-EXP(-LN(2)/25))/(LN(2)/25)*Calculateur!DW106*Calculateur!DY106*VLOOKUP('Données projet'!$B$14,Paramètres!$A$1:$I$89,3,0)*0.475*44/12</f>
        <v>26.158241664412589</v>
      </c>
      <c r="EC106" s="21">
        <f>EXP(-LN(2)/2)*EC105+(1-EXP(-LN(2)/2))/(LN(2)/2)*DW106*DZ106*VLOOKUP('Données projet'!$B$14,Paramètres!$A$1:$I$89,3,0)*0.475*44/12</f>
        <v>5.9434245683108395</v>
      </c>
      <c r="ED106" s="22">
        <f t="shared" si="72"/>
        <v>112.94341394350471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-1.7053025658242404E-13</v>
      </c>
      <c r="EK106" s="17">
        <f>EJ106*VLOOKUP('Données projet'!$B$15,Paramètres!$A$1:$I$89,3,0)*VLOOKUP('Données projet'!$B$15,Paramètres!$A$1:$I$89,5,0)</f>
        <v>-1.0197709343628959E-13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225.86663363047296</v>
      </c>
      <c r="EP106" s="59">
        <f t="shared" si="100"/>
        <v>258.08349727304397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45.385003689365291</v>
      </c>
      <c r="EW106" s="21">
        <f>EXP(-LN(2)/25)*EW105+(1-EXP(-LN(2)/25))/(LN(2)/25)*Calculateur!ER106*Calculateur!ET106*VLOOKUP('Données projet'!$B$15,Paramètres!$A$1:$I$89,3,0)*0.475*44/12</f>
        <v>11.993466842089399</v>
      </c>
      <c r="EX106" s="21">
        <f>EXP(-LN(2)/2)*EX105+(1-EXP(-LN(2)/2))/(LN(2)/2)*ER106*EU106*VLOOKUP('Données projet'!$B$15,Paramètres!$A$1:$I$89,3,0)*0.475*44/12</f>
        <v>3.015618895584086E-5</v>
      </c>
      <c r="EY106" s="22">
        <f t="shared" si="75"/>
        <v>57.378500687643644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388.12151914648013</v>
      </c>
      <c r="T107" s="59">
        <f t="shared" si="88"/>
        <v>481.43684454382793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68.806539782724656</v>
      </c>
      <c r="AA107" s="21">
        <f>EXP(-LN(2)/25)*AA106+(1-EXP(-LN(2)/25))/(LN(2)/25)*Calculateur!V107*Calculateur!X107*VLOOKUP('Données projet'!$B$9,Paramètres!$A$1:$I$89,3,0)*0.475*44/12</f>
        <v>16.296309198255724</v>
      </c>
      <c r="AB107" s="21">
        <f>EXP(-LN(2)/2)*AB106+(1-EXP(-LN(2)/2))/(LN(2)/2)*V107*Y107*VLOOKUP('Données projet'!$B$9,Paramètres!$A$1:$I$89,3,0)*0.475*44/12</f>
        <v>4.6076960588717365E-6</v>
      </c>
      <c r="AC107" s="22">
        <f t="shared" si="57"/>
        <v>85.102853588676439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-1.3596945791505279E-13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349.71285006949597</v>
      </c>
      <c r="AO107" s="59">
        <f t="shared" si="90"/>
        <v>258.51550516456842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95.2860712825766</v>
      </c>
      <c r="AV107" s="21">
        <f>EXP(-LN(2)/25)*AV106+(1-EXP(-LN(2)/25))/(LN(2)/25)*Calculateur!AQ107*Calculateur!AS107*VLOOKUP('Données projet'!$B$10,Paramètres!$A$1:$I$89,3,0)*0.475*44/12</f>
        <v>26.599552552506932</v>
      </c>
      <c r="AW107" s="21">
        <f>EXP(-LN(2)/2)*AW106+(1-EXP(-LN(2)/2))/(LN(2)/2)*AQ107*AT107*VLOOKUP('Données projet'!$B$10,Paramètres!$A$1:$I$89,3,0)*0.475*44/12</f>
        <v>1.7264805371388844E-2</v>
      </c>
      <c r="AX107" s="21">
        <f t="shared" si="60"/>
        <v>121.90288864045492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8.5265128291212022E-14</v>
      </c>
      <c r="BE107" s="13">
        <f>BD107*VLOOKUP('Données projet'!$B$11,Paramètres!$A$1:$I$89,3,0)*VLOOKUP('Données projet'!$B$11,Paramètres!$A$1:$I$89,5,0)</f>
        <v>8.9119112089974823E-14</v>
      </c>
      <c r="BF107" s="13">
        <f t="shared" si="91"/>
        <v>1.3568952080113142E-12</v>
      </c>
      <c r="BG107" s="20">
        <f t="shared" si="61"/>
        <v>2.5184749408430782E-12</v>
      </c>
      <c r="BH107" s="59">
        <f t="shared" si="62"/>
        <v>293.33333333333582</v>
      </c>
      <c r="BI107" s="59">
        <f ca="1">AVERAGE(OFFSET($BH$3,0,0,'Données projet'!$E$11+1,1))-AVERAGE(OFFSET($H$3,0,0,'Données projet'!$E$11+1,1))</f>
        <v>260.74709892624571</v>
      </c>
      <c r="BJ107" s="59">
        <f t="shared" si="92"/>
        <v>237.17381692184887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16.443679971117035</v>
      </c>
      <c r="BQ107" s="21">
        <f>EXP(-LN(2)/25)*BQ106+(1-EXP(-LN(2)/25))/(LN(2)/25)*Calculateur!BL107*Calculateur!BN107*VLOOKUP('Données projet'!$B$11,Paramètres!$A$1:$I$89,3,0)*0.475*44/12</f>
        <v>40.675964807884931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57.119644779001966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10.840999999999998</v>
      </c>
      <c r="BY107" s="12">
        <f>IF('Données projet'!$A$114&gt;35,BY106+BX107-CG106,IF(A107&lt;'Données projet'!$A$114,$BV$205^A107,IF(A107='Données projet'!$A$114,'Données projet'!$B$114,BY106+BX107-CG106)))</f>
        <v>465.99400000000003</v>
      </c>
      <c r="BZ107" s="13">
        <f>BY107*VLOOKUP('Données projet'!$B$12,Paramètres!$A$1:$I$89,3,0)*VLOOKUP('Données projet'!$B$12,Paramètres!$A$1:$I$89,5,0)</f>
        <v>421.63137120000005</v>
      </c>
      <c r="CA107" s="13">
        <f t="shared" si="93"/>
        <v>96.148561301747847</v>
      </c>
      <c r="CB107" s="20">
        <f t="shared" si="64"/>
        <v>901.80004910721084</v>
      </c>
      <c r="CC107" s="59">
        <f t="shared" si="65"/>
        <v>1195.1333824405442</v>
      </c>
      <c r="CD107" s="59">
        <f ca="1">AVERAGE(OFFSET($CC$3,0,0,'Données projet'!$E$12+1,1))-AVERAGE(OFFSET($H$3,0,0,'Données projet'!$E$12+1,1))</f>
        <v>695.0879239758051</v>
      </c>
      <c r="CE107" s="59">
        <f t="shared" si="94"/>
        <v>226.22150997227476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47.630115383977419</v>
      </c>
      <c r="CL107" s="21">
        <f>EXP(-LN(2)/25)*CL106+(1-EXP(-LN(2)/25))/(LN(2)/25)*Calculateur!CG107*Calculateur!CI107*VLOOKUP('Données projet'!$B$12,Paramètres!$A$1:$I$89,3,0)*0.475*44/12</f>
        <v>31.291434387185266</v>
      </c>
      <c r="CM107" s="21">
        <f>EXP(-LN(2)/2)*CM106+(1-EXP(-LN(2)/2))/(LN(2)/2)*CG107*CJ107*VLOOKUP('Données projet'!$B$12,Paramètres!$A$1:$I$89,3,0)*0.475*44/12</f>
        <v>4.834605646836411E-2</v>
      </c>
      <c r="CN107" s="22">
        <f t="shared" si="66"/>
        <v>78.969895827631049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10.840999999999998</v>
      </c>
      <c r="CT107" s="12">
        <f>IF('Données projet'!$A$140&gt;35,CT106+CS107-DB106,IF(A107&lt;'Données projet'!$A$140,$CQ$205^A107,IF(A107='Données projet'!$A$140,'Données projet'!$B$140,CT106+CS107-DB106)))</f>
        <v>465.99400000000003</v>
      </c>
      <c r="CU107" s="17">
        <f>CT107*VLOOKUP('Données projet'!$B$13,Paramètres!$A$1:$I$89,3,0)*VLOOKUP('Données projet'!$B$13,Paramètres!$A$1:$I$89,5,0)</f>
        <v>472.51791600000007</v>
      </c>
      <c r="CV107" s="13">
        <f t="shared" si="95"/>
        <v>106.33299756581241</v>
      </c>
      <c r="CW107" s="20">
        <f t="shared" si="67"/>
        <v>1008.1653411271233</v>
      </c>
      <c r="CX107" s="59">
        <f t="shared" si="68"/>
        <v>1301.4986744604566</v>
      </c>
      <c r="CY107" s="59">
        <f ca="1">AVERAGE(OFFSET($CX$3,0,0,'Données projet'!$E$13+1,1))-AVERAGE(OFFSET($H$3,0,0,'Données projet'!$E$13+1,1))</f>
        <v>773.15074145293738</v>
      </c>
      <c r="CZ107" s="59">
        <f t="shared" si="96"/>
        <v>248.49577986312505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53.378577585491918</v>
      </c>
      <c r="DG107" s="21">
        <f>EXP(-LN(2)/25)*DG106+(1-EXP(-LN(2)/25))/(LN(2)/25)*Calculateur!DB107*Calculateur!DD107*VLOOKUP('Données projet'!$B$13,Paramètres!$A$1:$I$89,3,0)*0.475*44/12</f>
        <v>35.067986813224863</v>
      </c>
      <c r="DH107" s="21">
        <f>EXP(-LN(2)/2)*DH106+(1-EXP(-LN(2)/2))/(LN(2)/2)*DB107*DE107*VLOOKUP('Données projet'!$B$13,Paramètres!$A$1:$I$89,3,0)*0.475*44/12</f>
        <v>5.4180925352477052E-2</v>
      </c>
      <c r="DI107" s="22">
        <f t="shared" si="69"/>
        <v>88.500745324069271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6.5620000000000003</v>
      </c>
      <c r="DO107" s="12">
        <f>IF('Données projet'!$A$166&gt;35,DO106+DN107-DW106,IF(A107&lt;'Données projet'!$A$166,$DL$205^A107,IF(A107='Données projet'!$A$166,'Données projet'!$B$166,DO106+DN107-DW106)))</f>
        <v>257.3000000000003</v>
      </c>
      <c r="DP107" s="17">
        <f>DO107*VLOOKUP('Données projet'!$B$14,Paramètres!$A$1:$I$89,3,0)*VLOOKUP('Données projet'!$B$14,Paramètres!$A$1:$I$89,5,0)</f>
        <v>120.41640000000014</v>
      </c>
      <c r="DQ107" s="13">
        <f t="shared" si="97"/>
        <v>31.772098167877449</v>
      </c>
      <c r="DR107" s="20">
        <f t="shared" si="70"/>
        <v>265.06163430905343</v>
      </c>
      <c r="DS107" s="59">
        <f t="shared" si="71"/>
        <v>558.39496764238675</v>
      </c>
      <c r="DT107" s="59">
        <f ca="1">AVERAGE(OFFSET($DS$3,0,0,'Données projet'!$E$14+1,1))-AVERAGE(OFFSET($H$3,0,0,'Données projet'!$E$14+1,1))</f>
        <v>293.15557501692803</v>
      </c>
      <c r="DU107" s="59">
        <f t="shared" si="98"/>
        <v>237.1930412773068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79.256490346770136</v>
      </c>
      <c r="EB107" s="21">
        <f>EXP(-LN(2)/25)*EB106+(1-EXP(-LN(2)/25))/(LN(2)/25)*Calculateur!DW107*Calculateur!DY107*VLOOKUP('Données projet'!$B$14,Paramètres!$A$1:$I$89,3,0)*0.475*44/12</f>
        <v>25.442943170497085</v>
      </c>
      <c r="EC107" s="21">
        <f>EXP(-LN(2)/2)*EC106+(1-EXP(-LN(2)/2))/(LN(2)/2)*DW107*DZ107*VLOOKUP('Données projet'!$B$14,Paramètres!$A$1:$I$89,3,0)*0.475*44/12</f>
        <v>4.2026358157233235</v>
      </c>
      <c r="ED107" s="22">
        <f t="shared" si="72"/>
        <v>108.90206933299055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-1.7053025658242404E-13</v>
      </c>
      <c r="EK107" s="17">
        <f>EJ107*VLOOKUP('Données projet'!$B$15,Paramètres!$A$1:$I$89,3,0)*VLOOKUP('Données projet'!$B$15,Paramètres!$A$1:$I$89,5,0)</f>
        <v>-1.0197709343628959E-13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225.86663363047296</v>
      </c>
      <c r="EP107" s="59">
        <f t="shared" si="100"/>
        <v>258.08349727304397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44.495031449135709</v>
      </c>
      <c r="EW107" s="21">
        <f>EXP(-LN(2)/25)*EW106+(1-EXP(-LN(2)/25))/(LN(2)/25)*Calculateur!ER107*Calculateur!ET107*VLOOKUP('Données projet'!$B$15,Paramètres!$A$1:$I$89,3,0)*0.475*44/12</f>
        <v>11.665504860583454</v>
      </c>
      <c r="EX107" s="21">
        <f>EXP(-LN(2)/2)*EX106+(1-EXP(-LN(2)/2))/(LN(2)/2)*ER107*EU107*VLOOKUP('Données projet'!$B$15,Paramètres!$A$1:$I$89,3,0)*0.475*44/12</f>
        <v>2.1323645705417946E-5</v>
      </c>
      <c r="EY107" s="22">
        <f t="shared" si="75"/>
        <v>56.160557633364867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388.12151914648013</v>
      </c>
      <c r="T108" s="59">
        <f t="shared" si="88"/>
        <v>481.43684454382793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67.457285505430718</v>
      </c>
      <c r="AA108" s="21">
        <f>EXP(-LN(2)/25)*AA107+(1-EXP(-LN(2)/25))/(LN(2)/25)*Calculateur!V108*Calculateur!X108*VLOOKUP('Données projet'!$B$9,Paramètres!$A$1:$I$89,3,0)*0.475*44/12</f>
        <v>15.850685766243766</v>
      </c>
      <c r="AB108" s="21">
        <f>EXP(-LN(2)/2)*AB107+(1-EXP(-LN(2)/2))/(LN(2)/2)*V108*Y108*VLOOKUP('Données projet'!$B$9,Paramètres!$A$1:$I$89,3,0)*0.475*44/12</f>
        <v>3.2581331288747344E-6</v>
      </c>
      <c r="AC108" s="22">
        <f t="shared" si="57"/>
        <v>83.307974529807623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-1.3596945791505279E-13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349.71285006949597</v>
      </c>
      <c r="AO108" s="59">
        <f t="shared" si="90"/>
        <v>258.51550516456842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93.417569543490004</v>
      </c>
      <c r="AV108" s="21">
        <f>EXP(-LN(2)/25)*AV107+(1-EXP(-LN(2)/25))/(LN(2)/25)*Calculateur!AQ108*Calculateur!AS108*VLOOKUP('Données projet'!$B$10,Paramètres!$A$1:$I$89,3,0)*0.475*44/12</f>
        <v>25.872186389148954</v>
      </c>
      <c r="AW108" s="21">
        <f>EXP(-LN(2)/2)*AW107+(1-EXP(-LN(2)/2))/(LN(2)/2)*AQ108*AT108*VLOOKUP('Données projet'!$B$10,Paramètres!$A$1:$I$89,3,0)*0.475*44/12</f>
        <v>1.2208060953974982E-2</v>
      </c>
      <c r="AX108" s="21">
        <f t="shared" si="60"/>
        <v>119.30196399359293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8.5265128291212022E-14</v>
      </c>
      <c r="BE108" s="13">
        <f>BD108*VLOOKUP('Données projet'!$B$11,Paramètres!$A$1:$I$89,3,0)*VLOOKUP('Données projet'!$B$11,Paramètres!$A$1:$I$89,5,0)</f>
        <v>8.9119112089974823E-14</v>
      </c>
      <c r="BF108" s="13">
        <f t="shared" si="91"/>
        <v>1.3568952080113142E-12</v>
      </c>
      <c r="BG108" s="20">
        <f t="shared" si="61"/>
        <v>2.5184749408430782E-12</v>
      </c>
      <c r="BH108" s="59">
        <f t="shared" si="62"/>
        <v>293.33333333333582</v>
      </c>
      <c r="BI108" s="59">
        <f ca="1">AVERAGE(OFFSET($BH$3,0,0,'Données projet'!$E$11+1,1))-AVERAGE(OFFSET($H$3,0,0,'Données projet'!$E$11+1,1))</f>
        <v>260.74709892624571</v>
      </c>
      <c r="BJ108" s="59">
        <f t="shared" si="92"/>
        <v>237.17381692184887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16.121229436537867</v>
      </c>
      <c r="BQ108" s="21">
        <f>EXP(-LN(2)/25)*BQ107+(1-EXP(-LN(2)/25))/(LN(2)/25)*Calculateur!BL108*Calculateur!BN108*VLOOKUP('Données projet'!$B$11,Paramètres!$A$1:$I$89,3,0)*0.475*44/12</f>
        <v>39.563678411157298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55.684907847695165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10.840999999999998</v>
      </c>
      <c r="BY108" s="12">
        <f>IF('Données projet'!$A$114&gt;35,BY107+BX108-CG107,IF(A108&lt;'Données projet'!$A$114,$BV$205^A108,IF(A108='Données projet'!$A$114,'Données projet'!$B$114,BY107+BX108-CG107)))</f>
        <v>476.83500000000004</v>
      </c>
      <c r="BZ108" s="13">
        <f>BY108*VLOOKUP('Données projet'!$B$12,Paramètres!$A$1:$I$89,3,0)*VLOOKUP('Données projet'!$B$12,Paramètres!$A$1:$I$89,5,0)</f>
        <v>431.44030800000002</v>
      </c>
      <c r="CA108" s="13">
        <f t="shared" si="93"/>
        <v>98.122365773392104</v>
      </c>
      <c r="CB108" s="20">
        <f t="shared" si="64"/>
        <v>922.32165682199127</v>
      </c>
      <c r="CC108" s="59">
        <f t="shared" si="65"/>
        <v>1215.6549901553246</v>
      </c>
      <c r="CD108" s="59">
        <f ca="1">AVERAGE(OFFSET($CC$3,0,0,'Données projet'!$E$12+1,1))-AVERAGE(OFFSET($H$3,0,0,'Données projet'!$E$12+1,1))</f>
        <v>695.0879239758051</v>
      </c>
      <c r="CE108" s="59">
        <f t="shared" si="94"/>
        <v>226.22150997227476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46.696117872799405</v>
      </c>
      <c r="CL108" s="21">
        <f>EXP(-LN(2)/25)*CL107+(1-EXP(-LN(2)/25))/(LN(2)/25)*Calculateur!CG108*Calculateur!CI108*VLOOKUP('Données projet'!$B$12,Paramètres!$A$1:$I$89,3,0)*0.475*44/12</f>
        <v>30.435768468322667</v>
      </c>
      <c r="CM108" s="21">
        <f>EXP(-LN(2)/2)*CM107+(1-EXP(-LN(2)/2))/(LN(2)/2)*CG108*CJ108*VLOOKUP('Données projet'!$B$12,Paramètres!$A$1:$I$89,3,0)*0.475*44/12</f>
        <v>3.4185824372408011E-2</v>
      </c>
      <c r="CN108" s="22">
        <f t="shared" si="66"/>
        <v>77.166072165494484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10.840999999999998</v>
      </c>
      <c r="CT108" s="12">
        <f>IF('Données projet'!$A$140&gt;35,CT107+CS108-DB107,IF(A108&lt;'Données projet'!$A$140,$CQ$205^A108,IF(A108='Données projet'!$A$140,'Données projet'!$B$140,CT107+CS108-DB107)))</f>
        <v>476.83500000000004</v>
      </c>
      <c r="CU108" s="17">
        <f>CT108*VLOOKUP('Données projet'!$B$13,Paramètres!$A$1:$I$89,3,0)*VLOOKUP('Données projet'!$B$13,Paramètres!$A$1:$I$89,5,0)</f>
        <v>483.51069000000007</v>
      </c>
      <c r="CV108" s="13">
        <f t="shared" si="95"/>
        <v>108.5158752213613</v>
      </c>
      <c r="CW108" s="20">
        <f t="shared" si="67"/>
        <v>1031.1129344272042</v>
      </c>
      <c r="CX108" s="59">
        <f t="shared" si="68"/>
        <v>1324.4462677605375</v>
      </c>
      <c r="CY108" s="59">
        <f ca="1">AVERAGE(OFFSET($CX$3,0,0,'Données projet'!$E$13+1,1))-AVERAGE(OFFSET($H$3,0,0,'Données projet'!$E$13+1,1))</f>
        <v>773.15074145293738</v>
      </c>
      <c r="CZ108" s="59">
        <f t="shared" si="96"/>
        <v>248.49577986312505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52.331856236757943</v>
      </c>
      <c r="DG108" s="21">
        <f>EXP(-LN(2)/25)*DG107+(1-EXP(-LN(2)/25))/(LN(2)/25)*Calculateur!DB108*Calculateur!DD108*VLOOKUP('Données projet'!$B$13,Paramètres!$A$1:$I$89,3,0)*0.475*44/12</f>
        <v>34.109050869671954</v>
      </c>
      <c r="DH108" s="21">
        <f>EXP(-LN(2)/2)*DH107+(1-EXP(-LN(2)/2))/(LN(2)/2)*DB108*DE108*VLOOKUP('Données projet'!$B$13,Paramètres!$A$1:$I$89,3,0)*0.475*44/12</f>
        <v>3.8311699727698656E-2</v>
      </c>
      <c r="DI108" s="22">
        <f t="shared" si="69"/>
        <v>86.479218806157604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6.5620000000000003</v>
      </c>
      <c r="DO108" s="12">
        <f>IF('Données projet'!$A$166&gt;35,DO107+DN108-DW107,IF(A108&lt;'Données projet'!$A$166,$DL$205^A108,IF(A108='Données projet'!$A$166,'Données projet'!$B$166,DO107+DN108-DW107)))</f>
        <v>263.86200000000031</v>
      </c>
      <c r="DP108" s="17">
        <f>DO108*VLOOKUP('Données projet'!$B$14,Paramètres!$A$1:$I$89,3,0)*VLOOKUP('Données projet'!$B$14,Paramètres!$A$1:$I$89,5,0)</f>
        <v>123.48741600000015</v>
      </c>
      <c r="DQ108" s="13">
        <f t="shared" si="97"/>
        <v>32.48702070756385</v>
      </c>
      <c r="DR108" s="20">
        <f t="shared" si="70"/>
        <v>271.65547726567394</v>
      </c>
      <c r="DS108" s="59">
        <f t="shared" si="71"/>
        <v>564.98881059900725</v>
      </c>
      <c r="DT108" s="59">
        <f ca="1">AVERAGE(OFFSET($DS$3,0,0,'Données projet'!$E$14+1,1))-AVERAGE(OFFSET($H$3,0,0,'Données projet'!$E$14+1,1))</f>
        <v>293.15557501692803</v>
      </c>
      <c r="DU108" s="59">
        <f t="shared" si="98"/>
        <v>237.1930412773068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77.702318912755743</v>
      </c>
      <c r="EB108" s="21">
        <f>EXP(-LN(2)/25)*EB107+(1-EXP(-LN(2)/25))/(LN(2)/25)*Calculateur!DW108*Calculateur!DY108*VLOOKUP('Données projet'!$B$14,Paramètres!$A$1:$I$89,3,0)*0.475*44/12</f>
        <v>24.747204551513612</v>
      </c>
      <c r="EC108" s="21">
        <f>EXP(-LN(2)/2)*EC107+(1-EXP(-LN(2)/2))/(LN(2)/2)*DW108*DZ108*VLOOKUP('Données projet'!$B$14,Paramètres!$A$1:$I$89,3,0)*0.475*44/12</f>
        <v>2.9717122841554198</v>
      </c>
      <c r="ED108" s="22">
        <f t="shared" si="72"/>
        <v>105.42123574842478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-1.7053025658242404E-13</v>
      </c>
      <c r="EK108" s="17">
        <f>EJ108*VLOOKUP('Données projet'!$B$15,Paramètres!$A$1:$I$89,3,0)*VLOOKUP('Données projet'!$B$15,Paramètres!$A$1:$I$89,5,0)</f>
        <v>-1.0197709343628959E-13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225.86663363047296</v>
      </c>
      <c r="EP108" s="59">
        <f t="shared" si="100"/>
        <v>258.08349727304397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43.62251102170756</v>
      </c>
      <c r="EW108" s="21">
        <f>EXP(-LN(2)/25)*EW107+(1-EXP(-LN(2)/25))/(LN(2)/25)*Calculateur!ER108*Calculateur!ET108*VLOOKUP('Données projet'!$B$15,Paramètres!$A$1:$I$89,3,0)*0.475*44/12</f>
        <v>11.346511016708561</v>
      </c>
      <c r="EX108" s="21">
        <f>EXP(-LN(2)/2)*EX107+(1-EXP(-LN(2)/2))/(LN(2)/2)*ER108*EU108*VLOOKUP('Données projet'!$B$15,Paramètres!$A$1:$I$89,3,0)*0.475*44/12</f>
        <v>1.5078094477920432E-5</v>
      </c>
      <c r="EY108" s="22">
        <f t="shared" si="75"/>
        <v>54.969037116510599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388.12151914648013</v>
      </c>
      <c r="T109" s="59">
        <f t="shared" si="88"/>
        <v>481.43684454382793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66.134489281550657</v>
      </c>
      <c r="AA109" s="21">
        <f>EXP(-LN(2)/25)*AA108+(1-EXP(-LN(2)/25))/(LN(2)/25)*Calculateur!V109*Calculateur!X109*VLOOKUP('Données projet'!$B$9,Paramètres!$A$1:$I$89,3,0)*0.475*44/12</f>
        <v>15.417247930414492</v>
      </c>
      <c r="AB109" s="21">
        <f>EXP(-LN(2)/2)*AB108+(1-EXP(-LN(2)/2))/(LN(2)/2)*V109*Y109*VLOOKUP('Données projet'!$B$9,Paramètres!$A$1:$I$89,3,0)*0.475*44/12</f>
        <v>2.3038480294358682E-6</v>
      </c>
      <c r="AC109" s="22">
        <f t="shared" si="57"/>
        <v>81.551739515813182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-1.3596945791505279E-13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349.71285006949597</v>
      </c>
      <c r="AO109" s="59">
        <f t="shared" si="90"/>
        <v>258.51550516456842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91.585707983833373</v>
      </c>
      <c r="AV109" s="21">
        <f>EXP(-LN(2)/25)*AV108+(1-EXP(-LN(2)/25))/(LN(2)/25)*Calculateur!AQ109*Calculateur!AS109*VLOOKUP('Données projet'!$B$10,Paramètres!$A$1:$I$89,3,0)*0.475*44/12</f>
        <v>25.164710091778524</v>
      </c>
      <c r="AW109" s="21">
        <f>EXP(-LN(2)/2)*AW108+(1-EXP(-LN(2)/2))/(LN(2)/2)*AQ109*AT109*VLOOKUP('Données projet'!$B$10,Paramètres!$A$1:$I$89,3,0)*0.475*44/12</f>
        <v>8.6324026856944222E-3</v>
      </c>
      <c r="AX109" s="21">
        <f t="shared" si="60"/>
        <v>116.75905047829758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8.5265128291212022E-14</v>
      </c>
      <c r="BE109" s="13">
        <f>BD109*VLOOKUP('Données projet'!$B$11,Paramètres!$A$1:$I$89,3,0)*VLOOKUP('Données projet'!$B$11,Paramètres!$A$1:$I$89,5,0)</f>
        <v>8.9119112089974823E-14</v>
      </c>
      <c r="BF109" s="13">
        <f t="shared" si="91"/>
        <v>1.3568952080113142E-12</v>
      </c>
      <c r="BG109" s="20">
        <f t="shared" si="61"/>
        <v>2.5184749408430782E-12</v>
      </c>
      <c r="BH109" s="59">
        <f t="shared" si="62"/>
        <v>293.33333333333582</v>
      </c>
      <c r="BI109" s="59">
        <f ca="1">AVERAGE(OFFSET($BH$3,0,0,'Données projet'!$E$11+1,1))-AVERAGE(OFFSET($H$3,0,0,'Données projet'!$E$11+1,1))</f>
        <v>260.74709892624571</v>
      </c>
      <c r="BJ109" s="59">
        <f t="shared" si="92"/>
        <v>237.17381692184887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15.80510196026639</v>
      </c>
      <c r="BQ109" s="21">
        <f>EXP(-LN(2)/25)*BQ108+(1-EXP(-LN(2)/25))/(LN(2)/25)*Calculateur!BL109*Calculateur!BN109*VLOOKUP('Données projet'!$B$11,Paramètres!$A$1:$I$89,3,0)*0.475*44/12</f>
        <v>38.481807544440777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54.286909504707168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10.840999999999998</v>
      </c>
      <c r="BY109" s="12">
        <f>IF('Données projet'!$A$114&gt;35,BY108+BX109-CG108,IF(A109&lt;'Données projet'!$A$114,$BV$205^A109,IF(A109='Données projet'!$A$114,'Données projet'!$B$114,BY108+BX109-CG108)))</f>
        <v>487.67600000000004</v>
      </c>
      <c r="BZ109" s="13">
        <f>BY109*VLOOKUP('Données projet'!$B$12,Paramètres!$A$1:$I$89,3,0)*VLOOKUP('Données projet'!$B$12,Paramètres!$A$1:$I$89,5,0)</f>
        <v>441.24924480000004</v>
      </c>
      <c r="CA109" s="13">
        <f t="shared" si="93"/>
        <v>100.09095321491932</v>
      </c>
      <c r="CB109" s="20">
        <f t="shared" si="64"/>
        <v>942.83417820931766</v>
      </c>
      <c r="CC109" s="59">
        <f t="shared" si="65"/>
        <v>1236.167511542651</v>
      </c>
      <c r="CD109" s="59">
        <f ca="1">AVERAGE(OFFSET($CC$3,0,0,'Données projet'!$E$12+1,1))-AVERAGE(OFFSET($H$3,0,0,'Données projet'!$E$12+1,1))</f>
        <v>695.0879239758051</v>
      </c>
      <c r="CE109" s="59">
        <f t="shared" si="94"/>
        <v>226.22150997227476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45.780435483133367</v>
      </c>
      <c r="CL109" s="21">
        <f>EXP(-LN(2)/25)*CL108+(1-EXP(-LN(2)/25))/(LN(2)/25)*Calculateur!CG109*Calculateur!CI109*VLOOKUP('Données projet'!$B$12,Paramètres!$A$1:$I$89,3,0)*0.475*44/12</f>
        <v>29.603500779008883</v>
      </c>
      <c r="CM109" s="21">
        <f>EXP(-LN(2)/2)*CM108+(1-EXP(-LN(2)/2))/(LN(2)/2)*CG109*CJ109*VLOOKUP('Données projet'!$B$12,Paramètres!$A$1:$I$89,3,0)*0.475*44/12</f>
        <v>2.4173028234182055E-2</v>
      </c>
      <c r="CN109" s="22">
        <f t="shared" si="66"/>
        <v>75.40810929037643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10.840999999999998</v>
      </c>
      <c r="CT109" s="12">
        <f>IF('Données projet'!$A$140&gt;35,CT108+CS109-DB108,IF(A109&lt;'Données projet'!$A$140,$CQ$205^A109,IF(A109='Données projet'!$A$140,'Données projet'!$B$140,CT108+CS109-DB108)))</f>
        <v>487.67600000000004</v>
      </c>
      <c r="CU109" s="17">
        <f>CT109*VLOOKUP('Données projet'!$B$13,Paramètres!$A$1:$I$89,3,0)*VLOOKUP('Données projet'!$B$13,Paramètres!$A$1:$I$89,5,0)</f>
        <v>494.50346400000006</v>
      </c>
      <c r="CV109" s="13">
        <f t="shared" si="95"/>
        <v>110.69298323830859</v>
      </c>
      <c r="CW109" s="20">
        <f t="shared" si="67"/>
        <v>1054.0504789400543</v>
      </c>
      <c r="CX109" s="59">
        <f t="shared" si="68"/>
        <v>1347.3838122733875</v>
      </c>
      <c r="CY109" s="59">
        <f ca="1">AVERAGE(OFFSET($CX$3,0,0,'Données projet'!$E$13+1,1))-AVERAGE(OFFSET($H$3,0,0,'Données projet'!$E$13+1,1))</f>
        <v>773.15074145293738</v>
      </c>
      <c r="CZ109" s="59">
        <f t="shared" si="96"/>
        <v>248.49577986312505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51.30566045523566</v>
      </c>
      <c r="DG109" s="21">
        <f>EXP(-LN(2)/25)*DG108+(1-EXP(-LN(2)/25))/(LN(2)/25)*Calculateur!DB109*Calculateur!DD109*VLOOKUP('Données projet'!$B$13,Paramètres!$A$1:$I$89,3,0)*0.475*44/12</f>
        <v>33.176337079923748</v>
      </c>
      <c r="DH109" s="21">
        <f>EXP(-LN(2)/2)*DH108+(1-EXP(-LN(2)/2))/(LN(2)/2)*DB109*DE109*VLOOKUP('Données projet'!$B$13,Paramètres!$A$1:$I$89,3,0)*0.475*44/12</f>
        <v>2.7090462676238526E-2</v>
      </c>
      <c r="DI109" s="22">
        <f t="shared" si="69"/>
        <v>84.50908799783565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6.5620000000000003</v>
      </c>
      <c r="DO109" s="12">
        <f>IF('Données projet'!$A$166&gt;35,DO108+DN109-DW108,IF(A109&lt;'Données projet'!$A$166,$DL$205^A109,IF(A109='Données projet'!$A$166,'Données projet'!$B$166,DO108+DN109-DW108)))</f>
        <v>270.42400000000032</v>
      </c>
      <c r="DP109" s="17">
        <f>DO109*VLOOKUP('Données projet'!$B$14,Paramètres!$A$1:$I$89,3,0)*VLOOKUP('Données projet'!$B$14,Paramètres!$A$1:$I$89,5,0)</f>
        <v>126.55843200000014</v>
      </c>
      <c r="DQ109" s="13">
        <f t="shared" si="97"/>
        <v>33.199876486422404</v>
      </c>
      <c r="DR109" s="20">
        <f t="shared" si="70"/>
        <v>278.2457206138526</v>
      </c>
      <c r="DS109" s="59">
        <f t="shared" si="71"/>
        <v>571.57905394718591</v>
      </c>
      <c r="DT109" s="59">
        <f ca="1">AVERAGE(OFFSET($DS$3,0,0,'Données projet'!$E$14+1,1))-AVERAGE(OFFSET($H$3,0,0,'Données projet'!$E$14+1,1))</f>
        <v>293.15557501692803</v>
      </c>
      <c r="DU109" s="59">
        <f t="shared" si="98"/>
        <v>237.1930412773068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76.178623832611393</v>
      </c>
      <c r="EB109" s="21">
        <f>EXP(-LN(2)/25)*EB108+(1-EXP(-LN(2)/25))/(LN(2)/25)*Calculateur!DW109*Calculateur!DY109*VLOOKUP('Données projet'!$B$14,Paramètres!$A$1:$I$89,3,0)*0.475*44/12</f>
        <v>24.070490941653546</v>
      </c>
      <c r="EC109" s="21">
        <f>EXP(-LN(2)/2)*EC108+(1-EXP(-LN(2)/2))/(LN(2)/2)*DW109*DZ109*VLOOKUP('Données projet'!$B$14,Paramètres!$A$1:$I$89,3,0)*0.475*44/12</f>
        <v>2.1013179078616617</v>
      </c>
      <c r="ED109" s="22">
        <f t="shared" si="72"/>
        <v>102.35043268212659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-1.7053025658242404E-13</v>
      </c>
      <c r="EK109" s="17">
        <f>EJ109*VLOOKUP('Données projet'!$B$15,Paramètres!$A$1:$I$89,3,0)*VLOOKUP('Données projet'!$B$15,Paramètres!$A$1:$I$89,5,0)</f>
        <v>-1.0197709343628959E-13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225.86663363047296</v>
      </c>
      <c r="EP109" s="59">
        <f t="shared" si="100"/>
        <v>258.08349727304397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42.767100187676363</v>
      </c>
      <c r="EW109" s="21">
        <f>EXP(-LN(2)/25)*EW108+(1-EXP(-LN(2)/25))/(LN(2)/25)*Calculateur!ER109*Calculateur!ET109*VLOOKUP('Données projet'!$B$15,Paramètres!$A$1:$I$89,3,0)*0.475*44/12</f>
        <v>11.036240076269584</v>
      </c>
      <c r="EX109" s="21">
        <f>EXP(-LN(2)/2)*EX108+(1-EXP(-LN(2)/2))/(LN(2)/2)*ER109*EU109*VLOOKUP('Données projet'!$B$15,Paramètres!$A$1:$I$89,3,0)*0.475*44/12</f>
        <v>1.0661822852708975E-5</v>
      </c>
      <c r="EY109" s="22">
        <f t="shared" si="75"/>
        <v>53.803350925768804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388.12151914648013</v>
      </c>
      <c r="T110" s="59">
        <f t="shared" si="88"/>
        <v>481.43684454382793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64.837632284794864</v>
      </c>
      <c r="AA110" s="21">
        <f>EXP(-LN(2)/25)*AA109+(1-EXP(-LN(2)/25))/(LN(2)/25)*Calculateur!V110*Calculateur!X110*VLOOKUP('Données projet'!$B$9,Paramètres!$A$1:$I$89,3,0)*0.475*44/12</f>
        <v>14.995662474999476</v>
      </c>
      <c r="AB110" s="21">
        <f>EXP(-LN(2)/2)*AB109+(1-EXP(-LN(2)/2))/(LN(2)/2)*V110*Y110*VLOOKUP('Données projet'!$B$9,Paramètres!$A$1:$I$89,3,0)*0.475*44/12</f>
        <v>1.6290665644373672E-6</v>
      </c>
      <c r="AC110" s="22">
        <f t="shared" si="57"/>
        <v>79.833296388860902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-1.3596945791505279E-13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349.71285006949597</v>
      </c>
      <c r="AO110" s="59">
        <f t="shared" si="90"/>
        <v>258.51550516456842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89.789768112036384</v>
      </c>
      <c r="AV110" s="21">
        <f>EXP(-LN(2)/25)*AV109+(1-EXP(-LN(2)/25))/(LN(2)/25)*Calculateur!AQ110*Calculateur!AS110*VLOOKUP('Données projet'!$B$10,Paramètres!$A$1:$I$89,3,0)*0.475*44/12</f>
        <v>24.47657977096425</v>
      </c>
      <c r="AW110" s="21">
        <f>EXP(-LN(2)/2)*AW109+(1-EXP(-LN(2)/2))/(LN(2)/2)*AQ110*AT110*VLOOKUP('Données projet'!$B$10,Paramètres!$A$1:$I$89,3,0)*0.475*44/12</f>
        <v>6.104030476987491E-3</v>
      </c>
      <c r="AX110" s="21">
        <f t="shared" si="60"/>
        <v>114.27245191347762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8.5265128291212022E-14</v>
      </c>
      <c r="BE110" s="13">
        <f>BD110*VLOOKUP('Données projet'!$B$11,Paramètres!$A$1:$I$89,3,0)*VLOOKUP('Données projet'!$B$11,Paramètres!$A$1:$I$89,5,0)</f>
        <v>8.9119112089974823E-14</v>
      </c>
      <c r="BF110" s="13">
        <f t="shared" si="91"/>
        <v>1.3568952080113142E-12</v>
      </c>
      <c r="BG110" s="20">
        <f t="shared" si="61"/>
        <v>2.5184749408430782E-12</v>
      </c>
      <c r="BH110" s="59">
        <f t="shared" si="62"/>
        <v>293.33333333333582</v>
      </c>
      <c r="BI110" s="59">
        <f ca="1">AVERAGE(OFFSET($BH$3,0,0,'Données projet'!$E$11+1,1))-AVERAGE(OFFSET($H$3,0,0,'Données projet'!$E$11+1,1))</f>
        <v>260.74709892624571</v>
      </c>
      <c r="BJ110" s="59">
        <f t="shared" si="92"/>
        <v>237.17381692184887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15.495173550985875</v>
      </c>
      <c r="BQ110" s="21">
        <f>EXP(-LN(2)/25)*BQ109+(1-EXP(-LN(2)/25))/(LN(2)/25)*Calculateur!BL110*Calculateur!BN110*VLOOKUP('Données projet'!$B$11,Paramètres!$A$1:$I$89,3,0)*0.475*44/12</f>
        <v>37.429520493467734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52.924694044453609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10.840999999999998</v>
      </c>
      <c r="BY110" s="12">
        <f>IF('Données projet'!$A$114&gt;35,BY109+BX110-CG109,IF(A110&lt;'Données projet'!$A$114,$BV$205^A110,IF(A110='Données projet'!$A$114,'Données projet'!$B$114,BY109+BX110-CG109)))</f>
        <v>498.51700000000005</v>
      </c>
      <c r="BZ110" s="13">
        <f>BY110*VLOOKUP('Données projet'!$B$12,Paramètres!$A$1:$I$89,3,0)*VLOOKUP('Données projet'!$B$12,Paramètres!$A$1:$I$89,5,0)</f>
        <v>451.05818160000001</v>
      </c>
      <c r="CA110" s="13">
        <f t="shared" si="93"/>
        <v>102.05445295405619</v>
      </c>
      <c r="CB110" s="20">
        <f t="shared" si="64"/>
        <v>963.33783851498117</v>
      </c>
      <c r="CC110" s="59">
        <f t="shared" si="65"/>
        <v>1256.6711718483145</v>
      </c>
      <c r="CD110" s="59">
        <f ca="1">AVERAGE(OFFSET($CC$3,0,0,'Données projet'!$E$12+1,1))-AVERAGE(OFFSET($H$3,0,0,'Données projet'!$E$12+1,1))</f>
        <v>695.0879239758051</v>
      </c>
      <c r="CE110" s="59">
        <f t="shared" si="94"/>
        <v>226.22150997227476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44.882709066617572</v>
      </c>
      <c r="CL110" s="21">
        <f>EXP(-LN(2)/25)*CL109+(1-EXP(-LN(2)/25))/(LN(2)/25)*Calculateur!CG110*Calculateur!CI110*VLOOKUP('Données projet'!$B$12,Paramètres!$A$1:$I$89,3,0)*0.475*44/12</f>
        <v>28.793991493426439</v>
      </c>
      <c r="CM110" s="21">
        <f>EXP(-LN(2)/2)*CM109+(1-EXP(-LN(2)/2))/(LN(2)/2)*CG110*CJ110*VLOOKUP('Données projet'!$B$12,Paramètres!$A$1:$I$89,3,0)*0.475*44/12</f>
        <v>1.7092912186204005E-2</v>
      </c>
      <c r="CN110" s="22">
        <f t="shared" si="66"/>
        <v>73.693793472230212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10.840999999999998</v>
      </c>
      <c r="CT110" s="12">
        <f>IF('Données projet'!$A$140&gt;35,CT109+CS110-DB109,IF(A110&lt;'Données projet'!$A$140,$CQ$205^A110,IF(A110='Données projet'!$A$140,'Données projet'!$B$140,CT109+CS110-DB109)))</f>
        <v>498.51700000000005</v>
      </c>
      <c r="CU110" s="17">
        <f>CT110*VLOOKUP('Données projet'!$B$13,Paramètres!$A$1:$I$89,3,0)*VLOOKUP('Données projet'!$B$13,Paramètres!$A$1:$I$89,5,0)</f>
        <v>505.49623800000006</v>
      </c>
      <c r="CV110" s="13">
        <f t="shared" si="95"/>
        <v>112.86446464328638</v>
      </c>
      <c r="CW110" s="20">
        <f t="shared" si="67"/>
        <v>1076.9782237703905</v>
      </c>
      <c r="CX110" s="59">
        <f t="shared" si="68"/>
        <v>1370.3115571037238</v>
      </c>
      <c r="CY110" s="59">
        <f ca="1">AVERAGE(OFFSET($CX$3,0,0,'Données projet'!$E$13+1,1))-AVERAGE(OFFSET($H$3,0,0,'Données projet'!$E$13+1,1))</f>
        <v>773.15074145293738</v>
      </c>
      <c r="CZ110" s="59">
        <f t="shared" si="96"/>
        <v>248.49577986312505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50.299587747071406</v>
      </c>
      <c r="DG110" s="21">
        <f>EXP(-LN(2)/25)*DG109+(1-EXP(-LN(2)/25))/(LN(2)/25)*Calculateur!DB110*Calculateur!DD110*VLOOKUP('Données projet'!$B$13,Paramètres!$A$1:$I$89,3,0)*0.475*44/12</f>
        <v>32.269128397805488</v>
      </c>
      <c r="DH110" s="21">
        <f>EXP(-LN(2)/2)*DH109+(1-EXP(-LN(2)/2))/(LN(2)/2)*DB110*DE110*VLOOKUP('Données projet'!$B$13,Paramètres!$A$1:$I$89,3,0)*0.475*44/12</f>
        <v>1.9155849863849328E-2</v>
      </c>
      <c r="DI110" s="22">
        <f t="shared" si="69"/>
        <v>82.587871994740752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6.5620000000000003</v>
      </c>
      <c r="DO110" s="12">
        <f>IF('Données projet'!$A$166&gt;35,DO109+DN110-DW109,IF(A110&lt;'Données projet'!$A$166,$DL$205^A110,IF(A110='Données projet'!$A$166,'Données projet'!$B$166,DO109+DN110-DW109)))</f>
        <v>276.98600000000033</v>
      </c>
      <c r="DP110" s="17">
        <f>DO110*VLOOKUP('Données projet'!$B$14,Paramètres!$A$1:$I$89,3,0)*VLOOKUP('Données projet'!$B$14,Paramètres!$A$1:$I$89,5,0)</f>
        <v>129.62944800000017</v>
      </c>
      <c r="DQ110" s="13">
        <f t="shared" si="97"/>
        <v>33.910721425340135</v>
      </c>
      <c r="DR110" s="20">
        <f t="shared" si="70"/>
        <v>284.83246174913438</v>
      </c>
      <c r="DS110" s="59">
        <f t="shared" si="71"/>
        <v>578.16579508246764</v>
      </c>
      <c r="DT110" s="59">
        <f ca="1">AVERAGE(OFFSET($DS$3,0,0,'Données projet'!$E$14+1,1))-AVERAGE(OFFSET($H$3,0,0,'Données projet'!$E$14+1,1))</f>
        <v>293.15557501692803</v>
      </c>
      <c r="DU110" s="59">
        <f t="shared" si="98"/>
        <v>237.1930412773068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74.684807483626443</v>
      </c>
      <c r="EB110" s="21">
        <f>EXP(-LN(2)/25)*EB109+(1-EXP(-LN(2)/25))/(LN(2)/25)*Calculateur!DW110*Calculateur!DY110*VLOOKUP('Données projet'!$B$14,Paramètres!$A$1:$I$89,3,0)*0.475*44/12</f>
        <v>23.412282101041924</v>
      </c>
      <c r="EC110" s="21">
        <f>EXP(-LN(2)/2)*EC109+(1-EXP(-LN(2)/2))/(LN(2)/2)*DW110*DZ110*VLOOKUP('Données projet'!$B$14,Paramètres!$A$1:$I$89,3,0)*0.475*44/12</f>
        <v>1.4858561420777099</v>
      </c>
      <c r="ED110" s="22">
        <f t="shared" si="72"/>
        <v>99.582945726746075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-1.7053025658242404E-13</v>
      </c>
      <c r="EK110" s="17">
        <f>EJ110*VLOOKUP('Données projet'!$B$15,Paramètres!$A$1:$I$89,3,0)*VLOOKUP('Données projet'!$B$15,Paramètres!$A$1:$I$89,5,0)</f>
        <v>-1.0197709343628959E-13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225.86663363047296</v>
      </c>
      <c r="EP110" s="59">
        <f t="shared" si="100"/>
        <v>258.08349727304397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41.928463438351429</v>
      </c>
      <c r="EW110" s="21">
        <f>EXP(-LN(2)/25)*EW109+(1-EXP(-LN(2)/25))/(LN(2)/25)*Calculateur!ER110*Calculateur!ET110*VLOOKUP('Données projet'!$B$15,Paramètres!$A$1:$I$89,3,0)*0.475*44/12</f>
        <v>10.734453511013349</v>
      </c>
      <c r="EX110" s="21">
        <f>EXP(-LN(2)/2)*EX109+(1-EXP(-LN(2)/2))/(LN(2)/2)*ER110*EU110*VLOOKUP('Données projet'!$B$15,Paramètres!$A$1:$I$89,3,0)*0.475*44/12</f>
        <v>7.5390472389602175E-6</v>
      </c>
      <c r="EY110" s="22">
        <f t="shared" si="75"/>
        <v>52.662924488412017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388.12151914648013</v>
      </c>
      <c r="T111" s="59">
        <f t="shared" si="88"/>
        <v>481.43684454382793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63.566205862740787</v>
      </c>
      <c r="AA111" s="21">
        <f>EXP(-LN(2)/25)*AA110+(1-EXP(-LN(2)/25))/(LN(2)/25)*Calculateur!V111*Calculateur!X111*VLOOKUP('Données projet'!$B$9,Paramètres!$A$1:$I$89,3,0)*0.475*44/12</f>
        <v>14.585605296032998</v>
      </c>
      <c r="AB111" s="21">
        <f>EXP(-LN(2)/2)*AB110+(1-EXP(-LN(2)/2))/(LN(2)/2)*V111*Y111*VLOOKUP('Données projet'!$B$9,Paramètres!$A$1:$I$89,3,0)*0.475*44/12</f>
        <v>1.1519240147179341E-6</v>
      </c>
      <c r="AC111" s="22">
        <f t="shared" si="57"/>
        <v>78.151812310697792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-1.3596945791505279E-13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349.71285006949597</v>
      </c>
      <c r="AO111" s="59">
        <f t="shared" si="90"/>
        <v>258.51550516456842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88.029045525710174</v>
      </c>
      <c r="AV111" s="21">
        <f>EXP(-LN(2)/25)*AV110+(1-EXP(-LN(2)/25))/(LN(2)/25)*Calculateur!AQ111*Calculateur!AS111*VLOOKUP('Données projet'!$B$10,Paramètres!$A$1:$I$89,3,0)*0.475*44/12</f>
        <v>23.807266409959844</v>
      </c>
      <c r="AW111" s="21">
        <f>EXP(-LN(2)/2)*AW110+(1-EXP(-LN(2)/2))/(LN(2)/2)*AQ111*AT111*VLOOKUP('Données projet'!$B$10,Paramètres!$A$1:$I$89,3,0)*0.475*44/12</f>
        <v>4.3162013428472111E-3</v>
      </c>
      <c r="AX111" s="21">
        <f t="shared" si="60"/>
        <v>111.84062813701286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8.5265128291212022E-14</v>
      </c>
      <c r="BE111" s="13">
        <f>BD111*VLOOKUP('Données projet'!$B$11,Paramètres!$A$1:$I$89,3,0)*VLOOKUP('Données projet'!$B$11,Paramètres!$A$1:$I$89,5,0)</f>
        <v>8.9119112089974823E-14</v>
      </c>
      <c r="BF111" s="13">
        <f t="shared" si="91"/>
        <v>1.3568952080113142E-12</v>
      </c>
      <c r="BG111" s="20">
        <f t="shared" si="61"/>
        <v>2.5184749408430782E-12</v>
      </c>
      <c r="BH111" s="59">
        <f t="shared" si="62"/>
        <v>293.33333333333582</v>
      </c>
      <c r="BI111" s="59">
        <f ca="1">AVERAGE(OFFSET($BH$3,0,0,'Données projet'!$E$11+1,1))-AVERAGE(OFFSET($H$3,0,0,'Données projet'!$E$11+1,1))</f>
        <v>260.74709892624571</v>
      </c>
      <c r="BJ111" s="59">
        <f t="shared" si="92"/>
        <v>237.17381692184887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15.191322648773687</v>
      </c>
      <c r="BQ111" s="21">
        <f>EXP(-LN(2)/25)*BQ110+(1-EXP(-LN(2)/25))/(LN(2)/25)*Calculateur!BL111*Calculateur!BN111*VLOOKUP('Données projet'!$B$11,Paramètres!$A$1:$I$89,3,0)*0.475*44/12</f>
        <v>36.406008287240923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51.597330936014608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10.840999999999998</v>
      </c>
      <c r="BY111" s="12">
        <f>IF('Données projet'!$A$114&gt;35,BY110+BX111-CG110,IF(A111&lt;'Données projet'!$A$114,$BV$205^A111,IF(A111='Données projet'!$A$114,'Données projet'!$B$114,BY110+BX111-CG110)))</f>
        <v>509.35800000000006</v>
      </c>
      <c r="BZ111" s="13">
        <f>BY111*VLOOKUP('Données projet'!$B$12,Paramètres!$A$1:$I$89,3,0)*VLOOKUP('Données projet'!$B$12,Paramètres!$A$1:$I$89,5,0)</f>
        <v>460.86711840000004</v>
      </c>
      <c r="CA111" s="13">
        <f t="shared" si="93"/>
        <v>104.01298837243165</v>
      </c>
      <c r="CB111" s="20">
        <f t="shared" si="64"/>
        <v>983.83285262865172</v>
      </c>
      <c r="CC111" s="59">
        <f t="shared" si="65"/>
        <v>1277.1661859619851</v>
      </c>
      <c r="CD111" s="59">
        <f ca="1">AVERAGE(OFFSET($CC$3,0,0,'Données projet'!$E$12+1,1))-AVERAGE(OFFSET($H$3,0,0,'Données projet'!$E$12+1,1))</f>
        <v>695.0879239758051</v>
      </c>
      <c r="CE111" s="59">
        <f t="shared" si="94"/>
        <v>226.22150997227476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44.002586517570599</v>
      </c>
      <c r="CL111" s="21">
        <f>EXP(-LN(2)/25)*CL110+(1-EXP(-LN(2)/25))/(LN(2)/25)*Calculateur!CG111*Calculateur!CI111*VLOOKUP('Données projet'!$B$12,Paramètres!$A$1:$I$89,3,0)*0.475*44/12</f>
        <v>28.006618281828491</v>
      </c>
      <c r="CM111" s="21">
        <f>EXP(-LN(2)/2)*CM110+(1-EXP(-LN(2)/2))/(LN(2)/2)*CG111*CJ111*VLOOKUP('Données projet'!$B$12,Paramètres!$A$1:$I$89,3,0)*0.475*44/12</f>
        <v>1.2086514117091027E-2</v>
      </c>
      <c r="CN111" s="22">
        <f t="shared" si="66"/>
        <v>72.021291313516173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10.840999999999998</v>
      </c>
      <c r="CT111" s="12">
        <f>IF('Données projet'!$A$140&gt;35,CT110+CS111-DB110,IF(A111&lt;'Données projet'!$A$140,$CQ$205^A111,IF(A111='Données projet'!$A$140,'Données projet'!$B$140,CT110+CS111-DB110)))</f>
        <v>509.35800000000006</v>
      </c>
      <c r="CU111" s="17">
        <f>CT111*VLOOKUP('Données projet'!$B$13,Paramètres!$A$1:$I$89,3,0)*VLOOKUP('Données projet'!$B$13,Paramètres!$A$1:$I$89,5,0)</f>
        <v>516.48901200000012</v>
      </c>
      <c r="CV111" s="13">
        <f t="shared" si="95"/>
        <v>115.03045588699405</v>
      </c>
      <c r="CW111" s="20">
        <f t="shared" si="67"/>
        <v>1099.8964065698481</v>
      </c>
      <c r="CX111" s="59">
        <f t="shared" si="68"/>
        <v>1393.2297399031813</v>
      </c>
      <c r="CY111" s="59">
        <f ca="1">AVERAGE(OFFSET($CX$3,0,0,'Données projet'!$E$13+1,1))-AVERAGE(OFFSET($H$3,0,0,'Données projet'!$E$13+1,1))</f>
        <v>773.15074145293738</v>
      </c>
      <c r="CZ111" s="59">
        <f t="shared" si="96"/>
        <v>248.49577986312505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49.313243511070489</v>
      </c>
      <c r="DG111" s="21">
        <f>EXP(-LN(2)/25)*DG110+(1-EXP(-LN(2)/25))/(LN(2)/25)*Calculateur!DB111*Calculateur!DD111*VLOOKUP('Données projet'!$B$13,Paramètres!$A$1:$I$89,3,0)*0.475*44/12</f>
        <v>31.386727384807788</v>
      </c>
      <c r="DH111" s="21">
        <f>EXP(-LN(2)/2)*DH110+(1-EXP(-LN(2)/2))/(LN(2)/2)*DB111*DE111*VLOOKUP('Données projet'!$B$13,Paramètres!$A$1:$I$89,3,0)*0.475*44/12</f>
        <v>1.3545231338119263E-2</v>
      </c>
      <c r="DI111" s="22">
        <f t="shared" si="69"/>
        <v>80.713516127216394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6.5620000000000003</v>
      </c>
      <c r="DO111" s="12">
        <f>IF('Données projet'!$A$166&gt;35,DO110+DN111-DW110,IF(A111&lt;'Données projet'!$A$166,$DL$205^A111,IF(A111='Données projet'!$A$166,'Données projet'!$B$166,DO110+DN111-DW110)))</f>
        <v>283.54800000000034</v>
      </c>
      <c r="DP111" s="17">
        <f>DO111*VLOOKUP('Données projet'!$B$14,Paramètres!$A$1:$I$89,3,0)*VLOOKUP('Données projet'!$B$14,Paramètres!$A$1:$I$89,5,0)</f>
        <v>132.70046400000015</v>
      </c>
      <c r="DQ111" s="13">
        <f t="shared" si="97"/>
        <v>34.619608644457088</v>
      </c>
      <c r="DR111" s="20">
        <f t="shared" si="70"/>
        <v>291.41579318909641</v>
      </c>
      <c r="DS111" s="59">
        <f t="shared" si="71"/>
        <v>584.74912652242972</v>
      </c>
      <c r="DT111" s="59">
        <f ca="1">AVERAGE(OFFSET($DS$3,0,0,'Données projet'!$E$14+1,1))-AVERAGE(OFFSET($H$3,0,0,'Données projet'!$E$14+1,1))</f>
        <v>293.15557501692803</v>
      </c>
      <c r="DU111" s="59">
        <f t="shared" si="98"/>
        <v>237.1930412773068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73.220283962107089</v>
      </c>
      <c r="EB111" s="21">
        <f>EXP(-LN(2)/25)*EB110+(1-EXP(-LN(2)/25))/(LN(2)/25)*Calculateur!DW111*Calculateur!DY111*VLOOKUP('Données projet'!$B$14,Paramètres!$A$1:$I$89,3,0)*0.475*44/12</f>
        <v>22.772072015790528</v>
      </c>
      <c r="EC111" s="21">
        <f>EXP(-LN(2)/2)*EC110+(1-EXP(-LN(2)/2))/(LN(2)/2)*DW111*DZ111*VLOOKUP('Données projet'!$B$14,Paramètres!$A$1:$I$89,3,0)*0.475*44/12</f>
        <v>1.0506589539308309</v>
      </c>
      <c r="ED111" s="22">
        <f t="shared" si="72"/>
        <v>97.043014931828452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-1.7053025658242404E-13</v>
      </c>
      <c r="EK111" s="17">
        <f>EJ111*VLOOKUP('Données projet'!$B$15,Paramètres!$A$1:$I$89,3,0)*VLOOKUP('Données projet'!$B$15,Paramètres!$A$1:$I$89,5,0)</f>
        <v>-1.0197709343628959E-13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225.86663363047296</v>
      </c>
      <c r="EP111" s="59">
        <f t="shared" si="100"/>
        <v>258.08349727304397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41.106271844162848</v>
      </c>
      <c r="EW111" s="21">
        <f>EXP(-LN(2)/25)*EW110+(1-EXP(-LN(2)/25))/(LN(2)/25)*Calculateur!ER111*Calculateur!ET111*VLOOKUP('Données projet'!$B$15,Paramètres!$A$1:$I$89,3,0)*0.475*44/12</f>
        <v>10.440919315254312</v>
      </c>
      <c r="EX111" s="21">
        <f>EXP(-LN(2)/2)*EX110+(1-EXP(-LN(2)/2))/(LN(2)/2)*ER111*EU111*VLOOKUP('Données projet'!$B$15,Paramètres!$A$1:$I$89,3,0)*0.475*44/12</f>
        <v>5.3309114263544882E-6</v>
      </c>
      <c r="EY111" s="22">
        <f t="shared" si="75"/>
        <v>51.547196490328588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388.12151914648013</v>
      </c>
      <c r="T112" s="59">
        <f t="shared" si="88"/>
        <v>481.43684454382793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62.319711337329643</v>
      </c>
      <c r="AA112" s="21">
        <f>EXP(-LN(2)/25)*AA111+(1-EXP(-LN(2)/25))/(LN(2)/25)*Calculateur!V112*Calculateur!X112*VLOOKUP('Données projet'!$B$9,Paramètres!$A$1:$I$89,3,0)*0.475*44/12</f>
        <v>14.186761152189328</v>
      </c>
      <c r="AB112" s="21">
        <f>EXP(-LN(2)/2)*AB111+(1-EXP(-LN(2)/2))/(LN(2)/2)*V112*Y112*VLOOKUP('Données projet'!$B$9,Paramètres!$A$1:$I$89,3,0)*0.475*44/12</f>
        <v>8.145332822186836E-7</v>
      </c>
      <c r="AC112" s="22">
        <f t="shared" si="57"/>
        <v>76.50647330405225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-1.3596945791505279E-13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349.71285006949597</v>
      </c>
      <c r="AO112" s="59">
        <f t="shared" si="90"/>
        <v>258.51550516456842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86.302849635367082</v>
      </c>
      <c r="AV112" s="21">
        <f>EXP(-LN(2)/25)*AV111+(1-EXP(-LN(2)/25))/(LN(2)/25)*Calculateur!AQ112*Calculateur!AS112*VLOOKUP('Données projet'!$B$10,Paramètres!$A$1:$I$89,3,0)*0.475*44/12</f>
        <v>23.156255458009763</v>
      </c>
      <c r="AW112" s="21">
        <f>EXP(-LN(2)/2)*AW111+(1-EXP(-LN(2)/2))/(LN(2)/2)*AQ112*AT112*VLOOKUP('Données projet'!$B$10,Paramètres!$A$1:$I$89,3,0)*0.475*44/12</f>
        <v>3.0520152384937455E-3</v>
      </c>
      <c r="AX112" s="21">
        <f t="shared" si="60"/>
        <v>109.46215710861534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8.5265128291212022E-14</v>
      </c>
      <c r="BE112" s="13">
        <f>BD112*VLOOKUP('Données projet'!$B$11,Paramètres!$A$1:$I$89,3,0)*VLOOKUP('Données projet'!$B$11,Paramètres!$A$1:$I$89,5,0)</f>
        <v>8.9119112089974823E-14</v>
      </c>
      <c r="BF112" s="13">
        <f t="shared" si="91"/>
        <v>1.3568952080113142E-12</v>
      </c>
      <c r="BG112" s="20">
        <f t="shared" si="61"/>
        <v>2.5184749408430782E-12</v>
      </c>
      <c r="BH112" s="59">
        <f t="shared" si="62"/>
        <v>293.33333333333582</v>
      </c>
      <c r="BI112" s="59">
        <f ca="1">AVERAGE(OFFSET($BH$3,0,0,'Données projet'!$E$11+1,1))-AVERAGE(OFFSET($H$3,0,0,'Données projet'!$E$11+1,1))</f>
        <v>260.74709892624571</v>
      </c>
      <c r="BJ112" s="59">
        <f t="shared" si="92"/>
        <v>237.17381692184887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14.89343007742313</v>
      </c>
      <c r="BQ112" s="21">
        <f>EXP(-LN(2)/25)*BQ111+(1-EXP(-LN(2)/25))/(LN(2)/25)*Calculateur!BL112*Calculateur!BN112*VLOOKUP('Données projet'!$B$11,Paramètres!$A$1:$I$89,3,0)*0.475*44/12</f>
        <v>35.410484076117548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50.303914153540674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10.840999999999998</v>
      </c>
      <c r="BY112" s="12">
        <f>IF('Données projet'!$A$114&gt;35,BY111+BX112-CG111,IF(A112&lt;'Données projet'!$A$114,$BV$205^A112,IF(A112='Données projet'!$A$114,'Données projet'!$B$114,BY111+BX112-CG111)))</f>
        <v>520.19900000000007</v>
      </c>
      <c r="BZ112" s="13">
        <f>BY112*VLOOKUP('Données projet'!$B$12,Paramètres!$A$1:$I$89,3,0)*VLOOKUP('Données projet'!$B$12,Paramètres!$A$1:$I$89,5,0)</f>
        <v>470.67605520000001</v>
      </c>
      <c r="CA112" s="13">
        <f t="shared" si="93"/>
        <v>105.96667729960197</v>
      </c>
      <c r="CB112" s="20">
        <f t="shared" si="64"/>
        <v>1004.3194257701401</v>
      </c>
      <c r="CC112" s="59">
        <f t="shared" si="65"/>
        <v>1297.6527591034735</v>
      </c>
      <c r="CD112" s="59">
        <f ca="1">AVERAGE(OFFSET($CC$3,0,0,'Données projet'!$E$12+1,1))-AVERAGE(OFFSET($H$3,0,0,'Données projet'!$E$12+1,1))</f>
        <v>695.0879239758051</v>
      </c>
      <c r="CE112" s="59">
        <f t="shared" si="94"/>
        <v>226.22150997227476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43.139722634888692</v>
      </c>
      <c r="CL112" s="21">
        <f>EXP(-LN(2)/25)*CL111+(1-EXP(-LN(2)/25))/(LN(2)/25)*Calculateur!CG112*Calculateur!CI112*VLOOKUP('Données projet'!$B$12,Paramètres!$A$1:$I$89,3,0)*0.475*44/12</f>
        <v>27.240775832107847</v>
      </c>
      <c r="CM112" s="21">
        <f>EXP(-LN(2)/2)*CM111+(1-EXP(-LN(2)/2))/(LN(2)/2)*CG112*CJ112*VLOOKUP('Données projet'!$B$12,Paramètres!$A$1:$I$89,3,0)*0.475*44/12</f>
        <v>8.5464560931020027E-3</v>
      </c>
      <c r="CN112" s="22">
        <f t="shared" si="66"/>
        <v>70.389044923089642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10.840999999999998</v>
      </c>
      <c r="CT112" s="12">
        <f>IF('Données projet'!$A$140&gt;35,CT111+CS112-DB111,IF(A112&lt;'Données projet'!$A$140,$CQ$205^A112,IF(A112='Données projet'!$A$140,'Données projet'!$B$140,CT111+CS112-DB111)))</f>
        <v>520.19900000000007</v>
      </c>
      <c r="CU112" s="17">
        <f>CT112*VLOOKUP('Données projet'!$B$13,Paramètres!$A$1:$I$89,3,0)*VLOOKUP('Données projet'!$B$13,Paramètres!$A$1:$I$89,5,0)</f>
        <v>527.48178600000006</v>
      </c>
      <c r="CV112" s="13">
        <f t="shared" si="95"/>
        <v>117.19108727996093</v>
      </c>
      <c r="CW112" s="20">
        <f t="shared" si="67"/>
        <v>1122.8052542959319</v>
      </c>
      <c r="CX112" s="59">
        <f t="shared" si="68"/>
        <v>1416.1385876292652</v>
      </c>
      <c r="CY112" s="59">
        <f ca="1">AVERAGE(OFFSET($CX$3,0,0,'Données projet'!$E$13+1,1))-AVERAGE(OFFSET($H$3,0,0,'Données projet'!$E$13+1,1))</f>
        <v>773.15074145293738</v>
      </c>
      <c r="CZ112" s="59">
        <f t="shared" si="96"/>
        <v>248.49577986312505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48.346240883926974</v>
      </c>
      <c r="DG112" s="21">
        <f>EXP(-LN(2)/25)*DG111+(1-EXP(-LN(2)/25))/(LN(2)/25)*Calculateur!DB112*Calculateur!DD112*VLOOKUP('Données projet'!$B$13,Paramètres!$A$1:$I$89,3,0)*0.475*44/12</f>
        <v>30.52845567391396</v>
      </c>
      <c r="DH112" s="21">
        <f>EXP(-LN(2)/2)*DH111+(1-EXP(-LN(2)/2))/(LN(2)/2)*DB112*DE112*VLOOKUP('Données projet'!$B$13,Paramètres!$A$1:$I$89,3,0)*0.475*44/12</f>
        <v>9.577924931924664E-3</v>
      </c>
      <c r="DI112" s="22">
        <f t="shared" si="69"/>
        <v>78.884274482772852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290.11</v>
      </c>
      <c r="DM112" s="12">
        <f>VLOOKUP(A112,'Données projet'!$A$165:$I$185,9,0)</f>
        <v>6.5620000000000003</v>
      </c>
      <c r="DN112" s="12">
        <f t="array" ref="DN112">INDEX(DM:DM,MIN(IF(ISNUMBER(DM112:DM308),ROW(DM112:DM308),"")))</f>
        <v>6.5620000000000003</v>
      </c>
      <c r="DO112" s="12">
        <f>IF('Données projet'!$A$166&gt;35,DO111+DN112-DW111,IF(A112&lt;'Données projet'!$A$166,$DL$205^A112,IF(A112='Données projet'!$A$166,'Données projet'!$B$166,DO111+DN112-DW111)))</f>
        <v>290.11000000000035</v>
      </c>
      <c r="DP112" s="17">
        <f>DO112*VLOOKUP('Données projet'!$B$14,Paramètres!$A$1:$I$89,3,0)*VLOOKUP('Données projet'!$B$14,Paramètres!$A$1:$I$89,5,0)</f>
        <v>135.77148000000017</v>
      </c>
      <c r="DQ112" s="13">
        <f t="shared" si="97"/>
        <v>35.326588664960227</v>
      </c>
      <c r="DR112" s="20">
        <f t="shared" si="70"/>
        <v>297.99580292480601</v>
      </c>
      <c r="DS112" s="59">
        <f t="shared" si="71"/>
        <v>591.32913625813933</v>
      </c>
      <c r="DT112" s="59">
        <f ca="1">AVERAGE(OFFSET($DS$3,0,0,'Données projet'!$E$14+1,1))-AVERAGE(OFFSET($H$3,0,0,'Données projet'!$E$14+1,1))</f>
        <v>293.15557501692803</v>
      </c>
      <c r="DU112" s="59">
        <f t="shared" si="98"/>
        <v>237.1930412773068</v>
      </c>
      <c r="DV112" s="15">
        <f>IF(ISNA(VLOOKUP(A112,'Données projet'!$A$165:$I$185,3,0)),0,VLOOKUP(A112,'Données projet'!$A$165:$I$185,3,0))</f>
        <v>6</v>
      </c>
      <c r="DW112" s="15">
        <f>IF(ISNA(VLOOKUP(A112,'Données projet'!$A$165:$I$185,4,0)),0,VLOOKUP(A112,'Données projet'!$A$165:$I$185,4,0))</f>
        <v>290.11</v>
      </c>
      <c r="DX112" s="16">
        <f>IF(ISNA(VLOOKUP(A112,'Données projet'!$A$165:$I$185,5,0)),0%,VLOOKUP(A112,'Données projet'!$A$165:$I$185,5,0)*VLOOKUP('Données projet'!$B$14,Paramètres!$A$1:$I$89,7,0))</f>
        <v>0.33</v>
      </c>
      <c r="DY112" s="16">
        <f>IF(ISNA(VLOOKUP(A112,'Données projet'!$A$165:$I$185,6,0)),0%,VLOOKUP(A112,'Données projet'!$A$165:$I$185,6,0)*VLOOKUP('Données projet'!$B$14,Paramètres!$A$1:$I$89,7,0))</f>
        <v>0.11000000000000001</v>
      </c>
      <c r="DZ112" s="16">
        <f>IF(ISNA(VLOOKUP(A112,'Données projet'!$A$165:$I$185,7,0)),0%,VLOOKUP(A112,'Données projet'!$A$165:$I$185,7,0))</f>
        <v>0.2</v>
      </c>
      <c r="EA112" s="21">
        <f>EXP(-LN(2)/35)*EA111+(1-EXP(-LN(2)/35))/(LN(2)/35)*DW112*DX112*VLOOKUP('Données projet'!$B$14,Paramètres!$A$1:$I$89,3,0)*0.475*44/12</f>
        <v>131.2206532656123</v>
      </c>
      <c r="EB112" s="21">
        <f>EXP(-LN(2)/25)*EB111+(1-EXP(-LN(2)/25))/(LN(2)/25)*Calculateur!DW112*Calculateur!DY112*VLOOKUP('Données projet'!$B$14,Paramètres!$A$1:$I$89,3,0)*0.475*44/12</f>
        <v>41.883419024461048</v>
      </c>
      <c r="EC112" s="21">
        <f>EXP(-LN(2)/2)*EC111+(1-EXP(-LN(2)/2))/(LN(2)/2)*DW112*DZ112*VLOOKUP('Données projet'!$B$14,Paramètres!$A$1:$I$89,3,0)*0.475*44/12</f>
        <v>31.487899018832582</v>
      </c>
      <c r="ED112" s="22">
        <f t="shared" si="72"/>
        <v>204.59197130890595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-1.7053025658242404E-13</v>
      </c>
      <c r="EK112" s="17">
        <f>EJ112*VLOOKUP('Données projet'!$B$15,Paramètres!$A$1:$I$89,3,0)*VLOOKUP('Données projet'!$B$15,Paramètres!$A$1:$I$89,5,0)</f>
        <v>-1.0197709343628959E-13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225.86663363047296</v>
      </c>
      <c r="EP112" s="59">
        <f t="shared" si="100"/>
        <v>258.08349727304397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40.300202925648954</v>
      </c>
      <c r="EW112" s="21">
        <f>EXP(-LN(2)/25)*EW111+(1-EXP(-LN(2)/25))/(LN(2)/25)*Calculateur!ER112*Calculateur!ET112*VLOOKUP('Données projet'!$B$15,Paramètres!$A$1:$I$89,3,0)*0.475*44/12</f>
        <v>10.1554118275146</v>
      </c>
      <c r="EX112" s="21">
        <f>EXP(-LN(2)/2)*EX111+(1-EXP(-LN(2)/2))/(LN(2)/2)*ER112*EU112*VLOOKUP('Données projet'!$B$15,Paramètres!$A$1:$I$89,3,0)*0.475*44/12</f>
        <v>3.7695236194801092E-6</v>
      </c>
      <c r="EY112" s="22">
        <f t="shared" si="75"/>
        <v>50.455618522687175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388.12151914648013</v>
      </c>
      <c r="T113" s="59">
        <f t="shared" si="88"/>
        <v>481.43684454382793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61.097659809275221</v>
      </c>
      <c r="AA113" s="21">
        <f>EXP(-LN(2)/25)*AA112+(1-EXP(-LN(2)/25))/(LN(2)/25)*Calculateur!V113*Calculateur!X113*VLOOKUP('Données projet'!$B$9,Paramètres!$A$1:$I$89,3,0)*0.475*44/12</f>
        <v>13.798823422433367</v>
      </c>
      <c r="AB113" s="21">
        <f>EXP(-LN(2)/2)*AB112+(1-EXP(-LN(2)/2))/(LN(2)/2)*V113*Y113*VLOOKUP('Données projet'!$B$9,Paramètres!$A$1:$I$89,3,0)*0.475*44/12</f>
        <v>5.7596200735896706E-7</v>
      </c>
      <c r="AC113" s="22">
        <f t="shared" si="57"/>
        <v>74.896483807670592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-1.3596945791505279E-13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349.71285006949597</v>
      </c>
      <c r="AO113" s="59">
        <f t="shared" si="90"/>
        <v>258.51550516456842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84.610503393558091</v>
      </c>
      <c r="AV113" s="21">
        <f>EXP(-LN(2)/25)*AV112+(1-EXP(-LN(2)/25))/(LN(2)/25)*Calculateur!AQ113*Calculateur!AS113*VLOOKUP('Données projet'!$B$10,Paramètres!$A$1:$I$89,3,0)*0.475*44/12</f>
        <v>22.523046434775935</v>
      </c>
      <c r="AW113" s="21">
        <f>EXP(-LN(2)/2)*AW112+(1-EXP(-LN(2)/2))/(LN(2)/2)*AQ113*AT113*VLOOKUP('Données projet'!$B$10,Paramètres!$A$1:$I$89,3,0)*0.475*44/12</f>
        <v>2.1581006714236056E-3</v>
      </c>
      <c r="AX113" s="21">
        <f t="shared" si="60"/>
        <v>107.13570792900545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8.5265128291212022E-14</v>
      </c>
      <c r="BE113" s="13">
        <f>BD113*VLOOKUP('Données projet'!$B$11,Paramètres!$A$1:$I$89,3,0)*VLOOKUP('Données projet'!$B$11,Paramètres!$A$1:$I$89,5,0)</f>
        <v>8.9119112089974823E-14</v>
      </c>
      <c r="BF113" s="13">
        <f t="shared" si="91"/>
        <v>1.3568952080113142E-12</v>
      </c>
      <c r="BG113" s="20">
        <f t="shared" si="61"/>
        <v>2.5184749408430782E-12</v>
      </c>
      <c r="BH113" s="59">
        <f t="shared" si="62"/>
        <v>293.33333333333582</v>
      </c>
      <c r="BI113" s="59">
        <f ca="1">AVERAGE(OFFSET($BH$3,0,0,'Données projet'!$E$11+1,1))-AVERAGE(OFFSET($H$3,0,0,'Données projet'!$E$11+1,1))</f>
        <v>260.74709892624571</v>
      </c>
      <c r="BJ113" s="59">
        <f t="shared" si="92"/>
        <v>237.17381692184887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14.601378997700229</v>
      </c>
      <c r="BQ113" s="21">
        <f>EXP(-LN(2)/25)*BQ112+(1-EXP(-LN(2)/25))/(LN(2)/25)*Calculateur!BL113*Calculateur!BN113*VLOOKUP('Données projet'!$B$11,Paramètres!$A$1:$I$89,3,0)*0.475*44/12</f>
        <v>34.442182526899686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49.043561524599916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531.04</v>
      </c>
      <c r="BW113" s="12">
        <f>VLOOKUP(A113,'Données projet'!$A$113:$I$133,9,0)</f>
        <v>10.840999999999998</v>
      </c>
      <c r="BX113" s="12">
        <f t="array" ref="BX113">INDEX(BW:BW,MIN(IF(ISNUMBER(BW113:BW309),ROW(BW113:BW309),"")))</f>
        <v>10.840999999999998</v>
      </c>
      <c r="BY113" s="12">
        <f>IF('Données projet'!$A$114&gt;35,BY112+BX113-CG112,IF(A113&lt;'Données projet'!$A$114,$BV$205^A113,IF(A113='Données projet'!$A$114,'Données projet'!$B$114,BY112+BX113-CG112)))</f>
        <v>531.04000000000008</v>
      </c>
      <c r="BZ113" s="13">
        <f>BY113*VLOOKUP('Données projet'!$B$12,Paramètres!$A$1:$I$89,3,0)*VLOOKUP('Données projet'!$B$12,Paramètres!$A$1:$I$89,5,0)</f>
        <v>480.48499200000009</v>
      </c>
      <c r="CA113" s="13">
        <f t="shared" si="93"/>
        <v>107.9156323733046</v>
      </c>
      <c r="CB113" s="20">
        <f t="shared" si="64"/>
        <v>1024.7977541168391</v>
      </c>
      <c r="CC113" s="59">
        <f t="shared" si="65"/>
        <v>1318.1310874501723</v>
      </c>
      <c r="CD113" s="59">
        <f ca="1">AVERAGE(OFFSET($CC$3,0,0,'Données projet'!$E$12+1,1))-AVERAGE(OFFSET($H$3,0,0,'Données projet'!$E$12+1,1))</f>
        <v>695.0879239758051</v>
      </c>
      <c r="CE113" s="59">
        <f t="shared" si="94"/>
        <v>226.22150997227476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73.299999999999955</v>
      </c>
      <c r="CH113" s="16">
        <f>IF(ISNA(VLOOKUP(A113,'Données projet'!$A$113:$I$133,5,0)),0%,VLOOKUP(A113,'Données projet'!$A$113:$I$133,5,0)*VLOOKUP('Données projet'!$B$12,Paramètres!$A$1:$I$89,7,0))</f>
        <v>0.215</v>
      </c>
      <c r="CI113" s="16">
        <f>IF(ISNA(VLOOKUP(A113,'Données projet'!$A$113:$I$133,6,0)),0%,VLOOKUP(A113,'Données projet'!$A$113:$I$133,6,0)*VLOOKUP('Données projet'!$B$12,Paramètres!$A$1:$I$89,7,0))</f>
        <v>8.6000000000000007E-2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58.056897358417743</v>
      </c>
      <c r="CL113" s="21">
        <f>EXP(-LN(2)/25)*CL112+(1-EXP(-LN(2)/25))/(LN(2)/25)*Calculateur!CG113*Calculateur!CI113*VLOOKUP('Données projet'!$B$12,Paramètres!$A$1:$I$89,3,0)*0.475*44/12</f>
        <v>32.776296571855895</v>
      </c>
      <c r="CM113" s="21">
        <f>EXP(-LN(2)/2)*CM112+(1-EXP(-LN(2)/2))/(LN(2)/2)*CG113*CJ113*VLOOKUP('Données projet'!$B$12,Paramètres!$A$1:$I$89,3,0)*0.475*44/12</f>
        <v>6.0432570585455137E-3</v>
      </c>
      <c r="CN113" s="22">
        <f t="shared" si="66"/>
        <v>90.839237187332188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531.04</v>
      </c>
      <c r="CR113" s="12">
        <f>VLOOKUP(A113,'Données projet'!$A$139:$I$159,9,0)</f>
        <v>10.840999999999998</v>
      </c>
      <c r="CS113" s="12">
        <f t="array" ref="CS113">INDEX(CR:CR,MIN(IF(ISNUMBER(CR113:CR309),ROW(CR113:CR309),"")))</f>
        <v>10.840999999999998</v>
      </c>
      <c r="CT113" s="12">
        <f>IF('Données projet'!$A$140&gt;35,CT112+CS113-DB112,IF(A113&lt;'Données projet'!$A$140,$CQ$205^A113,IF(A113='Données projet'!$A$140,'Données projet'!$B$140,CT112+CS113-DB112)))</f>
        <v>531.04000000000008</v>
      </c>
      <c r="CU113" s="17">
        <f>CT113*VLOOKUP('Données projet'!$B$13,Paramètres!$A$1:$I$89,3,0)*VLOOKUP('Données projet'!$B$13,Paramètres!$A$1:$I$89,5,0)</f>
        <v>538.47456000000011</v>
      </c>
      <c r="CV113" s="13">
        <f t="shared" si="95"/>
        <v>119.34648339095955</v>
      </c>
      <c r="CW113" s="20">
        <f t="shared" si="67"/>
        <v>1145.7049839059212</v>
      </c>
      <c r="CX113" s="59">
        <f t="shared" si="68"/>
        <v>1439.0383172392544</v>
      </c>
      <c r="CY113" s="59">
        <f ca="1">AVERAGE(OFFSET($CX$3,0,0,'Données projet'!$E$13+1,1))-AVERAGE(OFFSET($H$3,0,0,'Données projet'!$E$13+1,1))</f>
        <v>773.15074145293738</v>
      </c>
      <c r="CZ113" s="59">
        <f t="shared" si="96"/>
        <v>248.49577986312505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73.299999999999955</v>
      </c>
      <c r="DC113" s="16">
        <f>IF(ISNA(VLOOKUP(A113,'Données projet'!$A$139:$I$159,5,0)),0%,VLOOKUP(A113,'Données projet'!$A$139:$I$159,5,0)*VLOOKUP('Données projet'!$B$13,Paramètres!$A$1:$I$89,7,0))</f>
        <v>0.215</v>
      </c>
      <c r="DD113" s="16">
        <f>IF(ISNA(VLOOKUP(A113,'Données projet'!$A$139:$I$159,6,0)),0%,VLOOKUP(A113,'Données projet'!$A$139:$I$159,6,0)*VLOOKUP('Données projet'!$B$13,Paramètres!$A$1:$I$89,7,0))</f>
        <v>8.6000000000000007E-2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65.063764280985396</v>
      </c>
      <c r="DG113" s="21">
        <f>EXP(-LN(2)/25)*DG112+(1-EXP(-LN(2)/25))/(LN(2)/25)*Calculateur!DB113*Calculateur!DD113*VLOOKUP('Données projet'!$B$13,Paramètres!$A$1:$I$89,3,0)*0.475*44/12</f>
        <v>36.732056502941944</v>
      </c>
      <c r="DH113" s="21">
        <f>EXP(-LN(2)/2)*DH112+(1-EXP(-LN(2)/2))/(LN(2)/2)*DB113*DE113*VLOOKUP('Données projet'!$B$13,Paramètres!$A$1:$I$89,3,0)*0.475*44/12</f>
        <v>6.7726156690596315E-3</v>
      </c>
      <c r="DI113" s="22">
        <f t="shared" si="69"/>
        <v>101.8025933995964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3.4106051316484809E-13</v>
      </c>
      <c r="DP113" s="17">
        <f>DO113*VLOOKUP('Données projet'!$B$14,Paramètres!$A$1:$I$89,3,0)*VLOOKUP('Données projet'!$B$14,Paramètres!$A$1:$I$89,5,0)</f>
        <v>1.5961632016114892E-13</v>
      </c>
      <c r="DQ113" s="13">
        <f t="shared" si="97"/>
        <v>2.2708641912150958E-12</v>
      </c>
      <c r="DR113" s="20">
        <f t="shared" si="70"/>
        <v>4.2330868906469593E-12</v>
      </c>
      <c r="DS113" s="59">
        <f t="shared" si="71"/>
        <v>293.33333333333752</v>
      </c>
      <c r="DT113" s="59">
        <f ca="1">AVERAGE(OFFSET($DS$3,0,0,'Données projet'!$E$14+1,1))-AVERAGE(OFFSET($H$3,0,0,'Données projet'!$E$14+1,1))</f>
        <v>293.15557501692803</v>
      </c>
      <c r="DU113" s="59">
        <f t="shared" si="98"/>
        <v>237.1930412773068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128.64749629176916</v>
      </c>
      <c r="EB113" s="21">
        <f>EXP(-LN(2)/25)*EB112+(1-EXP(-LN(2)/25))/(LN(2)/25)*Calculateur!DW113*Calculateur!DY113*VLOOKUP('Données projet'!$B$14,Paramètres!$A$1:$I$89,3,0)*0.475*44/12</f>
        <v>40.738114728683883</v>
      </c>
      <c r="EC113" s="21">
        <f>EXP(-LN(2)/2)*EC112+(1-EXP(-LN(2)/2))/(LN(2)/2)*DW113*DZ113*VLOOKUP('Données projet'!$B$14,Paramètres!$A$1:$I$89,3,0)*0.475*44/12</f>
        <v>22.265306921533757</v>
      </c>
      <c r="ED113" s="22">
        <f t="shared" si="72"/>
        <v>191.65091794198679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-1.7053025658242404E-13</v>
      </c>
      <c r="EK113" s="17">
        <f>EJ113*VLOOKUP('Données projet'!$B$15,Paramètres!$A$1:$I$89,3,0)*VLOOKUP('Données projet'!$B$15,Paramètres!$A$1:$I$89,5,0)</f>
        <v>-1.0197709343628959E-13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225.86663363047296</v>
      </c>
      <c r="EP113" s="59">
        <f t="shared" si="100"/>
        <v>258.08349727304397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39.509940526973622</v>
      </c>
      <c r="EW113" s="21">
        <f>EXP(-LN(2)/25)*EW112+(1-EXP(-LN(2)/25))/(LN(2)/25)*Calculateur!ER113*Calculateur!ET113*VLOOKUP('Données projet'!$B$15,Paramètres!$A$1:$I$89,3,0)*0.475*44/12</f>
        <v>9.8777115570413159</v>
      </c>
      <c r="EX113" s="21">
        <f>EXP(-LN(2)/2)*EX112+(1-EXP(-LN(2)/2))/(LN(2)/2)*ER113*EU113*VLOOKUP('Données projet'!$B$15,Paramètres!$A$1:$I$89,3,0)*0.475*44/12</f>
        <v>2.6654557131772445E-6</v>
      </c>
      <c r="EY113" s="22">
        <f t="shared" si="75"/>
        <v>49.387654749470649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388.12151914648013</v>
      </c>
      <c r="T114" s="59">
        <f t="shared" si="88"/>
        <v>481.43684454382793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59.899571966308116</v>
      </c>
      <c r="AA114" s="21">
        <f>EXP(-LN(2)/25)*AA113+(1-EXP(-LN(2)/25))/(LN(2)/25)*Calculateur!V114*Calculateur!X114*VLOOKUP('Données projet'!$B$9,Paramètres!$A$1:$I$89,3,0)*0.475*44/12</f>
        <v>13.42149387029834</v>
      </c>
      <c r="AB114" s="21">
        <f>EXP(-LN(2)/2)*AB113+(1-EXP(-LN(2)/2))/(LN(2)/2)*V114*Y114*VLOOKUP('Données projet'!$B$9,Paramètres!$A$1:$I$89,3,0)*0.475*44/12</f>
        <v>4.072666411093418E-7</v>
      </c>
      <c r="AC114" s="22">
        <f t="shared" si="57"/>
        <v>73.321066243873091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-1.3596945791505279E-13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349.71285006949597</v>
      </c>
      <c r="AO114" s="59">
        <f t="shared" si="90"/>
        <v>258.51550516456842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82.951343029321691</v>
      </c>
      <c r="AV114" s="21">
        <f>EXP(-LN(2)/25)*AV113+(1-EXP(-LN(2)/25))/(LN(2)/25)*Calculateur!AQ114*Calculateur!AS114*VLOOKUP('Données projet'!$B$10,Paramètres!$A$1:$I$89,3,0)*0.475*44/12</f>
        <v>21.907152545581454</v>
      </c>
      <c r="AW114" s="21">
        <f>EXP(-LN(2)/2)*AW113+(1-EXP(-LN(2)/2))/(LN(2)/2)*AQ114*AT114*VLOOKUP('Données projet'!$B$10,Paramètres!$A$1:$I$89,3,0)*0.475*44/12</f>
        <v>1.5260076192468728E-3</v>
      </c>
      <c r="AX114" s="21">
        <f t="shared" si="60"/>
        <v>104.86002158252239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8.5265128291212022E-14</v>
      </c>
      <c r="BE114" s="13">
        <f>BD114*VLOOKUP('Données projet'!$B$11,Paramètres!$A$1:$I$89,3,0)*VLOOKUP('Données projet'!$B$11,Paramètres!$A$1:$I$89,5,0)</f>
        <v>8.9119112089974823E-14</v>
      </c>
      <c r="BF114" s="13">
        <f t="shared" si="91"/>
        <v>1.3568952080113142E-12</v>
      </c>
      <c r="BG114" s="20">
        <f t="shared" si="61"/>
        <v>2.5184749408430782E-12</v>
      </c>
      <c r="BH114" s="59">
        <f t="shared" si="62"/>
        <v>293.33333333333582</v>
      </c>
      <c r="BI114" s="59">
        <f ca="1">AVERAGE(OFFSET($BH$3,0,0,'Données projet'!$E$11+1,1))-AVERAGE(OFFSET($H$3,0,0,'Données projet'!$E$11+1,1))</f>
        <v>260.74709892624571</v>
      </c>
      <c r="BJ114" s="59">
        <f t="shared" si="92"/>
        <v>237.17381692184887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14.315054861517124</v>
      </c>
      <c r="BQ114" s="21">
        <f>EXP(-LN(2)/25)*BQ113+(1-EXP(-LN(2)/25))/(LN(2)/25)*Calculateur!BL114*Calculateur!BN114*VLOOKUP('Données projet'!$B$11,Paramètres!$A$1:$I$89,3,0)*0.475*44/12</f>
        <v>33.500359234465954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47.81541409598308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10.725999999999999</v>
      </c>
      <c r="BY114" s="12">
        <f>IF('Données projet'!$A$114&gt;35,BY113+BX114-CG113,IF(A114&lt;'Données projet'!$A$114,$BV$205^A114,IF(A114='Données projet'!$A$114,'Données projet'!$B$114,BY113+BX114-CG113)))</f>
        <v>468.46600000000012</v>
      </c>
      <c r="BZ114" s="13">
        <f>BY114*VLOOKUP('Données projet'!$B$12,Paramètres!$A$1:$I$89,3,0)*VLOOKUP('Données projet'!$B$12,Paramètres!$A$1:$I$89,5,0)</f>
        <v>423.86803680000014</v>
      </c>
      <c r="CA114" s="13">
        <f t="shared" si="93"/>
        <v>96.59910072492606</v>
      </c>
      <c r="CB114" s="20">
        <f t="shared" si="64"/>
        <v>906.48026452257966</v>
      </c>
      <c r="CC114" s="59">
        <f t="shared" si="65"/>
        <v>1199.813597855913</v>
      </c>
      <c r="CD114" s="59">
        <f ca="1">AVERAGE(OFFSET($CC$3,0,0,'Données projet'!$E$12+1,1))-AVERAGE(OFFSET($H$3,0,0,'Données projet'!$E$12+1,1))</f>
        <v>695.0879239758051</v>
      </c>
      <c r="CE114" s="59">
        <f t="shared" si="94"/>
        <v>226.22150997227476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56.91843701242999</v>
      </c>
      <c r="CL114" s="21">
        <f>EXP(-LN(2)/25)*CL113+(1-EXP(-LN(2)/25))/(LN(2)/25)*Calculateur!CG114*Calculateur!CI114*VLOOKUP('Données projet'!$B$12,Paramètres!$A$1:$I$89,3,0)*0.475*44/12</f>
        <v>31.88002701846797</v>
      </c>
      <c r="CM114" s="21">
        <f>EXP(-LN(2)/2)*CM113+(1-EXP(-LN(2)/2))/(LN(2)/2)*CG114*CJ114*VLOOKUP('Données projet'!$B$12,Paramètres!$A$1:$I$89,3,0)*0.475*44/12</f>
        <v>4.2732280465510013E-3</v>
      </c>
      <c r="CN114" s="22">
        <f t="shared" si="66"/>
        <v>88.802737258944518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10.725999999999999</v>
      </c>
      <c r="CT114" s="12">
        <f>IF('Données projet'!$A$140&gt;35,CT113+CS114-DB113,IF(A114&lt;'Données projet'!$A$140,$CQ$205^A114,IF(A114='Données projet'!$A$140,'Données projet'!$B$140,CT113+CS114-DB113)))</f>
        <v>468.46600000000012</v>
      </c>
      <c r="CU114" s="17">
        <f>CT114*VLOOKUP('Données projet'!$B$13,Paramètres!$A$1:$I$89,3,0)*VLOOKUP('Données projet'!$B$13,Paramètres!$A$1:$I$89,5,0)</f>
        <v>475.0245240000001</v>
      </c>
      <c r="CV114" s="13">
        <f t="shared" si="95"/>
        <v>106.83125990837375</v>
      </c>
      <c r="CW114" s="20">
        <f t="shared" si="67"/>
        <v>1013.3988236404176</v>
      </c>
      <c r="CX114" s="59">
        <f t="shared" si="68"/>
        <v>1306.732156973751</v>
      </c>
      <c r="CY114" s="59">
        <f ca="1">AVERAGE(OFFSET($CX$3,0,0,'Données projet'!$E$13+1,1))-AVERAGE(OFFSET($H$3,0,0,'Données projet'!$E$13+1,1))</f>
        <v>773.15074145293738</v>
      </c>
      <c r="CZ114" s="59">
        <f t="shared" si="96"/>
        <v>248.49577986312505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63.78790354841292</v>
      </c>
      <c r="DG114" s="21">
        <f>EXP(-LN(2)/25)*DG113+(1-EXP(-LN(2)/25))/(LN(2)/25)*Calculateur!DB114*Calculateur!DD114*VLOOKUP('Données projet'!$B$13,Paramètres!$A$1:$I$89,3,0)*0.475*44/12</f>
        <v>35.727616486214096</v>
      </c>
      <c r="DH114" s="21">
        <f>EXP(-LN(2)/2)*DH113+(1-EXP(-LN(2)/2))/(LN(2)/2)*DB114*DE114*VLOOKUP('Données projet'!$B$13,Paramètres!$A$1:$I$89,3,0)*0.475*44/12</f>
        <v>4.788962465962332E-3</v>
      </c>
      <c r="DI114" s="22">
        <f t="shared" si="69"/>
        <v>99.520308997092982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3.4106051316484809E-13</v>
      </c>
      <c r="DP114" s="17">
        <f>DO114*VLOOKUP('Données projet'!$B$14,Paramètres!$A$1:$I$89,3,0)*VLOOKUP('Données projet'!$B$14,Paramètres!$A$1:$I$89,5,0)</f>
        <v>1.5961632016114892E-13</v>
      </c>
      <c r="DQ114" s="13">
        <f t="shared" si="97"/>
        <v>2.2708641912150958E-12</v>
      </c>
      <c r="DR114" s="20">
        <f t="shared" si="70"/>
        <v>4.2330868906469593E-12</v>
      </c>
      <c r="DS114" s="59">
        <f t="shared" si="71"/>
        <v>293.33333333333752</v>
      </c>
      <c r="DT114" s="59">
        <f ca="1">AVERAGE(OFFSET($DS$3,0,0,'Données projet'!$E$14+1,1))-AVERAGE(OFFSET($H$3,0,0,'Données projet'!$E$14+1,1))</f>
        <v>293.15557501692803</v>
      </c>
      <c r="DU114" s="59">
        <f t="shared" si="98"/>
        <v>237.1930412773068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126.12479735671231</v>
      </c>
      <c r="EB114" s="21">
        <f>EXP(-LN(2)/25)*EB113+(1-EXP(-LN(2)/25))/(LN(2)/25)*Calculateur!DW114*Calculateur!DY114*VLOOKUP('Données projet'!$B$14,Paramètres!$A$1:$I$89,3,0)*0.475*44/12</f>
        <v>39.624128839103676</v>
      </c>
      <c r="EC114" s="21">
        <f>EXP(-LN(2)/2)*EC113+(1-EXP(-LN(2)/2))/(LN(2)/2)*DW114*DZ114*VLOOKUP('Données projet'!$B$14,Paramètres!$A$1:$I$89,3,0)*0.475*44/12</f>
        <v>15.743949509416293</v>
      </c>
      <c r="ED114" s="22">
        <f t="shared" si="72"/>
        <v>181.49287570523228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-1.7053025658242404E-13</v>
      </c>
      <c r="EK114" s="17">
        <f>EJ114*VLOOKUP('Données projet'!$B$15,Paramètres!$A$1:$I$89,3,0)*VLOOKUP('Données projet'!$B$15,Paramètres!$A$1:$I$89,5,0)</f>
        <v>-1.0197709343628959E-13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225.86663363047296</v>
      </c>
      <c r="EP114" s="59">
        <f t="shared" si="100"/>
        <v>258.08349727304397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38.735174691923845</v>
      </c>
      <c r="EW114" s="21">
        <f>EXP(-LN(2)/25)*EW113+(1-EXP(-LN(2)/25))/(LN(2)/25)*Calculateur!ER114*Calculateur!ET114*VLOOKUP('Données projet'!$B$15,Paramètres!$A$1:$I$89,3,0)*0.475*44/12</f>
        <v>9.6076050150677457</v>
      </c>
      <c r="EX114" s="21">
        <f>EXP(-LN(2)/2)*EX113+(1-EXP(-LN(2)/2))/(LN(2)/2)*ER114*EU114*VLOOKUP('Données projet'!$B$15,Paramètres!$A$1:$I$89,3,0)*0.475*44/12</f>
        <v>1.884761809740055E-6</v>
      </c>
      <c r="EY114" s="22">
        <f t="shared" si="75"/>
        <v>48.342781591753401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388.12151914648013</v>
      </c>
      <c r="T115" s="59">
        <f t="shared" si="88"/>
        <v>481.43684454382793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58.724977895180167</v>
      </c>
      <c r="AA115" s="21">
        <f>EXP(-LN(2)/25)*AA114+(1-EXP(-LN(2)/25))/(LN(2)/25)*Calculateur!V115*Calculateur!X115*VLOOKUP('Données projet'!$B$9,Paramètres!$A$1:$I$89,3,0)*0.475*44/12</f>
        <v>13.054482414609344</v>
      </c>
      <c r="AB115" s="21">
        <f>EXP(-LN(2)/2)*AB114+(1-EXP(-LN(2)/2))/(LN(2)/2)*V115*Y115*VLOOKUP('Données projet'!$B$9,Paramètres!$A$1:$I$89,3,0)*0.475*44/12</f>
        <v>2.8798100367948353E-7</v>
      </c>
      <c r="AC115" s="22">
        <f t="shared" si="57"/>
        <v>71.779460597770523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-1.3596945791505279E-13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349.71285006949597</v>
      </c>
      <c r="AO115" s="59">
        <f t="shared" si="90"/>
        <v>258.51550516456842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81.324717787840072</v>
      </c>
      <c r="AV115" s="21">
        <f>EXP(-LN(2)/25)*AV114+(1-EXP(-LN(2)/25))/(LN(2)/25)*Calculateur!AQ115*Calculateur!AS115*VLOOKUP('Données projet'!$B$10,Paramètres!$A$1:$I$89,3,0)*0.475*44/12</f>
        <v>21.308100307175447</v>
      </c>
      <c r="AW115" s="21">
        <f>EXP(-LN(2)/2)*AW114+(1-EXP(-LN(2)/2))/(LN(2)/2)*AQ115*AT115*VLOOKUP('Données projet'!$B$10,Paramètres!$A$1:$I$89,3,0)*0.475*44/12</f>
        <v>1.0790503357118028E-3</v>
      </c>
      <c r="AX115" s="21">
        <f t="shared" si="60"/>
        <v>102.63389714535124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8.5265128291212022E-14</v>
      </c>
      <c r="BE115" s="13">
        <f>BD115*VLOOKUP('Données projet'!$B$11,Paramètres!$A$1:$I$89,3,0)*VLOOKUP('Données projet'!$B$11,Paramètres!$A$1:$I$89,5,0)</f>
        <v>8.9119112089974823E-14</v>
      </c>
      <c r="BF115" s="13">
        <f t="shared" si="91"/>
        <v>1.3568952080113142E-12</v>
      </c>
      <c r="BG115" s="20">
        <f t="shared" si="61"/>
        <v>2.5184749408430782E-12</v>
      </c>
      <c r="BH115" s="59">
        <f t="shared" si="62"/>
        <v>293.33333333333582</v>
      </c>
      <c r="BI115" s="59">
        <f ca="1">AVERAGE(OFFSET($BH$3,0,0,'Données projet'!$E$11+1,1))-AVERAGE(OFFSET($H$3,0,0,'Données projet'!$E$11+1,1))</f>
        <v>260.74709892624571</v>
      </c>
      <c r="BJ115" s="59">
        <f t="shared" si="92"/>
        <v>237.17381692184887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14.034345367004093</v>
      </c>
      <c r="BQ115" s="21">
        <f>EXP(-LN(2)/25)*BQ114+(1-EXP(-LN(2)/25))/(LN(2)/25)*Calculateur!BL115*Calculateur!BN115*VLOOKUP('Données projet'!$B$11,Paramètres!$A$1:$I$89,3,0)*0.475*44/12</f>
        <v>32.584290149492155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46.618635516496248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10.725999999999999</v>
      </c>
      <c r="BY115" s="12">
        <f>IF('Données projet'!$A$114&gt;35,BY114+BX115-CG114,IF(A115&lt;'Données projet'!$A$114,$BV$205^A115,IF(A115='Données projet'!$A$114,'Données projet'!$B$114,BY114+BX115-CG114)))</f>
        <v>479.19200000000012</v>
      </c>
      <c r="BZ115" s="13">
        <f>BY115*VLOOKUP('Données projet'!$B$12,Paramètres!$A$1:$I$89,3,0)*VLOOKUP('Données projet'!$B$12,Paramètres!$A$1:$I$89,5,0)</f>
        <v>433.57292160000009</v>
      </c>
      <c r="CA115" s="13">
        <f t="shared" si="93"/>
        <v>98.550806203987747</v>
      </c>
      <c r="CB115" s="20">
        <f t="shared" si="64"/>
        <v>926.78215925861196</v>
      </c>
      <c r="CC115" s="59">
        <f t="shared" si="65"/>
        <v>1220.1154925919452</v>
      </c>
      <c r="CD115" s="59">
        <f ca="1">AVERAGE(OFFSET($CC$3,0,0,'Données projet'!$E$12+1,1))-AVERAGE(OFFSET($H$3,0,0,'Données projet'!$E$12+1,1))</f>
        <v>695.0879239758051</v>
      </c>
      <c r="CE115" s="59">
        <f t="shared" si="94"/>
        <v>226.22150997227476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55.802301179434814</v>
      </c>
      <c r="CL115" s="21">
        <f>EXP(-LN(2)/25)*CL114+(1-EXP(-LN(2)/25))/(LN(2)/25)*Calculateur!CG115*Calculateur!CI115*VLOOKUP('Données projet'!$B$12,Paramètres!$A$1:$I$89,3,0)*0.475*44/12</f>
        <v>31.008266003150204</v>
      </c>
      <c r="CM115" s="21">
        <f>EXP(-LN(2)/2)*CM114+(1-EXP(-LN(2)/2))/(LN(2)/2)*CG115*CJ115*VLOOKUP('Données projet'!$B$12,Paramètres!$A$1:$I$89,3,0)*0.475*44/12</f>
        <v>3.0216285292727569E-3</v>
      </c>
      <c r="CN115" s="22">
        <f t="shared" si="66"/>
        <v>86.813588811114286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10.725999999999999</v>
      </c>
      <c r="CT115" s="12">
        <f>IF('Données projet'!$A$140&gt;35,CT114+CS115-DB114,IF(A115&lt;'Données projet'!$A$140,$CQ$205^A115,IF(A115='Données projet'!$A$140,'Données projet'!$B$140,CT114+CS115-DB114)))</f>
        <v>479.19200000000012</v>
      </c>
      <c r="CU115" s="17">
        <f>CT115*VLOOKUP('Données projet'!$B$13,Paramètres!$A$1:$I$89,3,0)*VLOOKUP('Données projet'!$B$13,Paramètres!$A$1:$I$89,5,0)</f>
        <v>485.90068800000012</v>
      </c>
      <c r="CV115" s="13">
        <f t="shared" si="95"/>
        <v>108.98969775855598</v>
      </c>
      <c r="CW115" s="20">
        <f t="shared" si="67"/>
        <v>1036.100755196152</v>
      </c>
      <c r="CX115" s="59">
        <f t="shared" si="68"/>
        <v>1329.4340885294853</v>
      </c>
      <c r="CY115" s="59">
        <f ca="1">AVERAGE(OFFSET($CX$3,0,0,'Données projet'!$E$13+1,1))-AVERAGE(OFFSET($H$3,0,0,'Données projet'!$E$13+1,1))</f>
        <v>773.15074145293738</v>
      </c>
      <c r="CZ115" s="59">
        <f t="shared" si="96"/>
        <v>248.49577986312505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62.537061666607983</v>
      </c>
      <c r="DG115" s="21">
        <f>EXP(-LN(2)/25)*DG114+(1-EXP(-LN(2)/25))/(LN(2)/25)*Calculateur!DB115*Calculateur!DD115*VLOOKUP('Données projet'!$B$13,Paramètres!$A$1:$I$89,3,0)*0.475*44/12</f>
        <v>34.75064293456488</v>
      </c>
      <c r="DH115" s="21">
        <f>EXP(-LN(2)/2)*DH114+(1-EXP(-LN(2)/2))/(LN(2)/2)*DB115*DE115*VLOOKUP('Données projet'!$B$13,Paramètres!$A$1:$I$89,3,0)*0.475*44/12</f>
        <v>3.3863078345298158E-3</v>
      </c>
      <c r="DI115" s="22">
        <f t="shared" si="69"/>
        <v>97.291090909007394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3.4106051316484809E-13</v>
      </c>
      <c r="DP115" s="17">
        <f>DO115*VLOOKUP('Données projet'!$B$14,Paramètres!$A$1:$I$89,3,0)*VLOOKUP('Données projet'!$B$14,Paramètres!$A$1:$I$89,5,0)</f>
        <v>1.5961632016114892E-13</v>
      </c>
      <c r="DQ115" s="13">
        <f t="shared" si="97"/>
        <v>2.2708641912150958E-12</v>
      </c>
      <c r="DR115" s="20">
        <f t="shared" si="70"/>
        <v>4.2330868906469593E-12</v>
      </c>
      <c r="DS115" s="59">
        <f t="shared" si="71"/>
        <v>293.33333333333752</v>
      </c>
      <c r="DT115" s="59">
        <f ca="1">AVERAGE(OFFSET($DS$3,0,0,'Données projet'!$E$14+1,1))-AVERAGE(OFFSET($H$3,0,0,'Données projet'!$E$14+1,1))</f>
        <v>293.15557501692803</v>
      </c>
      <c r="DU115" s="59">
        <f t="shared" si="98"/>
        <v>237.1930412773068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123.65156700907751</v>
      </c>
      <c r="EB115" s="21">
        <f>EXP(-LN(2)/25)*EB114+(1-EXP(-LN(2)/25))/(LN(2)/25)*Calculateur!DW115*Calculateur!DY115*VLOOKUP('Données projet'!$B$14,Paramètres!$A$1:$I$89,3,0)*0.475*44/12</f>
        <v>38.540604952256011</v>
      </c>
      <c r="EC115" s="21">
        <f>EXP(-LN(2)/2)*EC114+(1-EXP(-LN(2)/2))/(LN(2)/2)*DW115*DZ115*VLOOKUP('Données projet'!$B$14,Paramètres!$A$1:$I$89,3,0)*0.475*44/12</f>
        <v>11.13265346076688</v>
      </c>
      <c r="ED115" s="22">
        <f t="shared" si="72"/>
        <v>173.32482542210039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-1.7053025658242404E-13</v>
      </c>
      <c r="EK115" s="17">
        <f>EJ115*VLOOKUP('Données projet'!$B$15,Paramètres!$A$1:$I$89,3,0)*VLOOKUP('Données projet'!$B$15,Paramètres!$A$1:$I$89,5,0)</f>
        <v>-1.0197709343628959E-13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225.86663363047296</v>
      </c>
      <c r="EP115" s="59">
        <f t="shared" si="100"/>
        <v>258.08349727304397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37.975601542338893</v>
      </c>
      <c r="EW115" s="21">
        <f>EXP(-LN(2)/25)*EW114+(1-EXP(-LN(2)/25))/(LN(2)/25)*Calculateur!ER115*Calculateur!ET115*VLOOKUP('Données projet'!$B$15,Paramètres!$A$1:$I$89,3,0)*0.475*44/12</f>
        <v>9.3448845506887288</v>
      </c>
      <c r="EX115" s="21">
        <f>EXP(-LN(2)/2)*EX114+(1-EXP(-LN(2)/2))/(LN(2)/2)*ER115*EU115*VLOOKUP('Données projet'!$B$15,Paramètres!$A$1:$I$89,3,0)*0.475*44/12</f>
        <v>1.3327278565886225E-6</v>
      </c>
      <c r="EY115" s="22">
        <f t="shared" si="75"/>
        <v>47.320487425755481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388.12151914648013</v>
      </c>
      <c r="T116" s="59">
        <f t="shared" si="88"/>
        <v>481.43684454382793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57.573416897355401</v>
      </c>
      <c r="AA116" s="21">
        <f>EXP(-LN(2)/25)*AA115+(1-EXP(-LN(2)/25))/(LN(2)/25)*Calculateur!V116*Calculateur!X116*VLOOKUP('Données projet'!$B$9,Paramètres!$A$1:$I$89,3,0)*0.475*44/12</f>
        <v>12.697506906476457</v>
      </c>
      <c r="AB116" s="21">
        <f>EXP(-LN(2)/2)*AB115+(1-EXP(-LN(2)/2))/(LN(2)/2)*V116*Y116*VLOOKUP('Données projet'!$B$9,Paramètres!$A$1:$I$89,3,0)*0.475*44/12</f>
        <v>2.036333205546709E-7</v>
      </c>
      <c r="AC116" s="22">
        <f t="shared" si="57"/>
        <v>70.270924007465183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-1.3596945791505279E-13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349.71285006949597</v>
      </c>
      <c r="AO116" s="59">
        <f t="shared" si="90"/>
        <v>258.51550516456842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79.729989675200471</v>
      </c>
      <c r="AV116" s="21">
        <f>EXP(-LN(2)/25)*AV115+(1-EXP(-LN(2)/25))/(LN(2)/25)*Calculateur!AQ116*Calculateur!AS116*VLOOKUP('Données projet'!$B$10,Paramètres!$A$1:$I$89,3,0)*0.475*44/12</f>
        <v>20.725429183731439</v>
      </c>
      <c r="AW116" s="21">
        <f>EXP(-LN(2)/2)*AW115+(1-EXP(-LN(2)/2))/(LN(2)/2)*AQ116*AT116*VLOOKUP('Données projet'!$B$10,Paramètres!$A$1:$I$89,3,0)*0.475*44/12</f>
        <v>7.6300380962343638E-4</v>
      </c>
      <c r="AX116" s="21">
        <f t="shared" si="60"/>
        <v>100.45618186274153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8.5265128291212022E-14</v>
      </c>
      <c r="BE116" s="13">
        <f>BD116*VLOOKUP('Données projet'!$B$11,Paramètres!$A$1:$I$89,3,0)*VLOOKUP('Données projet'!$B$11,Paramètres!$A$1:$I$89,5,0)</f>
        <v>8.9119112089974823E-14</v>
      </c>
      <c r="BF116" s="13">
        <f t="shared" si="91"/>
        <v>1.3568952080113142E-12</v>
      </c>
      <c r="BG116" s="20">
        <f t="shared" si="61"/>
        <v>2.5184749408430782E-12</v>
      </c>
      <c r="BH116" s="59">
        <f t="shared" si="62"/>
        <v>293.33333333333582</v>
      </c>
      <c r="BI116" s="59">
        <f ca="1">AVERAGE(OFFSET($BH$3,0,0,'Données projet'!$E$11+1,1))-AVERAGE(OFFSET($H$3,0,0,'Données projet'!$E$11+1,1))</f>
        <v>260.74709892624571</v>
      </c>
      <c r="BJ116" s="59">
        <f t="shared" si="92"/>
        <v>237.17381692184887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13.759140414462577</v>
      </c>
      <c r="BQ116" s="21">
        <f>EXP(-LN(2)/25)*BQ115+(1-EXP(-LN(2)/25))/(LN(2)/25)*Calculateur!BL116*Calculateur!BN116*VLOOKUP('Données projet'!$B$11,Paramètres!$A$1:$I$89,3,0)*0.475*44/12</f>
        <v>31.693271021820944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45.452411436283519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10.725999999999999</v>
      </c>
      <c r="BY116" s="12">
        <f>IF('Données projet'!$A$114&gt;35,BY115+BX116-CG115,IF(A116&lt;'Données projet'!$A$114,$BV$205^A116,IF(A116='Données projet'!$A$114,'Données projet'!$B$114,BY115+BX116-CG115)))</f>
        <v>489.91800000000012</v>
      </c>
      <c r="BZ116" s="13">
        <f>BY116*VLOOKUP('Données projet'!$B$12,Paramètres!$A$1:$I$89,3,0)*VLOOKUP('Données projet'!$B$12,Paramètres!$A$1:$I$89,5,0)</f>
        <v>443.27780640000015</v>
      </c>
      <c r="CA116" s="13">
        <f t="shared" si="93"/>
        <v>100.49743280031032</v>
      </c>
      <c r="CB116" s="20">
        <f t="shared" si="64"/>
        <v>947.07520827387407</v>
      </c>
      <c r="CC116" s="59">
        <f t="shared" si="65"/>
        <v>1240.4085416072073</v>
      </c>
      <c r="CD116" s="59">
        <f ca="1">AVERAGE(OFFSET($CC$3,0,0,'Données projet'!$E$12+1,1))-AVERAGE(OFFSET($H$3,0,0,'Données projet'!$E$12+1,1))</f>
        <v>695.0879239758051</v>
      </c>
      <c r="CE116" s="59">
        <f t="shared" si="94"/>
        <v>226.22150997227476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54.708052089349039</v>
      </c>
      <c r="CL116" s="21">
        <f>EXP(-LN(2)/25)*CL115+(1-EXP(-LN(2)/25))/(LN(2)/25)*Calculateur!CG116*Calculateur!CI116*VLOOKUP('Données projet'!$B$12,Paramètres!$A$1:$I$89,3,0)*0.475*44/12</f>
        <v>30.160343338640224</v>
      </c>
      <c r="CM116" s="21">
        <f>EXP(-LN(2)/2)*CM115+(1-EXP(-LN(2)/2))/(LN(2)/2)*CG116*CJ116*VLOOKUP('Données projet'!$B$12,Paramètres!$A$1:$I$89,3,0)*0.475*44/12</f>
        <v>2.1366140232755007E-3</v>
      </c>
      <c r="CN116" s="22">
        <f t="shared" si="66"/>
        <v>84.870532042012542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10.725999999999999</v>
      </c>
      <c r="CT116" s="12">
        <f>IF('Données projet'!$A$140&gt;35,CT115+CS116-DB115,IF(A116&lt;'Données projet'!$A$140,$CQ$205^A116,IF(A116='Données projet'!$A$140,'Données projet'!$B$140,CT115+CS116-DB115)))</f>
        <v>489.91800000000012</v>
      </c>
      <c r="CU116" s="17">
        <f>CT116*VLOOKUP('Données projet'!$B$13,Paramètres!$A$1:$I$89,3,0)*VLOOKUP('Données projet'!$B$13,Paramètres!$A$1:$I$89,5,0)</f>
        <v>496.77685200000013</v>
      </c>
      <c r="CV116" s="13">
        <f t="shared" si="95"/>
        <v>111.14251875063194</v>
      </c>
      <c r="CW116" s="20">
        <f t="shared" si="67"/>
        <v>1058.7929040573508</v>
      </c>
      <c r="CX116" s="59">
        <f t="shared" si="68"/>
        <v>1352.1262373906841</v>
      </c>
      <c r="CY116" s="59">
        <f ca="1">AVERAGE(OFFSET($CX$3,0,0,'Données projet'!$E$13+1,1))-AVERAGE(OFFSET($H$3,0,0,'Données projet'!$E$13+1,1))</f>
        <v>773.15074145293738</v>
      </c>
      <c r="CZ116" s="59">
        <f t="shared" si="96"/>
        <v>248.49577986312505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61.310748031167023</v>
      </c>
      <c r="DG116" s="21">
        <f>EXP(-LN(2)/25)*DG115+(1-EXP(-LN(2)/25))/(LN(2)/25)*Calculateur!DB116*Calculateur!DD116*VLOOKUP('Données projet'!$B$13,Paramètres!$A$1:$I$89,3,0)*0.475*44/12</f>
        <v>33.800384776062316</v>
      </c>
      <c r="DH116" s="21">
        <f>EXP(-LN(2)/2)*DH115+(1-EXP(-LN(2)/2))/(LN(2)/2)*DB116*DE116*VLOOKUP('Données projet'!$B$13,Paramètres!$A$1:$I$89,3,0)*0.475*44/12</f>
        <v>2.394481232981166E-3</v>
      </c>
      <c r="DI116" s="22">
        <f t="shared" si="69"/>
        <v>95.113527288462322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3.4106051316484809E-13</v>
      </c>
      <c r="DP116" s="17">
        <f>DO116*VLOOKUP('Données projet'!$B$14,Paramètres!$A$1:$I$89,3,0)*VLOOKUP('Données projet'!$B$14,Paramètres!$A$1:$I$89,5,0)</f>
        <v>1.5961632016114892E-13</v>
      </c>
      <c r="DQ116" s="13">
        <f t="shared" si="97"/>
        <v>2.2708641912150958E-12</v>
      </c>
      <c r="DR116" s="20">
        <f t="shared" si="70"/>
        <v>4.2330868906469593E-12</v>
      </c>
      <c r="DS116" s="59">
        <f t="shared" si="71"/>
        <v>293.33333333333752</v>
      </c>
      <c r="DT116" s="59">
        <f ca="1">AVERAGE(OFFSET($DS$3,0,0,'Données projet'!$E$14+1,1))-AVERAGE(OFFSET($H$3,0,0,'Données projet'!$E$14+1,1))</f>
        <v>293.15557501692803</v>
      </c>
      <c r="DU116" s="59">
        <f t="shared" si="98"/>
        <v>237.1930412773068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121.22683520003827</v>
      </c>
      <c r="EB116" s="21">
        <f>EXP(-LN(2)/25)*EB115+(1-EXP(-LN(2)/25))/(LN(2)/25)*Calculateur!DW116*Calculateur!DY116*VLOOKUP('Données projet'!$B$14,Paramètres!$A$1:$I$89,3,0)*0.475*44/12</f>
        <v>37.486710083074243</v>
      </c>
      <c r="EC116" s="21">
        <f>EXP(-LN(2)/2)*EC115+(1-EXP(-LN(2)/2))/(LN(2)/2)*DW116*DZ116*VLOOKUP('Données projet'!$B$14,Paramètres!$A$1:$I$89,3,0)*0.475*44/12</f>
        <v>7.8719747547081482</v>
      </c>
      <c r="ED116" s="22">
        <f t="shared" si="72"/>
        <v>166.58552003782069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-1.7053025658242404E-13</v>
      </c>
      <c r="EK116" s="17">
        <f>EJ116*VLOOKUP('Données projet'!$B$15,Paramètres!$A$1:$I$89,3,0)*VLOOKUP('Données projet'!$B$15,Paramètres!$A$1:$I$89,5,0)</f>
        <v>-1.0197709343628959E-13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225.86663363047296</v>
      </c>
      <c r="EP116" s="59">
        <f t="shared" si="100"/>
        <v>258.08349727304397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37.230923158923432</v>
      </c>
      <c r="EW116" s="21">
        <f>EXP(-LN(2)/25)*EW115+(1-EXP(-LN(2)/25))/(LN(2)/25)*Calculateur!ER116*Calculateur!ET116*VLOOKUP('Données projet'!$B$15,Paramètres!$A$1:$I$89,3,0)*0.475*44/12</f>
        <v>9.0893481912240244</v>
      </c>
      <c r="EX116" s="21">
        <f>EXP(-LN(2)/2)*EX115+(1-EXP(-LN(2)/2))/(LN(2)/2)*ER116*EU116*VLOOKUP('Données projet'!$B$15,Paramètres!$A$1:$I$89,3,0)*0.475*44/12</f>
        <v>9.4238090487002761E-7</v>
      </c>
      <c r="EY116" s="22">
        <f t="shared" si="75"/>
        <v>46.320272292528365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388.12151914648013</v>
      </c>
      <c r="T117" s="59">
        <f t="shared" si="88"/>
        <v>481.43684454382793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56.444437308315123</v>
      </c>
      <c r="AA117" s="21">
        <f>EXP(-LN(2)/25)*AA116+(1-EXP(-LN(2)/25))/(LN(2)/25)*Calculateur!V117*Calculateur!X117*VLOOKUP('Données projet'!$B$9,Paramètres!$A$1:$I$89,3,0)*0.475*44/12</f>
        <v>12.35029291238599</v>
      </c>
      <c r="AB117" s="21">
        <f>EXP(-LN(2)/2)*AB116+(1-EXP(-LN(2)/2))/(LN(2)/2)*V117*Y117*VLOOKUP('Données projet'!$B$9,Paramètres!$A$1:$I$89,3,0)*0.475*44/12</f>
        <v>1.4399050183974177E-7</v>
      </c>
      <c r="AC117" s="22">
        <f t="shared" si="57"/>
        <v>68.794730364691617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-1.3596945791505279E-13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349.71285006949597</v>
      </c>
      <c r="AO117" s="59">
        <f t="shared" si="90"/>
        <v>258.51550516456842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78.166533208161624</v>
      </c>
      <c r="AV117" s="21">
        <f>EXP(-LN(2)/25)*AV116+(1-EXP(-LN(2)/25))/(LN(2)/25)*Calculateur!AQ117*Calculateur!AS117*VLOOKUP('Données projet'!$B$10,Paramètres!$A$1:$I$89,3,0)*0.475*44/12</f>
        <v>20.158691232799352</v>
      </c>
      <c r="AW117" s="21">
        <f>EXP(-LN(2)/2)*AW116+(1-EXP(-LN(2)/2))/(LN(2)/2)*AQ117*AT117*VLOOKUP('Données projet'!$B$10,Paramètres!$A$1:$I$89,3,0)*0.475*44/12</f>
        <v>5.3952516785590139E-4</v>
      </c>
      <c r="AX117" s="21">
        <f t="shared" si="60"/>
        <v>98.325763966128832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8.5265128291212022E-14</v>
      </c>
      <c r="BE117" s="13">
        <f>BD117*VLOOKUP('Données projet'!$B$11,Paramètres!$A$1:$I$89,3,0)*VLOOKUP('Données projet'!$B$11,Paramètres!$A$1:$I$89,5,0)</f>
        <v>8.9119112089974823E-14</v>
      </c>
      <c r="BF117" s="13">
        <f t="shared" si="91"/>
        <v>1.3568952080113142E-12</v>
      </c>
      <c r="BG117" s="20">
        <f t="shared" si="61"/>
        <v>2.5184749408430782E-12</v>
      </c>
      <c r="BH117" s="59">
        <f t="shared" si="62"/>
        <v>293.33333333333582</v>
      </c>
      <c r="BI117" s="59">
        <f ca="1">AVERAGE(OFFSET($BH$3,0,0,'Données projet'!$E$11+1,1))-AVERAGE(OFFSET($H$3,0,0,'Données projet'!$E$11+1,1))</f>
        <v>260.74709892624571</v>
      </c>
      <c r="BJ117" s="59">
        <f t="shared" si="92"/>
        <v>237.17381692184887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13.489332063181953</v>
      </c>
      <c r="BQ117" s="21">
        <f>EXP(-LN(2)/25)*BQ116+(1-EXP(-LN(2)/25))/(LN(2)/25)*Calculateur!BL117*Calculateur!BN117*VLOOKUP('Données projet'!$B$11,Paramètres!$A$1:$I$89,3,0)*0.475*44/12</f>
        <v>30.826616859052564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44.315948922234519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10.725999999999999</v>
      </c>
      <c r="BY117" s="12">
        <f>IF('Données projet'!$A$114&gt;35,BY116+BX117-CG116,IF(A117&lt;'Données projet'!$A$114,$BV$205^A117,IF(A117='Données projet'!$A$114,'Données projet'!$B$114,BY116+BX117-CG116)))</f>
        <v>500.64400000000012</v>
      </c>
      <c r="BZ117" s="13">
        <f>BY117*VLOOKUP('Données projet'!$B$12,Paramètres!$A$1:$I$89,3,0)*VLOOKUP('Données projet'!$B$12,Paramètres!$A$1:$I$89,5,0)</f>
        <v>452.98269120000009</v>
      </c>
      <c r="CA117" s="13">
        <f t="shared" si="93"/>
        <v>102.43910451319562</v>
      </c>
      <c r="CB117" s="20">
        <f t="shared" si="64"/>
        <v>967.35962753381591</v>
      </c>
      <c r="CC117" s="59">
        <f t="shared" si="65"/>
        <v>1260.6929608671492</v>
      </c>
      <c r="CD117" s="59">
        <f ca="1">AVERAGE(OFFSET($CC$3,0,0,'Données projet'!$E$12+1,1))-AVERAGE(OFFSET($H$3,0,0,'Données projet'!$E$12+1,1))</f>
        <v>695.0879239758051</v>
      </c>
      <c r="CE117" s="59">
        <f t="shared" si="94"/>
        <v>226.22150997227476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53.635260556493805</v>
      </c>
      <c r="CL117" s="21">
        <f>EXP(-LN(2)/25)*CL116+(1-EXP(-LN(2)/25))/(LN(2)/25)*Calculateur!CG117*Calculateur!CI117*VLOOKUP('Données projet'!$B$12,Paramètres!$A$1:$I$89,3,0)*0.475*44/12</f>
        <v>29.335607163981585</v>
      </c>
      <c r="CM117" s="21">
        <f>EXP(-LN(2)/2)*CM116+(1-EXP(-LN(2)/2))/(LN(2)/2)*CG117*CJ117*VLOOKUP('Données projet'!$B$12,Paramètres!$A$1:$I$89,3,0)*0.475*44/12</f>
        <v>1.5108142646363784E-3</v>
      </c>
      <c r="CN117" s="22">
        <f t="shared" si="66"/>
        <v>82.972378534740017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10.725999999999999</v>
      </c>
      <c r="CT117" s="12">
        <f>IF('Données projet'!$A$140&gt;35,CT116+CS117-DB116,IF(A117&lt;'Données projet'!$A$140,$CQ$205^A117,IF(A117='Données projet'!$A$140,'Données projet'!$B$140,CT116+CS117-DB116)))</f>
        <v>500.64400000000012</v>
      </c>
      <c r="CU117" s="17">
        <f>CT117*VLOOKUP('Données projet'!$B$13,Paramètres!$A$1:$I$89,3,0)*VLOOKUP('Données projet'!$B$13,Paramètres!$A$1:$I$89,5,0)</f>
        <v>507.65301600000015</v>
      </c>
      <c r="CV117" s="13">
        <f t="shared" si="95"/>
        <v>113.2898600184007</v>
      </c>
      <c r="CW117" s="20">
        <f t="shared" si="67"/>
        <v>1081.4755090653814</v>
      </c>
      <c r="CX117" s="59">
        <f t="shared" si="68"/>
        <v>1374.8088423987147</v>
      </c>
      <c r="CY117" s="59">
        <f ca="1">AVERAGE(OFFSET($CX$3,0,0,'Données projet'!$E$13+1,1))-AVERAGE(OFFSET($H$3,0,0,'Données projet'!$E$13+1,1))</f>
        <v>773.15074145293738</v>
      </c>
      <c r="CZ117" s="59">
        <f t="shared" si="96"/>
        <v>248.49577986312505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60.108481658139603</v>
      </c>
      <c r="DG117" s="21">
        <f>EXP(-LN(2)/25)*DG116+(1-EXP(-LN(2)/25))/(LN(2)/25)*Calculateur!DB117*Calculateur!DD117*VLOOKUP('Données projet'!$B$13,Paramètres!$A$1:$I$89,3,0)*0.475*44/12</f>
        <v>32.876111476875906</v>
      </c>
      <c r="DH117" s="21">
        <f>EXP(-LN(2)/2)*DH116+(1-EXP(-LN(2)/2))/(LN(2)/2)*DB117*DE117*VLOOKUP('Données projet'!$B$13,Paramètres!$A$1:$I$89,3,0)*0.475*44/12</f>
        <v>1.6931539172649079E-3</v>
      </c>
      <c r="DI117" s="22">
        <f t="shared" si="69"/>
        <v>92.98628628893276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3.4106051316484809E-13</v>
      </c>
      <c r="DP117" s="17">
        <f>DO117*VLOOKUP('Données projet'!$B$14,Paramètres!$A$1:$I$89,3,0)*VLOOKUP('Données projet'!$B$14,Paramètres!$A$1:$I$89,5,0)</f>
        <v>1.5961632016114892E-13</v>
      </c>
      <c r="DQ117" s="13">
        <f t="shared" si="97"/>
        <v>2.2708641912150958E-12</v>
      </c>
      <c r="DR117" s="20">
        <f t="shared" si="70"/>
        <v>4.2330868906469593E-12</v>
      </c>
      <c r="DS117" s="59">
        <f t="shared" si="71"/>
        <v>293.33333333333752</v>
      </c>
      <c r="DT117" s="59">
        <f ca="1">AVERAGE(OFFSET($DS$3,0,0,'Données projet'!$E$14+1,1))-AVERAGE(OFFSET($H$3,0,0,'Données projet'!$E$14+1,1))</f>
        <v>293.15557501692803</v>
      </c>
      <c r="DU117" s="59">
        <f t="shared" si="98"/>
        <v>237.1930412773068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118.84965090283391</v>
      </c>
      <c r="EB117" s="21">
        <f>EXP(-LN(2)/25)*EB116+(1-EXP(-LN(2)/25))/(LN(2)/25)*Calculateur!DW117*Calculateur!DY117*VLOOKUP('Données projet'!$B$14,Paramètres!$A$1:$I$89,3,0)*0.475*44/12</f>
        <v>36.461634024512172</v>
      </c>
      <c r="EC117" s="21">
        <f>EXP(-LN(2)/2)*EC116+(1-EXP(-LN(2)/2))/(LN(2)/2)*DW117*DZ117*VLOOKUP('Données projet'!$B$14,Paramètres!$A$1:$I$89,3,0)*0.475*44/12</f>
        <v>5.5663267303834409</v>
      </c>
      <c r="ED117" s="22">
        <f t="shared" si="72"/>
        <v>160.87761165772955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-1.7053025658242404E-13</v>
      </c>
      <c r="EK117" s="17">
        <f>EJ117*VLOOKUP('Données projet'!$B$15,Paramètres!$A$1:$I$89,3,0)*VLOOKUP('Données projet'!$B$15,Paramètres!$A$1:$I$89,5,0)</f>
        <v>-1.0197709343628959E-13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225.86663363047296</v>
      </c>
      <c r="EP117" s="59">
        <f t="shared" si="100"/>
        <v>258.08349727304397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36.500847464397779</v>
      </c>
      <c r="EW117" s="21">
        <f>EXP(-LN(2)/25)*EW116+(1-EXP(-LN(2)/25))/(LN(2)/25)*Calculateur!ER117*Calculateur!ET117*VLOOKUP('Données projet'!$B$15,Paramètres!$A$1:$I$89,3,0)*0.475*44/12</f>
        <v>8.8407994869469562</v>
      </c>
      <c r="EX117" s="21">
        <f>EXP(-LN(2)/2)*EX116+(1-EXP(-LN(2)/2))/(LN(2)/2)*ER117*EU117*VLOOKUP('Données projet'!$B$15,Paramètres!$A$1:$I$89,3,0)*0.475*44/12</f>
        <v>6.6636392829431134E-7</v>
      </c>
      <c r="EY117" s="22">
        <f t="shared" si="75"/>
        <v>45.341647617708666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388.12151914648013</v>
      </c>
      <c r="T118" s="59">
        <f t="shared" si="88"/>
        <v>481.43684454382793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55.337596320406369</v>
      </c>
      <c r="AA118" s="21">
        <f>EXP(-LN(2)/25)*AA117+(1-EXP(-LN(2)/25))/(LN(2)/25)*Calculateur!V118*Calculateur!X118*VLOOKUP('Données projet'!$B$9,Paramètres!$A$1:$I$89,3,0)*0.475*44/12</f>
        <v>12.012573503223118</v>
      </c>
      <c r="AB118" s="21">
        <f>EXP(-LN(2)/2)*AB117+(1-EXP(-LN(2)/2))/(LN(2)/2)*V118*Y118*VLOOKUP('Données projet'!$B$9,Paramètres!$A$1:$I$89,3,0)*0.475*44/12</f>
        <v>1.0181666027733545E-7</v>
      </c>
      <c r="AC118" s="22">
        <f t="shared" si="57"/>
        <v>67.350169925446153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-1.3596945791505279E-13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349.71285006949597</v>
      </c>
      <c r="AO118" s="59">
        <f t="shared" si="90"/>
        <v>258.51550516456842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76.63373516882713</v>
      </c>
      <c r="AV118" s="21">
        <f>EXP(-LN(2)/25)*AV117+(1-EXP(-LN(2)/25))/(LN(2)/25)*Calculateur!AQ118*Calculateur!AS118*VLOOKUP('Données projet'!$B$10,Paramètres!$A$1:$I$89,3,0)*0.475*44/12</f>
        <v>19.607450760938956</v>
      </c>
      <c r="AW118" s="21">
        <f>EXP(-LN(2)/2)*AW117+(1-EXP(-LN(2)/2))/(LN(2)/2)*AQ118*AT118*VLOOKUP('Données projet'!$B$10,Paramètres!$A$1:$I$89,3,0)*0.475*44/12</f>
        <v>3.8150190481171819E-4</v>
      </c>
      <c r="AX118" s="21">
        <f t="shared" si="60"/>
        <v>96.241567431670902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8.5265128291212022E-14</v>
      </c>
      <c r="BE118" s="13">
        <f>BD118*VLOOKUP('Données projet'!$B$11,Paramètres!$A$1:$I$89,3,0)*VLOOKUP('Données projet'!$B$11,Paramètres!$A$1:$I$89,5,0)</f>
        <v>8.9119112089974823E-14</v>
      </c>
      <c r="BF118" s="13">
        <f t="shared" si="91"/>
        <v>1.3568952080113142E-12</v>
      </c>
      <c r="BG118" s="20">
        <f t="shared" si="61"/>
        <v>2.5184749408430782E-12</v>
      </c>
      <c r="BH118" s="59">
        <f t="shared" si="62"/>
        <v>293.33333333333582</v>
      </c>
      <c r="BI118" s="59">
        <f ca="1">AVERAGE(OFFSET($BH$3,0,0,'Données projet'!$E$11+1,1))-AVERAGE(OFFSET($H$3,0,0,'Données projet'!$E$11+1,1))</f>
        <v>260.74709892624571</v>
      </c>
      <c r="BJ118" s="59">
        <f t="shared" si="92"/>
        <v>237.17381692184887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13.224814489103098</v>
      </c>
      <c r="BQ118" s="21">
        <f>EXP(-LN(2)/25)*BQ117+(1-EXP(-LN(2)/25))/(LN(2)/25)*Calculateur!BL118*Calculateur!BN118*VLOOKUP('Données projet'!$B$11,Paramètres!$A$1:$I$89,3,0)*0.475*44/12</f>
        <v>29.983661399940445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43.208475889043541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10.725999999999999</v>
      </c>
      <c r="BY118" s="12">
        <f>IF('Données projet'!$A$114&gt;35,BY117+BX118-CG117,IF(A118&lt;'Données projet'!$A$114,$BV$205^A118,IF(A118='Données projet'!$A$114,'Données projet'!$B$114,BY117+BX118-CG117)))</f>
        <v>511.37000000000012</v>
      </c>
      <c r="BZ118" s="13">
        <f>BY118*VLOOKUP('Données projet'!$B$12,Paramètres!$A$1:$I$89,3,0)*VLOOKUP('Données projet'!$B$12,Paramètres!$A$1:$I$89,5,0)</f>
        <v>462.68757600000015</v>
      </c>
      <c r="CA118" s="13">
        <f t="shared" si="93"/>
        <v>104.37593972520772</v>
      </c>
      <c r="CB118" s="20">
        <f t="shared" si="64"/>
        <v>987.63562322140353</v>
      </c>
      <c r="CC118" s="59">
        <f t="shared" si="65"/>
        <v>1280.9689565547369</v>
      </c>
      <c r="CD118" s="59">
        <f ca="1">AVERAGE(OFFSET($CC$3,0,0,'Données projet'!$E$12+1,1))-AVERAGE(OFFSET($H$3,0,0,'Données projet'!$E$12+1,1))</f>
        <v>695.0879239758051</v>
      </c>
      <c r="CE118" s="59">
        <f t="shared" si="94"/>
        <v>226.22150997227476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52.583505811259634</v>
      </c>
      <c r="CL118" s="21">
        <f>EXP(-LN(2)/25)*CL117+(1-EXP(-LN(2)/25))/(LN(2)/25)*Calculateur!CG118*Calculateur!CI118*VLOOKUP('Données projet'!$B$12,Paramètres!$A$1:$I$89,3,0)*0.475*44/12</f>
        <v>28.533423443389974</v>
      </c>
      <c r="CM118" s="21">
        <f>EXP(-LN(2)/2)*CM117+(1-EXP(-LN(2)/2))/(LN(2)/2)*CG118*CJ118*VLOOKUP('Données projet'!$B$12,Paramètres!$A$1:$I$89,3,0)*0.475*44/12</f>
        <v>1.0683070116377503E-3</v>
      </c>
      <c r="CN118" s="22">
        <f t="shared" si="66"/>
        <v>81.117997561661241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10.725999999999999</v>
      </c>
      <c r="CT118" s="12">
        <f>IF('Données projet'!$A$140&gt;35,CT117+CS118-DB117,IF(A118&lt;'Données projet'!$A$140,$CQ$205^A118,IF(A118='Données projet'!$A$140,'Données projet'!$B$140,CT117+CS118-DB117)))</f>
        <v>511.37000000000012</v>
      </c>
      <c r="CU118" s="17">
        <f>CT118*VLOOKUP('Données projet'!$B$13,Paramètres!$A$1:$I$89,3,0)*VLOOKUP('Données projet'!$B$13,Paramètres!$A$1:$I$89,5,0)</f>
        <v>518.52918000000011</v>
      </c>
      <c r="CV118" s="13">
        <f t="shared" si="95"/>
        <v>115.43185248397613</v>
      </c>
      <c r="CW118" s="20">
        <f t="shared" si="67"/>
        <v>1104.1487982429255</v>
      </c>
      <c r="CX118" s="59">
        <f t="shared" si="68"/>
        <v>1397.4821315762588</v>
      </c>
      <c r="CY118" s="59">
        <f ca="1">AVERAGE(OFFSET($CX$3,0,0,'Données projet'!$E$13+1,1))-AVERAGE(OFFSET($H$3,0,0,'Données projet'!$E$13+1,1))</f>
        <v>773.15074145293738</v>
      </c>
      <c r="CZ118" s="59">
        <f t="shared" si="96"/>
        <v>248.49577986312505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58.929790995377168</v>
      </c>
      <c r="DG118" s="21">
        <f>EXP(-LN(2)/25)*DG117+(1-EXP(-LN(2)/25))/(LN(2)/25)*Calculateur!DB118*Calculateur!DD118*VLOOKUP('Données projet'!$B$13,Paramètres!$A$1:$I$89,3,0)*0.475*44/12</f>
        <v>31.977112479661169</v>
      </c>
      <c r="DH118" s="21">
        <f>EXP(-LN(2)/2)*DH117+(1-EXP(-LN(2)/2))/(LN(2)/2)*DB118*DE118*VLOOKUP('Données projet'!$B$13,Paramètres!$A$1:$I$89,3,0)*0.475*44/12</f>
        <v>1.197240616490583E-3</v>
      </c>
      <c r="DI118" s="22">
        <f t="shared" si="69"/>
        <v>90.908100715654825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3.4106051316484809E-13</v>
      </c>
      <c r="DP118" s="17">
        <f>DO118*VLOOKUP('Données projet'!$B$14,Paramètres!$A$1:$I$89,3,0)*VLOOKUP('Données projet'!$B$14,Paramètres!$A$1:$I$89,5,0)</f>
        <v>1.5961632016114892E-13</v>
      </c>
      <c r="DQ118" s="13">
        <f t="shared" si="97"/>
        <v>2.2708641912150958E-12</v>
      </c>
      <c r="DR118" s="20">
        <f t="shared" si="70"/>
        <v>4.2330868906469593E-12</v>
      </c>
      <c r="DS118" s="59">
        <f t="shared" si="71"/>
        <v>293.33333333333752</v>
      </c>
      <c r="DT118" s="59">
        <f ca="1">AVERAGE(OFFSET($DS$3,0,0,'Données projet'!$E$14+1,1))-AVERAGE(OFFSET($H$3,0,0,'Données projet'!$E$14+1,1))</f>
        <v>293.15557501692803</v>
      </c>
      <c r="DU118" s="59">
        <f t="shared" si="98"/>
        <v>237.1930412773068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116.51908173975849</v>
      </c>
      <c r="EB118" s="21">
        <f>EXP(-LN(2)/25)*EB117+(1-EXP(-LN(2)/25))/(LN(2)/25)*Calculateur!DW118*Calculateur!DY118*VLOOKUP('Données projet'!$B$14,Paramètres!$A$1:$I$89,3,0)*0.475*44/12</f>
        <v>35.464588724677888</v>
      </c>
      <c r="EC118" s="21">
        <f>EXP(-LN(2)/2)*EC117+(1-EXP(-LN(2)/2))/(LN(2)/2)*DW118*DZ118*VLOOKUP('Données projet'!$B$14,Paramètres!$A$1:$I$89,3,0)*0.475*44/12</f>
        <v>3.9359873773540746</v>
      </c>
      <c r="ED118" s="22">
        <f t="shared" si="72"/>
        <v>155.91965784179047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-1.7053025658242404E-13</v>
      </c>
      <c r="EK118" s="17">
        <f>EJ118*VLOOKUP('Données projet'!$B$15,Paramètres!$A$1:$I$89,3,0)*VLOOKUP('Données projet'!$B$15,Paramètres!$A$1:$I$89,5,0)</f>
        <v>-1.0197709343628959E-13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225.86663363047296</v>
      </c>
      <c r="EP118" s="59">
        <f t="shared" si="100"/>
        <v>258.08349727304397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35.785088108939568</v>
      </c>
      <c r="EW118" s="21">
        <f>EXP(-LN(2)/25)*EW117+(1-EXP(-LN(2)/25))/(LN(2)/25)*Calculateur!ER118*Calculateur!ET118*VLOOKUP('Données projet'!$B$15,Paramètres!$A$1:$I$89,3,0)*0.475*44/12</f>
        <v>8.5990473600589521</v>
      </c>
      <c r="EX118" s="21">
        <f>EXP(-LN(2)/2)*EX117+(1-EXP(-LN(2)/2))/(LN(2)/2)*ER118*EU118*VLOOKUP('Données projet'!$B$15,Paramètres!$A$1:$I$89,3,0)*0.475*44/12</f>
        <v>4.7119045243501391E-7</v>
      </c>
      <c r="EY118" s="22">
        <f t="shared" si="75"/>
        <v>44.384135940188976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388.12151914648013</v>
      </c>
      <c r="T119" s="59">
        <f t="shared" si="88"/>
        <v>481.43684454382793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54.252459809164165</v>
      </c>
      <c r="AA119" s="21">
        <f>EXP(-LN(2)/25)*AA118+(1-EXP(-LN(2)/25))/(LN(2)/25)*Calculateur!V119*Calculateur!X119*VLOOKUP('Données projet'!$B$9,Paramètres!$A$1:$I$89,3,0)*0.475*44/12</f>
        <v>11.684089049063697</v>
      </c>
      <c r="AB119" s="21">
        <f>EXP(-LN(2)/2)*AB118+(1-EXP(-LN(2)/2))/(LN(2)/2)*V119*Y119*VLOOKUP('Données projet'!$B$9,Paramètres!$A$1:$I$89,3,0)*0.475*44/12</f>
        <v>7.1995250919870883E-8</v>
      </c>
      <c r="AC119" s="22">
        <f t="shared" si="57"/>
        <v>65.936548930223111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-1.3596945791505279E-13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349.71285006949597</v>
      </c>
      <c r="AO119" s="59">
        <f t="shared" si="90"/>
        <v>258.51550516456842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75.130994364129492</v>
      </c>
      <c r="AV119" s="21">
        <f>EXP(-LN(2)/25)*AV118+(1-EXP(-LN(2)/25))/(LN(2)/25)*Calculateur!AQ119*Calculateur!AS119*VLOOKUP('Données projet'!$B$10,Paramètres!$A$1:$I$89,3,0)*0.475*44/12</f>
        <v>19.071283988770059</v>
      </c>
      <c r="AW119" s="21">
        <f>EXP(-LN(2)/2)*AW118+(1-EXP(-LN(2)/2))/(LN(2)/2)*AQ119*AT119*VLOOKUP('Données projet'!$B$10,Paramètres!$A$1:$I$89,3,0)*0.475*44/12</f>
        <v>2.6976258392795069E-4</v>
      </c>
      <c r="AX119" s="21">
        <f t="shared" si="60"/>
        <v>94.202548115483481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8.5265128291212022E-14</v>
      </c>
      <c r="BE119" s="13">
        <f>BD119*VLOOKUP('Données projet'!$B$11,Paramètres!$A$1:$I$89,3,0)*VLOOKUP('Données projet'!$B$11,Paramètres!$A$1:$I$89,5,0)</f>
        <v>8.9119112089974823E-14</v>
      </c>
      <c r="BF119" s="13">
        <f t="shared" si="91"/>
        <v>1.3568952080113142E-12</v>
      </c>
      <c r="BG119" s="20">
        <f t="shared" si="61"/>
        <v>2.5184749408430782E-12</v>
      </c>
      <c r="BH119" s="59">
        <f t="shared" si="62"/>
        <v>293.33333333333582</v>
      </c>
      <c r="BI119" s="59">
        <f ca="1">AVERAGE(OFFSET($BH$3,0,0,'Données projet'!$E$11+1,1))-AVERAGE(OFFSET($H$3,0,0,'Données projet'!$E$11+1,1))</f>
        <v>260.74709892624571</v>
      </c>
      <c r="BJ119" s="59">
        <f t="shared" si="92"/>
        <v>237.17381692184887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12.96548394331214</v>
      </c>
      <c r="BQ119" s="21">
        <f>EXP(-LN(2)/25)*BQ118+(1-EXP(-LN(2)/25))/(LN(2)/25)*Calculateur!BL119*Calculateur!BN119*VLOOKUP('Données projet'!$B$11,Paramètres!$A$1:$I$89,3,0)*0.475*44/12</f>
        <v>29.163756602186847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42.129240545498988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10.725999999999999</v>
      </c>
      <c r="BY119" s="12">
        <f>IF('Données projet'!$A$114&gt;35,BY118+BX119-CG118,IF(A119&lt;'Données projet'!$A$114,$BV$205^A119,IF(A119='Données projet'!$A$114,'Données projet'!$B$114,BY118+BX119-CG118)))</f>
        <v>522.09600000000012</v>
      </c>
      <c r="BZ119" s="13">
        <f>BY119*VLOOKUP('Données projet'!$B$12,Paramètres!$A$1:$I$89,3,0)*VLOOKUP('Données projet'!$B$12,Paramètres!$A$1:$I$89,5,0)</f>
        <v>472.39246080000009</v>
      </c>
      <c r="CA119" s="13">
        <f t="shared" si="93"/>
        <v>106.30805156897928</v>
      </c>
      <c r="CB119" s="20">
        <f t="shared" si="64"/>
        <v>1007.9033923759724</v>
      </c>
      <c r="CC119" s="59">
        <f t="shared" si="65"/>
        <v>1301.2367257093058</v>
      </c>
      <c r="CD119" s="59">
        <f ca="1">AVERAGE(OFFSET($CC$3,0,0,'Données projet'!$E$12+1,1))-AVERAGE(OFFSET($H$3,0,0,'Données projet'!$E$12+1,1))</f>
        <v>695.0879239758051</v>
      </c>
      <c r="CE119" s="59">
        <f t="shared" si="94"/>
        <v>226.22150997227476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51.552375335072455</v>
      </c>
      <c r="CL119" s="21">
        <f>EXP(-LN(2)/25)*CL118+(1-EXP(-LN(2)/25))/(LN(2)/25)*Calculateur!CG119*Calculateur!CI119*VLOOKUP('Données projet'!$B$12,Paramètres!$A$1:$I$89,3,0)*0.475*44/12</f>
        <v>27.75317547882295</v>
      </c>
      <c r="CM119" s="21">
        <f>EXP(-LN(2)/2)*CM118+(1-EXP(-LN(2)/2))/(LN(2)/2)*CG119*CJ119*VLOOKUP('Données projet'!$B$12,Paramètres!$A$1:$I$89,3,0)*0.475*44/12</f>
        <v>7.5540713231818921E-4</v>
      </c>
      <c r="CN119" s="22">
        <f t="shared" si="66"/>
        <v>79.306306221027725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10.725999999999999</v>
      </c>
      <c r="CT119" s="12">
        <f>IF('Données projet'!$A$140&gt;35,CT118+CS119-DB118,IF(A119&lt;'Données projet'!$A$140,$CQ$205^A119,IF(A119='Données projet'!$A$140,'Données projet'!$B$140,CT118+CS119-DB118)))</f>
        <v>522.09600000000012</v>
      </c>
      <c r="CU119" s="17">
        <f>CT119*VLOOKUP('Données projet'!$B$13,Paramètres!$A$1:$I$89,3,0)*VLOOKUP('Données projet'!$B$13,Paramètres!$A$1:$I$89,5,0)</f>
        <v>529.40534400000013</v>
      </c>
      <c r="CV119" s="13">
        <f t="shared" si="95"/>
        <v>117.56862126344726</v>
      </c>
      <c r="CW119" s="20">
        <f t="shared" si="67"/>
        <v>1126.812989500504</v>
      </c>
      <c r="CX119" s="59">
        <f t="shared" si="68"/>
        <v>1420.1463228338373</v>
      </c>
      <c r="CY119" s="59">
        <f ca="1">AVERAGE(OFFSET($CX$3,0,0,'Données projet'!$E$13+1,1))-AVERAGE(OFFSET($H$3,0,0,'Données projet'!$E$13+1,1))</f>
        <v>773.15074145293738</v>
      </c>
      <c r="CZ119" s="59">
        <f t="shared" si="96"/>
        <v>248.49577986312505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57.774213737581192</v>
      </c>
      <c r="DG119" s="21">
        <f>EXP(-LN(2)/25)*DG118+(1-EXP(-LN(2)/25))/(LN(2)/25)*Calculateur!DB119*Calculateur!DD119*VLOOKUP('Données projet'!$B$13,Paramètres!$A$1:$I$89,3,0)*0.475*44/12</f>
        <v>31.102696657301575</v>
      </c>
      <c r="DH119" s="21">
        <f>EXP(-LN(2)/2)*DH118+(1-EXP(-LN(2)/2))/(LN(2)/2)*DB119*DE119*VLOOKUP('Données projet'!$B$13,Paramètres!$A$1:$I$89,3,0)*0.475*44/12</f>
        <v>8.4657695863245394E-4</v>
      </c>
      <c r="DI119" s="22">
        <f t="shared" si="69"/>
        <v>88.877756971841407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3.4106051316484809E-13</v>
      </c>
      <c r="DP119" s="17">
        <f>DO119*VLOOKUP('Données projet'!$B$14,Paramètres!$A$1:$I$89,3,0)*VLOOKUP('Données projet'!$B$14,Paramètres!$A$1:$I$89,5,0)</f>
        <v>1.5961632016114892E-13</v>
      </c>
      <c r="DQ119" s="13">
        <f t="shared" si="97"/>
        <v>2.2708641912150958E-12</v>
      </c>
      <c r="DR119" s="20">
        <f t="shared" si="70"/>
        <v>4.2330868906469593E-12</v>
      </c>
      <c r="DS119" s="59">
        <f t="shared" si="71"/>
        <v>293.33333333333752</v>
      </c>
      <c r="DT119" s="59">
        <f ca="1">AVERAGE(OFFSET($DS$3,0,0,'Données projet'!$E$14+1,1))-AVERAGE(OFFSET($H$3,0,0,'Données projet'!$E$14+1,1))</f>
        <v>293.15557501692803</v>
      </c>
      <c r="DU119" s="59">
        <f t="shared" si="98"/>
        <v>237.1930412773068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114.23421361646415</v>
      </c>
      <c r="EB119" s="21">
        <f>EXP(-LN(2)/25)*EB118+(1-EXP(-LN(2)/25))/(LN(2)/25)*Calculateur!DW119*Calculateur!DY119*VLOOKUP('Données projet'!$B$14,Paramètres!$A$1:$I$89,3,0)*0.475*44/12</f>
        <v>34.494807680999905</v>
      </c>
      <c r="EC119" s="21">
        <f>EXP(-LN(2)/2)*EC118+(1-EXP(-LN(2)/2))/(LN(2)/2)*DW119*DZ119*VLOOKUP('Données projet'!$B$14,Paramètres!$A$1:$I$89,3,0)*0.475*44/12</f>
        <v>2.7831633651917209</v>
      </c>
      <c r="ED119" s="22">
        <f t="shared" si="72"/>
        <v>151.51218466265576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-1.7053025658242404E-13</v>
      </c>
      <c r="EK119" s="17">
        <f>EJ119*VLOOKUP('Données projet'!$B$15,Paramètres!$A$1:$I$89,3,0)*VLOOKUP('Données projet'!$B$15,Paramètres!$A$1:$I$89,5,0)</f>
        <v>-1.0197709343628959E-13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225.86663363047296</v>
      </c>
      <c r="EP119" s="59">
        <f t="shared" si="100"/>
        <v>258.08349727304397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35.083364357871801</v>
      </c>
      <c r="EW119" s="21">
        <f>EXP(-LN(2)/25)*EW118+(1-EXP(-LN(2)/25))/(LN(2)/25)*Calculateur!ER119*Calculateur!ET119*VLOOKUP('Données projet'!$B$15,Paramètres!$A$1:$I$89,3,0)*0.475*44/12</f>
        <v>8.363905957793893</v>
      </c>
      <c r="EX119" s="21">
        <f>EXP(-LN(2)/2)*EX118+(1-EXP(-LN(2)/2))/(LN(2)/2)*ER119*EU119*VLOOKUP('Données projet'!$B$15,Paramètres!$A$1:$I$89,3,0)*0.475*44/12</f>
        <v>3.3318196414715572E-7</v>
      </c>
      <c r="EY119" s="22">
        <f t="shared" si="75"/>
        <v>43.447270648847656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388.12151914648013</v>
      </c>
      <c r="T120" s="59">
        <f t="shared" si="88"/>
        <v>481.43684454382793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53.188602163039498</v>
      </c>
      <c r="AA120" s="21">
        <f>EXP(-LN(2)/25)*AA119+(1-EXP(-LN(2)/25))/(LN(2)/25)*Calculateur!V120*Calculateur!X120*VLOOKUP('Données projet'!$B$9,Paramètres!$A$1:$I$89,3,0)*0.475*44/12</f>
        <v>11.364587019577511</v>
      </c>
      <c r="AB120" s="21">
        <f>EXP(-LN(2)/2)*AB119+(1-EXP(-LN(2)/2))/(LN(2)/2)*V120*Y120*VLOOKUP('Données projet'!$B$9,Paramètres!$A$1:$I$89,3,0)*0.475*44/12</f>
        <v>5.0908330138667725E-8</v>
      </c>
      <c r="AC120" s="22">
        <f t="shared" si="57"/>
        <v>64.55318923352533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-1.3596945791505279E-13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349.71285006949597</v>
      </c>
      <c r="AO120" s="59">
        <f t="shared" si="90"/>
        <v>258.51550516456842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73.657721390030588</v>
      </c>
      <c r="AV120" s="21">
        <f>EXP(-LN(2)/25)*AV119+(1-EXP(-LN(2)/25))/(LN(2)/25)*Calculateur!AQ120*Calculateur!AS120*VLOOKUP('Données projet'!$B$10,Paramètres!$A$1:$I$89,3,0)*0.475*44/12</f>
        <v>18.549778725181906</v>
      </c>
      <c r="AW120" s="21">
        <f>EXP(-LN(2)/2)*AW119+(1-EXP(-LN(2)/2))/(LN(2)/2)*AQ120*AT120*VLOOKUP('Données projet'!$B$10,Paramètres!$A$1:$I$89,3,0)*0.475*44/12</f>
        <v>1.907509524058591E-4</v>
      </c>
      <c r="AX120" s="21">
        <f t="shared" si="60"/>
        <v>92.207690866164896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8.5265128291212022E-14</v>
      </c>
      <c r="BE120" s="13">
        <f>BD120*VLOOKUP('Données projet'!$B$11,Paramètres!$A$1:$I$89,3,0)*VLOOKUP('Données projet'!$B$11,Paramètres!$A$1:$I$89,5,0)</f>
        <v>8.9119112089974823E-14</v>
      </c>
      <c r="BF120" s="13">
        <f t="shared" si="91"/>
        <v>1.3568952080113142E-12</v>
      </c>
      <c r="BG120" s="20">
        <f t="shared" si="61"/>
        <v>2.5184749408430782E-12</v>
      </c>
      <c r="BH120" s="59">
        <f t="shared" si="62"/>
        <v>293.33333333333582</v>
      </c>
      <c r="BI120" s="59">
        <f ca="1">AVERAGE(OFFSET($BH$3,0,0,'Données projet'!$E$11+1,1))-AVERAGE(OFFSET($H$3,0,0,'Données projet'!$E$11+1,1))</f>
        <v>260.74709892624571</v>
      </c>
      <c r="BJ120" s="59">
        <f t="shared" si="92"/>
        <v>237.17381692184887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12.711238711348129</v>
      </c>
      <c r="BQ120" s="21">
        <f>EXP(-LN(2)/25)*BQ119+(1-EXP(-LN(2)/25))/(LN(2)/25)*Calculateur!BL120*Calculateur!BN120*VLOOKUP('Données projet'!$B$11,Paramètres!$A$1:$I$89,3,0)*0.475*44/12</f>
        <v>28.366272144244743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41.07751085559287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10.725999999999999</v>
      </c>
      <c r="BY120" s="12">
        <f>IF('Données projet'!$A$114&gt;35,BY119+BX120-CG119,IF(A120&lt;'Données projet'!$A$114,$BV$205^A120,IF(A120='Données projet'!$A$114,'Données projet'!$B$114,BY119+BX120-CG119)))</f>
        <v>532.82200000000012</v>
      </c>
      <c r="BZ120" s="13">
        <f>BY120*VLOOKUP('Données projet'!$B$12,Paramètres!$A$1:$I$89,3,0)*VLOOKUP('Données projet'!$B$12,Paramètres!$A$1:$I$89,5,0)</f>
        <v>482.09734560000015</v>
      </c>
      <c r="CA120" s="13">
        <f t="shared" si="93"/>
        <v>108.23554826302497</v>
      </c>
      <c r="CB120" s="20">
        <f t="shared" si="64"/>
        <v>1028.1631234781019</v>
      </c>
      <c r="CC120" s="59">
        <f t="shared" si="65"/>
        <v>1321.4964568114351</v>
      </c>
      <c r="CD120" s="59">
        <f ca="1">AVERAGE(OFFSET($CC$3,0,0,'Données projet'!$E$12+1,1))-AVERAGE(OFFSET($H$3,0,0,'Données projet'!$E$12+1,1))</f>
        <v>695.0879239758051</v>
      </c>
      <c r="CE120" s="59">
        <f t="shared" si="94"/>
        <v>226.22150997227476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50.541464698595817</v>
      </c>
      <c r="CL120" s="21">
        <f>EXP(-LN(2)/25)*CL119+(1-EXP(-LN(2)/25))/(LN(2)/25)*Calculateur!CG120*Calculateur!CI120*VLOOKUP('Données projet'!$B$12,Paramètres!$A$1:$I$89,3,0)*0.475*44/12</f>
        <v>26.994263435878469</v>
      </c>
      <c r="CM120" s="21">
        <f>EXP(-LN(2)/2)*CM119+(1-EXP(-LN(2)/2))/(LN(2)/2)*CG120*CJ120*VLOOKUP('Données projet'!$B$12,Paramètres!$A$1:$I$89,3,0)*0.475*44/12</f>
        <v>5.3415350581887517E-4</v>
      </c>
      <c r="CN120" s="22">
        <f t="shared" si="66"/>
        <v>77.536262287980108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10.725999999999999</v>
      </c>
      <c r="CT120" s="12">
        <f>IF('Données projet'!$A$140&gt;35,CT119+CS120-DB119,IF(A120&lt;'Données projet'!$A$140,$CQ$205^A120,IF(A120='Données projet'!$A$140,'Données projet'!$B$140,CT119+CS120-DB119)))</f>
        <v>532.82200000000012</v>
      </c>
      <c r="CU120" s="17">
        <f>CT120*VLOOKUP('Données projet'!$B$13,Paramètres!$A$1:$I$89,3,0)*VLOOKUP('Données projet'!$B$13,Paramètres!$A$1:$I$89,5,0)</f>
        <v>540.28150800000014</v>
      </c>
      <c r="CV120" s="13">
        <f t="shared" si="95"/>
        <v>119.70028603826221</v>
      </c>
      <c r="CW120" s="20">
        <f t="shared" si="67"/>
        <v>1149.4682912833071</v>
      </c>
      <c r="CX120" s="59">
        <f t="shared" si="68"/>
        <v>1442.8016246166403</v>
      </c>
      <c r="CY120" s="59">
        <f ca="1">AVERAGE(OFFSET($CX$3,0,0,'Données projet'!$E$13+1,1))-AVERAGE(OFFSET($H$3,0,0,'Données projet'!$E$13+1,1))</f>
        <v>773.15074145293738</v>
      </c>
      <c r="CZ120" s="59">
        <f t="shared" si="96"/>
        <v>248.49577986312505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56.641296644978063</v>
      </c>
      <c r="DG120" s="21">
        <f>EXP(-LN(2)/25)*DG119+(1-EXP(-LN(2)/25))/(LN(2)/25)*Calculateur!DB120*Calculateur!DD120*VLOOKUP('Données projet'!$B$13,Paramètres!$A$1:$I$89,3,0)*0.475*44/12</f>
        <v>30.252191781587932</v>
      </c>
      <c r="DH120" s="21">
        <f>EXP(-LN(2)/2)*DH119+(1-EXP(-LN(2)/2))/(LN(2)/2)*DB120*DE120*VLOOKUP('Données projet'!$B$13,Paramètres!$A$1:$I$89,3,0)*0.475*44/12</f>
        <v>5.986203082452915E-4</v>
      </c>
      <c r="DI120" s="22">
        <f t="shared" si="69"/>
        <v>86.894087046874233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3.4106051316484809E-13</v>
      </c>
      <c r="DP120" s="17">
        <f>DO120*VLOOKUP('Données projet'!$B$14,Paramètres!$A$1:$I$89,3,0)*VLOOKUP('Données projet'!$B$14,Paramètres!$A$1:$I$89,5,0)</f>
        <v>1.5961632016114892E-13</v>
      </c>
      <c r="DQ120" s="13">
        <f t="shared" si="97"/>
        <v>2.2708641912150958E-12</v>
      </c>
      <c r="DR120" s="20">
        <f t="shared" si="70"/>
        <v>4.2330868906469593E-12</v>
      </c>
      <c r="DS120" s="59">
        <f t="shared" si="71"/>
        <v>293.33333333333752</v>
      </c>
      <c r="DT120" s="59">
        <f ca="1">AVERAGE(OFFSET($DS$3,0,0,'Données projet'!$E$14+1,1))-AVERAGE(OFFSET($H$3,0,0,'Données projet'!$E$14+1,1))</f>
        <v>293.15557501692803</v>
      </c>
      <c r="DU120" s="59">
        <f t="shared" si="98"/>
        <v>237.1930412773068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111.99415036343565</v>
      </c>
      <c r="EB120" s="21">
        <f>EXP(-LN(2)/25)*EB119+(1-EXP(-LN(2)/25))/(LN(2)/25)*Calculateur!DW120*Calculateur!DY120*VLOOKUP('Données projet'!$B$14,Paramètres!$A$1:$I$89,3,0)*0.475*44/12</f>
        <v>33.551545350959863</v>
      </c>
      <c r="EC120" s="21">
        <f>EXP(-LN(2)/2)*EC119+(1-EXP(-LN(2)/2))/(LN(2)/2)*DW120*DZ120*VLOOKUP('Données projet'!$B$14,Paramètres!$A$1:$I$89,3,0)*0.475*44/12</f>
        <v>1.9679936886770375</v>
      </c>
      <c r="ED120" s="22">
        <f t="shared" si="72"/>
        <v>147.51368940307256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-1.7053025658242404E-13</v>
      </c>
      <c r="EK120" s="17">
        <f>EJ120*VLOOKUP('Données projet'!$B$15,Paramètres!$A$1:$I$89,3,0)*VLOOKUP('Données projet'!$B$15,Paramètres!$A$1:$I$89,5,0)</f>
        <v>-1.0197709343628959E-13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225.86663363047296</v>
      </c>
      <c r="EP120" s="59">
        <f t="shared" si="100"/>
        <v>258.08349727304397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34.395400981553244</v>
      </c>
      <c r="EW120" s="21">
        <f>EXP(-LN(2)/25)*EW119+(1-EXP(-LN(2)/25))/(LN(2)/25)*Calculateur!ER120*Calculateur!ET120*VLOOKUP('Données projet'!$B$15,Paramètres!$A$1:$I$89,3,0)*0.475*44/12</f>
        <v>8.1351945095393212</v>
      </c>
      <c r="EX120" s="21">
        <f>EXP(-LN(2)/2)*EX119+(1-EXP(-LN(2)/2))/(LN(2)/2)*ER120*EU120*VLOOKUP('Données projet'!$B$15,Paramètres!$A$1:$I$89,3,0)*0.475*44/12</f>
        <v>2.3559522621750698E-7</v>
      </c>
      <c r="EY120" s="22">
        <f t="shared" si="75"/>
        <v>42.530595726687793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388.12151914648013</v>
      </c>
      <c r="T121" s="59">
        <f t="shared" si="88"/>
        <v>481.43684454382793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52.145606116466247</v>
      </c>
      <c r="AA121" s="21">
        <f>EXP(-LN(2)/25)*AA120+(1-EXP(-LN(2)/25))/(LN(2)/25)*Calculateur!V121*Calculateur!X121*VLOOKUP('Données projet'!$B$9,Paramètres!$A$1:$I$89,3,0)*0.475*44/12</f>
        <v>11.053821789889508</v>
      </c>
      <c r="AB121" s="21">
        <f>EXP(-LN(2)/2)*AB120+(1-EXP(-LN(2)/2))/(LN(2)/2)*V121*Y121*VLOOKUP('Données projet'!$B$9,Paramètres!$A$1:$I$89,3,0)*0.475*44/12</f>
        <v>3.5997625459935441E-8</v>
      </c>
      <c r="AC121" s="22">
        <f t="shared" si="57"/>
        <v>63.199427942353374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-1.3596945791505279E-13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349.71285006949597</v>
      </c>
      <c r="AO121" s="59">
        <f t="shared" si="90"/>
        <v>258.51550516456842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72.213338400345989</v>
      </c>
      <c r="AV121" s="21">
        <f>EXP(-LN(2)/25)*AV120+(1-EXP(-LN(2)/25))/(LN(2)/25)*Calculateur!AQ121*Calculateur!AS121*VLOOKUP('Données projet'!$B$10,Paramètres!$A$1:$I$89,3,0)*0.475*44/12</f>
        <v>18.042534050451341</v>
      </c>
      <c r="AW121" s="21">
        <f>EXP(-LN(2)/2)*AW120+(1-EXP(-LN(2)/2))/(LN(2)/2)*AQ121*AT121*VLOOKUP('Données projet'!$B$10,Paramètres!$A$1:$I$89,3,0)*0.475*44/12</f>
        <v>1.3488129196397535E-4</v>
      </c>
      <c r="AX121" s="21">
        <f t="shared" si="60"/>
        <v>90.256007332089297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8.5265128291212022E-14</v>
      </c>
      <c r="BE121" s="13">
        <f>BD121*VLOOKUP('Données projet'!$B$11,Paramètres!$A$1:$I$89,3,0)*VLOOKUP('Données projet'!$B$11,Paramètres!$A$1:$I$89,5,0)</f>
        <v>8.9119112089974823E-14</v>
      </c>
      <c r="BF121" s="13">
        <f t="shared" si="91"/>
        <v>1.3568952080113142E-12</v>
      </c>
      <c r="BG121" s="20">
        <f t="shared" si="61"/>
        <v>2.5184749408430782E-12</v>
      </c>
      <c r="BH121" s="59">
        <f t="shared" si="62"/>
        <v>293.33333333333582</v>
      </c>
      <c r="BI121" s="59">
        <f ca="1">AVERAGE(OFFSET($BH$3,0,0,'Données projet'!$E$11+1,1))-AVERAGE(OFFSET($H$3,0,0,'Données projet'!$E$11+1,1))</f>
        <v>260.74709892624571</v>
      </c>
      <c r="BJ121" s="59">
        <f t="shared" si="92"/>
        <v>237.17381692184887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12.461979073308651</v>
      </c>
      <c r="BQ121" s="21">
        <f>EXP(-LN(2)/25)*BQ120+(1-EXP(-LN(2)/25))/(LN(2)/25)*Calculateur!BL121*Calculateur!BN121*VLOOKUP('Données projet'!$B$11,Paramètres!$A$1:$I$89,3,0)*0.475*44/12</f>
        <v>27.59059494074295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40.052574014051601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10.725999999999999</v>
      </c>
      <c r="BY121" s="12">
        <f>IF('Données projet'!$A$114&gt;35,BY120+BX121-CG120,IF(A121&lt;'Données projet'!$A$114,$BV$205^A121,IF(A121='Données projet'!$A$114,'Données projet'!$B$114,BY120+BX121-CG120)))</f>
        <v>543.54800000000012</v>
      </c>
      <c r="BZ121" s="13">
        <f>BY121*VLOOKUP('Données projet'!$B$12,Paramètres!$A$1:$I$89,3,0)*VLOOKUP('Données projet'!$B$12,Paramètres!$A$1:$I$89,5,0)</f>
        <v>491.8022304000001</v>
      </c>
      <c r="CA121" s="13">
        <f t="shared" si="93"/>
        <v>110.1585334197499</v>
      </c>
      <c r="CB121" s="20">
        <f t="shared" si="64"/>
        <v>1048.4149969860646</v>
      </c>
      <c r="CC121" s="59">
        <f t="shared" si="65"/>
        <v>1341.7483303193978</v>
      </c>
      <c r="CD121" s="59">
        <f ca="1">AVERAGE(OFFSET($CC$3,0,0,'Données projet'!$E$12+1,1))-AVERAGE(OFFSET($H$3,0,0,'Données projet'!$E$12+1,1))</f>
        <v>695.0879239758051</v>
      </c>
      <c r="CE121" s="59">
        <f t="shared" si="94"/>
        <v>226.22150997227476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49.550377403105884</v>
      </c>
      <c r="CL121" s="21">
        <f>EXP(-LN(2)/25)*CL120+(1-EXP(-LN(2)/25))/(LN(2)/25)*Calculateur!CG121*Calculateur!CI121*VLOOKUP('Données projet'!$B$12,Paramètres!$A$1:$I$89,3,0)*0.475*44/12</f>
        <v>26.256103882657754</v>
      </c>
      <c r="CM121" s="21">
        <f>EXP(-LN(2)/2)*CM120+(1-EXP(-LN(2)/2))/(LN(2)/2)*CG121*CJ121*VLOOKUP('Données projet'!$B$12,Paramètres!$A$1:$I$89,3,0)*0.475*44/12</f>
        <v>3.7770356615909461E-4</v>
      </c>
      <c r="CN121" s="22">
        <f t="shared" si="66"/>
        <v>75.806858989329797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10.725999999999999</v>
      </c>
      <c r="CT121" s="12">
        <f>IF('Données projet'!$A$140&gt;35,CT120+CS121-DB120,IF(A121&lt;'Données projet'!$A$140,$CQ$205^A121,IF(A121='Données projet'!$A$140,'Données projet'!$B$140,CT120+CS121-DB120)))</f>
        <v>543.54800000000012</v>
      </c>
      <c r="CU121" s="17">
        <f>CT121*VLOOKUP('Données projet'!$B$13,Paramètres!$A$1:$I$89,3,0)*VLOOKUP('Données projet'!$B$13,Paramètres!$A$1:$I$89,5,0)</f>
        <v>551.15767200000016</v>
      </c>
      <c r="CV121" s="13">
        <f t="shared" si="95"/>
        <v>121.82696139586226</v>
      </c>
      <c r="CW121" s="20">
        <f t="shared" si="67"/>
        <v>1172.1149031644602</v>
      </c>
      <c r="CX121" s="59">
        <f t="shared" si="68"/>
        <v>1465.4482364977935</v>
      </c>
      <c r="CY121" s="59">
        <f ca="1">AVERAGE(OFFSET($CX$3,0,0,'Données projet'!$E$13+1,1))-AVERAGE(OFFSET($H$3,0,0,'Données projet'!$E$13+1,1))</f>
        <v>773.15074145293738</v>
      </c>
      <c r="CZ121" s="59">
        <f t="shared" si="96"/>
        <v>248.49577986312505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55.530595365549686</v>
      </c>
      <c r="DG121" s="21">
        <f>EXP(-LN(2)/25)*DG120+(1-EXP(-LN(2)/25))/(LN(2)/25)*Calculateur!DB121*Calculateur!DD121*VLOOKUP('Données projet'!$B$13,Paramètres!$A$1:$I$89,3,0)*0.475*44/12</f>
        <v>29.424944006426788</v>
      </c>
      <c r="DH121" s="21">
        <f>EXP(-LN(2)/2)*DH120+(1-EXP(-LN(2)/2))/(LN(2)/2)*DB121*DE121*VLOOKUP('Données projet'!$B$13,Paramètres!$A$1:$I$89,3,0)*0.475*44/12</f>
        <v>4.2328847931622697E-4</v>
      </c>
      <c r="DI121" s="22">
        <f t="shared" si="69"/>
        <v>84.955962660455782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3.4106051316484809E-13</v>
      </c>
      <c r="DP121" s="17">
        <f>DO121*VLOOKUP('Données projet'!$B$14,Paramètres!$A$1:$I$89,3,0)*VLOOKUP('Données projet'!$B$14,Paramètres!$A$1:$I$89,5,0)</f>
        <v>1.5961632016114892E-13</v>
      </c>
      <c r="DQ121" s="13">
        <f t="shared" si="97"/>
        <v>2.2708641912150958E-12</v>
      </c>
      <c r="DR121" s="20">
        <f t="shared" si="70"/>
        <v>4.2330868906469593E-12</v>
      </c>
      <c r="DS121" s="59">
        <f t="shared" si="71"/>
        <v>293.33333333333752</v>
      </c>
      <c r="DT121" s="59">
        <f ca="1">AVERAGE(OFFSET($DS$3,0,0,'Données projet'!$E$14+1,1))-AVERAGE(OFFSET($H$3,0,0,'Données projet'!$E$14+1,1))</f>
        <v>293.15557501692803</v>
      </c>
      <c r="DU121" s="59">
        <f t="shared" si="98"/>
        <v>237.1930412773068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109.79801338449538</v>
      </c>
      <c r="EB121" s="21">
        <f>EXP(-LN(2)/25)*EB120+(1-EXP(-LN(2)/25))/(LN(2)/25)*Calculateur!DW121*Calculateur!DY121*VLOOKUP('Données projet'!$B$14,Paramètres!$A$1:$I$89,3,0)*0.475*44/12</f>
        <v>32.634076578938782</v>
      </c>
      <c r="EC121" s="21">
        <f>EXP(-LN(2)/2)*EC120+(1-EXP(-LN(2)/2))/(LN(2)/2)*DW121*DZ121*VLOOKUP('Données projet'!$B$14,Paramètres!$A$1:$I$89,3,0)*0.475*44/12</f>
        <v>1.3915816825958607</v>
      </c>
      <c r="ED121" s="22">
        <f t="shared" si="72"/>
        <v>143.82367164603002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-1.7053025658242404E-13</v>
      </c>
      <c r="EK121" s="17">
        <f>EJ121*VLOOKUP('Données projet'!$B$15,Paramètres!$A$1:$I$89,3,0)*VLOOKUP('Données projet'!$B$15,Paramètres!$A$1:$I$89,5,0)</f>
        <v>-1.0197709343628959E-13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225.86663363047296</v>
      </c>
      <c r="EP121" s="59">
        <f t="shared" si="100"/>
        <v>258.08349727304397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33.720928147428069</v>
      </c>
      <c r="EW121" s="21">
        <f>EXP(-LN(2)/25)*EW120+(1-EXP(-LN(2)/25))/(LN(2)/25)*Calculateur!ER121*Calculateur!ET121*VLOOKUP('Données projet'!$B$15,Paramètres!$A$1:$I$89,3,0)*0.475*44/12</f>
        <v>7.9127371878646828</v>
      </c>
      <c r="EX121" s="21">
        <f>EXP(-LN(2)/2)*EX120+(1-EXP(-LN(2)/2))/(LN(2)/2)*ER121*EU121*VLOOKUP('Données projet'!$B$15,Paramètres!$A$1:$I$89,3,0)*0.475*44/12</f>
        <v>1.6659098207357789E-7</v>
      </c>
      <c r="EY121" s="22">
        <f t="shared" si="75"/>
        <v>41.633665501883733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388.12151914648013</v>
      </c>
      <c r="T122" s="59">
        <f t="shared" si="88"/>
        <v>481.43684454382793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51.123062586201527</v>
      </c>
      <c r="AA122" s="21">
        <f>EXP(-LN(2)/25)*AA121+(1-EXP(-LN(2)/25))/(LN(2)/25)*Calculateur!V122*Calculateur!X122*VLOOKUP('Données projet'!$B$9,Paramètres!$A$1:$I$89,3,0)*0.475*44/12</f>
        <v>10.751554451749755</v>
      </c>
      <c r="AB122" s="21">
        <f>EXP(-LN(2)/2)*AB121+(1-EXP(-LN(2)/2))/(LN(2)/2)*V122*Y122*VLOOKUP('Données projet'!$B$9,Paramètres!$A$1:$I$89,3,0)*0.475*44/12</f>
        <v>2.5454165069333863E-8</v>
      </c>
      <c r="AC122" s="22">
        <f t="shared" si="57"/>
        <v>61.874617063405445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-1.3596945791505279E-13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349.71285006949597</v>
      </c>
      <c r="AO122" s="59">
        <f t="shared" si="90"/>
        <v>258.51550516456842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70.797278880102468</v>
      </c>
      <c r="AV122" s="21">
        <f>EXP(-LN(2)/25)*AV121+(1-EXP(-LN(2)/25))/(LN(2)/25)*Calculateur!AQ122*Calculateur!AS122*VLOOKUP('Données projet'!$B$10,Paramètres!$A$1:$I$89,3,0)*0.475*44/12</f>
        <v>17.549160008026121</v>
      </c>
      <c r="AW122" s="21">
        <f>EXP(-LN(2)/2)*AW121+(1-EXP(-LN(2)/2))/(LN(2)/2)*AQ122*AT122*VLOOKUP('Données projet'!$B$10,Paramètres!$A$1:$I$89,3,0)*0.475*44/12</f>
        <v>9.5375476202929548E-5</v>
      </c>
      <c r="AX122" s="21">
        <f t="shared" si="60"/>
        <v>88.346534263604795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8.5265128291212022E-14</v>
      </c>
      <c r="BE122" s="13">
        <f>BD122*VLOOKUP('Données projet'!$B$11,Paramètres!$A$1:$I$89,3,0)*VLOOKUP('Données projet'!$B$11,Paramètres!$A$1:$I$89,5,0)</f>
        <v>8.9119112089974823E-14</v>
      </c>
      <c r="BF122" s="13">
        <f t="shared" si="91"/>
        <v>1.3568952080113142E-12</v>
      </c>
      <c r="BG122" s="20">
        <f t="shared" si="61"/>
        <v>2.5184749408430782E-12</v>
      </c>
      <c r="BH122" s="59">
        <f t="shared" si="62"/>
        <v>293.33333333333582</v>
      </c>
      <c r="BI122" s="59">
        <f ca="1">AVERAGE(OFFSET($BH$3,0,0,'Données projet'!$E$11+1,1))-AVERAGE(OFFSET($H$3,0,0,'Données projet'!$E$11+1,1))</f>
        <v>260.74709892624571</v>
      </c>
      <c r="BJ122" s="59">
        <f t="shared" si="92"/>
        <v>237.17381692184887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12.217607264737762</v>
      </c>
      <c r="BQ122" s="21">
        <f>EXP(-LN(2)/25)*BQ121+(1-EXP(-LN(2)/25))/(LN(2)/25)*Calculateur!BL122*Calculateur!BN122*VLOOKUP('Données projet'!$B$11,Paramètres!$A$1:$I$89,3,0)*0.475*44/12</f>
        <v>26.836128671162005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39.053735935899766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10.725999999999999</v>
      </c>
      <c r="BY122" s="12">
        <f>IF('Données projet'!$A$114&gt;35,BY121+BX122-CG121,IF(A122&lt;'Données projet'!$A$114,$BV$205^A122,IF(A122='Données projet'!$A$114,'Données projet'!$B$114,BY121+BX122-CG121)))</f>
        <v>554.27400000000011</v>
      </c>
      <c r="BZ122" s="13">
        <f>BY122*VLOOKUP('Données projet'!$B$12,Paramètres!$A$1:$I$89,3,0)*VLOOKUP('Données projet'!$B$12,Paramètres!$A$1:$I$89,5,0)</f>
        <v>501.50711520000004</v>
      </c>
      <c r="CA122" s="13">
        <f t="shared" si="93"/>
        <v>112.07710632845966</v>
      </c>
      <c r="CB122" s="20">
        <f t="shared" si="64"/>
        <v>1068.6591858287338</v>
      </c>
      <c r="CC122" s="59">
        <f t="shared" si="65"/>
        <v>1361.9925191620671</v>
      </c>
      <c r="CD122" s="59">
        <f ca="1">AVERAGE(OFFSET($CC$3,0,0,'Données projet'!$E$12+1,1))-AVERAGE(OFFSET($H$3,0,0,'Données projet'!$E$12+1,1))</f>
        <v>695.0879239758051</v>
      </c>
      <c r="CE122" s="59">
        <f t="shared" si="94"/>
        <v>226.22150997227476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48.578724724976944</v>
      </c>
      <c r="CL122" s="21">
        <f>EXP(-LN(2)/25)*CL121+(1-EXP(-LN(2)/25))/(LN(2)/25)*Calculateur!CG122*Calculateur!CI122*VLOOKUP('Données projet'!$B$12,Paramètres!$A$1:$I$89,3,0)*0.475*44/12</f>
        <v>25.538129341237983</v>
      </c>
      <c r="CM122" s="21">
        <f>EXP(-LN(2)/2)*CM121+(1-EXP(-LN(2)/2))/(LN(2)/2)*CG122*CJ122*VLOOKUP('Données projet'!$B$12,Paramètres!$A$1:$I$89,3,0)*0.475*44/12</f>
        <v>2.6707675290943758E-4</v>
      </c>
      <c r="CN122" s="22">
        <f t="shared" si="66"/>
        <v>74.117121142967832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10.725999999999999</v>
      </c>
      <c r="CT122" s="12">
        <f>IF('Données projet'!$A$140&gt;35,CT121+CS122-DB121,IF(A122&lt;'Données projet'!$A$140,$CQ$205^A122,IF(A122='Données projet'!$A$140,'Données projet'!$B$140,CT121+CS122-DB121)))</f>
        <v>554.27400000000011</v>
      </c>
      <c r="CU122" s="17">
        <f>CT122*VLOOKUP('Données projet'!$B$13,Paramètres!$A$1:$I$89,3,0)*VLOOKUP('Données projet'!$B$13,Paramètres!$A$1:$I$89,5,0)</f>
        <v>562.03383600000018</v>
      </c>
      <c r="CV122" s="13">
        <f t="shared" si="95"/>
        <v>123.94875714266946</v>
      </c>
      <c r="CW122" s="20">
        <f t="shared" si="67"/>
        <v>1194.7530163901495</v>
      </c>
      <c r="CX122" s="59">
        <f t="shared" si="68"/>
        <v>1488.0863497234827</v>
      </c>
      <c r="CY122" s="59">
        <f ca="1">AVERAGE(OFFSET($CX$3,0,0,'Données projet'!$E$13+1,1))-AVERAGE(OFFSET($H$3,0,0,'Données projet'!$E$13+1,1))</f>
        <v>773.15074145293738</v>
      </c>
      <c r="CZ122" s="59">
        <f t="shared" si="96"/>
        <v>248.49577986312505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54.441674260750013</v>
      </c>
      <c r="DG122" s="21">
        <f>EXP(-LN(2)/25)*DG121+(1-EXP(-LN(2)/25))/(LN(2)/25)*Calculateur!DB122*Calculateur!DD122*VLOOKUP('Données projet'!$B$13,Paramètres!$A$1:$I$89,3,0)*0.475*44/12</f>
        <v>28.620317365180494</v>
      </c>
      <c r="DH122" s="21">
        <f>EXP(-LN(2)/2)*DH121+(1-EXP(-LN(2)/2))/(LN(2)/2)*DB122*DE122*VLOOKUP('Données projet'!$B$13,Paramètres!$A$1:$I$89,3,0)*0.475*44/12</f>
        <v>2.9931015412264575E-4</v>
      </c>
      <c r="DI122" s="22">
        <f t="shared" si="69"/>
        <v>83.062290936084622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3.4106051316484809E-13</v>
      </c>
      <c r="DP122" s="17">
        <f>DO122*VLOOKUP('Données projet'!$B$14,Paramètres!$A$1:$I$89,3,0)*VLOOKUP('Données projet'!$B$14,Paramètres!$A$1:$I$89,5,0)</f>
        <v>1.5961632016114892E-13</v>
      </c>
      <c r="DQ122" s="13">
        <f t="shared" si="97"/>
        <v>2.2708641912150958E-12</v>
      </c>
      <c r="DR122" s="20">
        <f t="shared" si="70"/>
        <v>4.2330868906469593E-12</v>
      </c>
      <c r="DS122" s="59">
        <f t="shared" si="71"/>
        <v>293.33333333333752</v>
      </c>
      <c r="DT122" s="59">
        <f ca="1">AVERAGE(OFFSET($DS$3,0,0,'Données projet'!$E$14+1,1))-AVERAGE(OFFSET($H$3,0,0,'Données projet'!$E$14+1,1))</f>
        <v>293.15557501692803</v>
      </c>
      <c r="DU122" s="59">
        <f t="shared" si="98"/>
        <v>237.1930412773068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107.64494131220083</v>
      </c>
      <c r="EB122" s="21">
        <f>EXP(-LN(2)/25)*EB121+(1-EXP(-LN(2)/25))/(LN(2)/25)*Calculateur!DW122*Calculateur!DY122*VLOOKUP('Données projet'!$B$14,Paramètres!$A$1:$I$89,3,0)*0.475*44/12</f>
        <v>31.741696038736201</v>
      </c>
      <c r="EC122" s="21">
        <f>EXP(-LN(2)/2)*EC121+(1-EXP(-LN(2)/2))/(LN(2)/2)*DW122*DZ122*VLOOKUP('Données projet'!$B$14,Paramètres!$A$1:$I$89,3,0)*0.475*44/12</f>
        <v>0.98399684433851897</v>
      </c>
      <c r="ED122" s="22">
        <f t="shared" si="72"/>
        <v>140.37063419527556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-1.7053025658242404E-13</v>
      </c>
      <c r="EK122" s="17">
        <f>EJ122*VLOOKUP('Données projet'!$B$15,Paramètres!$A$1:$I$89,3,0)*VLOOKUP('Données projet'!$B$15,Paramètres!$A$1:$I$89,5,0)</f>
        <v>-1.0197709343628959E-13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225.86663363047296</v>
      </c>
      <c r="EP122" s="59">
        <f t="shared" si="100"/>
        <v>258.08349727304397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33.059681314192282</v>
      </c>
      <c r="EW122" s="21">
        <f>EXP(-LN(2)/25)*EW121+(1-EXP(-LN(2)/25))/(LN(2)/25)*Calculateur!ER122*Calculateur!ET122*VLOOKUP('Données projet'!$B$15,Paramètres!$A$1:$I$89,3,0)*0.475*44/12</f>
        <v>7.6963629733497596</v>
      </c>
      <c r="EX122" s="21">
        <f>EXP(-LN(2)/2)*EX121+(1-EXP(-LN(2)/2))/(LN(2)/2)*ER122*EU122*VLOOKUP('Données projet'!$B$15,Paramètres!$A$1:$I$89,3,0)*0.475*44/12</f>
        <v>1.177976131087535E-7</v>
      </c>
      <c r="EY122" s="22">
        <f t="shared" si="75"/>
        <v>40.756044405339651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388.12151914648013</v>
      </c>
      <c r="T123" s="59">
        <f t="shared" si="88"/>
        <v>481.43684454382793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50.120570510875325</v>
      </c>
      <c r="AA123" s="21">
        <f>EXP(-LN(2)/25)*AA122+(1-EXP(-LN(2)/25))/(LN(2)/25)*Calculateur!V123*Calculateur!X123*VLOOKUP('Données projet'!$B$9,Paramètres!$A$1:$I$89,3,0)*0.475*44/12</f>
        <v>10.457552629866981</v>
      </c>
      <c r="AB123" s="21">
        <f>EXP(-LN(2)/2)*AB122+(1-EXP(-LN(2)/2))/(LN(2)/2)*V123*Y123*VLOOKUP('Données projet'!$B$9,Paramètres!$A$1:$I$89,3,0)*0.475*44/12</f>
        <v>1.7998812729967721E-8</v>
      </c>
      <c r="AC123" s="22">
        <f t="shared" si="57"/>
        <v>60.578123158741121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-1.3596945791505279E-13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349.71285006949597</v>
      </c>
      <c r="AO123" s="59">
        <f t="shared" si="90"/>
        <v>258.51550516456842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69.408987423339894</v>
      </c>
      <c r="AV123" s="21">
        <f>EXP(-LN(2)/25)*AV122+(1-EXP(-LN(2)/25))/(LN(2)/25)*Calculateur!AQ123*Calculateur!AS123*VLOOKUP('Données projet'!$B$10,Paramètres!$A$1:$I$89,3,0)*0.475*44/12</f>
        <v>17.069277304736431</v>
      </c>
      <c r="AW123" s="21">
        <f>EXP(-LN(2)/2)*AW122+(1-EXP(-LN(2)/2))/(LN(2)/2)*AQ123*AT123*VLOOKUP('Données projet'!$B$10,Paramètres!$A$1:$I$89,3,0)*0.475*44/12</f>
        <v>6.7440645981987673E-5</v>
      </c>
      <c r="AX123" s="21">
        <f t="shared" si="60"/>
        <v>86.478332168722304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8.5265128291212022E-14</v>
      </c>
      <c r="BE123" s="13">
        <f>BD123*VLOOKUP('Données projet'!$B$11,Paramètres!$A$1:$I$89,3,0)*VLOOKUP('Données projet'!$B$11,Paramètres!$A$1:$I$89,5,0)</f>
        <v>8.9119112089974823E-14</v>
      </c>
      <c r="BF123" s="13">
        <f t="shared" si="91"/>
        <v>1.3568952080113142E-12</v>
      </c>
      <c r="BG123" s="20">
        <f t="shared" si="61"/>
        <v>2.5184749408430782E-12</v>
      </c>
      <c r="BH123" s="59">
        <f t="shared" si="62"/>
        <v>293.33333333333582</v>
      </c>
      <c r="BI123" s="59">
        <f ca="1">AVERAGE(OFFSET($BH$3,0,0,'Données projet'!$E$11+1,1))-AVERAGE(OFFSET($H$3,0,0,'Données projet'!$E$11+1,1))</f>
        <v>260.74709892624571</v>
      </c>
      <c r="BJ123" s="59">
        <f t="shared" si="92"/>
        <v>237.17381692184887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11.978027438280861</v>
      </c>
      <c r="BQ123" s="21">
        <f>EXP(-LN(2)/25)*BQ122+(1-EXP(-LN(2)/25))/(LN(2)/25)*Calculateur!BL123*Calculateur!BN123*VLOOKUP('Données projet'!$B$11,Paramètres!$A$1:$I$89,3,0)*0.475*44/12</f>
        <v>26.102293321398406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38.080320759679267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565</v>
      </c>
      <c r="BW123" s="12">
        <f>VLOOKUP(A123,'Données projet'!$A$113:$I$133,9,0)</f>
        <v>10.725999999999999</v>
      </c>
      <c r="BX123" s="12">
        <f t="array" ref="BX123">INDEX(BW:BW,MIN(IF(ISNUMBER(BW123:BW319),ROW(BW123:BW319),"")))</f>
        <v>10.725999999999999</v>
      </c>
      <c r="BY123" s="12">
        <f>IF('Données projet'!$A$114&gt;35,BY122+BX123-CG122,IF(A123&lt;'Données projet'!$A$114,$BV$205^A123,IF(A123='Données projet'!$A$114,'Données projet'!$B$114,BY122+BX123-CG122)))</f>
        <v>565.00000000000011</v>
      </c>
      <c r="BZ123" s="13">
        <f>BY123*VLOOKUP('Données projet'!$B$12,Paramètres!$A$1:$I$89,3,0)*VLOOKUP('Données projet'!$B$12,Paramètres!$A$1:$I$89,5,0)</f>
        <v>511.2120000000001</v>
      </c>
      <c r="CA123" s="13">
        <f t="shared" si="93"/>
        <v>113.9913622158443</v>
      </c>
      <c r="CB123" s="20">
        <f t="shared" si="64"/>
        <v>1088.8958558592624</v>
      </c>
      <c r="CC123" s="59">
        <f t="shared" si="65"/>
        <v>1382.2291891925956</v>
      </c>
      <c r="CD123" s="59">
        <f ca="1">AVERAGE(OFFSET($CC$3,0,0,'Données projet'!$E$12+1,1))-AVERAGE(OFFSET($H$3,0,0,'Données projet'!$E$12+1,1))</f>
        <v>695.0879239758051</v>
      </c>
      <c r="CE123" s="59">
        <f t="shared" si="94"/>
        <v>226.22150997227476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66.050000000000011</v>
      </c>
      <c r="CH123" s="16">
        <f>IF(ISNA(VLOOKUP(A123,'Données projet'!$A$113:$I$133,5,0)),0%,VLOOKUP(A123,'Données projet'!$A$113:$I$133,5,0)*VLOOKUP('Données projet'!$B$12,Paramètres!$A$1:$I$89,7,0))</f>
        <v>0.215</v>
      </c>
      <c r="CI123" s="16">
        <f>IF(ISNA(VLOOKUP(A123,'Données projet'!$A$113:$I$133,6,0)),0%,VLOOKUP(A123,'Données projet'!$A$113:$I$133,6,0)*VLOOKUP('Données projet'!$B$12,Paramètres!$A$1:$I$89,7,0))</f>
        <v>8.6000000000000007E-2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61.830136046916117</v>
      </c>
      <c r="CL123" s="21">
        <f>EXP(-LN(2)/25)*CL122+(1-EXP(-LN(2)/25))/(LN(2)/25)*Calculateur!CG123*Calculateur!CI123*VLOOKUP('Données projet'!$B$12,Paramètres!$A$1:$I$89,3,0)*0.475*44/12</f>
        <v>30.499021404319176</v>
      </c>
      <c r="CM123" s="21">
        <f>EXP(-LN(2)/2)*CM122+(1-EXP(-LN(2)/2))/(LN(2)/2)*CG123*CJ123*VLOOKUP('Données projet'!$B$12,Paramètres!$A$1:$I$89,3,0)*0.475*44/12</f>
        <v>1.888517830795473E-4</v>
      </c>
      <c r="CN123" s="22">
        <f t="shared" si="66"/>
        <v>92.329346303018369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565</v>
      </c>
      <c r="CR123" s="12">
        <f>VLOOKUP(A123,'Données projet'!$A$139:$I$159,9,0)</f>
        <v>10.725999999999999</v>
      </c>
      <c r="CS123" s="12">
        <f t="array" ref="CS123">INDEX(CR:CR,MIN(IF(ISNUMBER(CR123:CR319),ROW(CR123:CR319),"")))</f>
        <v>10.725999999999999</v>
      </c>
      <c r="CT123" s="12">
        <f>IF('Données projet'!$A$140&gt;35,CT122+CS123-DB122,IF(A123&lt;'Données projet'!$A$140,$CQ$205^A123,IF(A123='Données projet'!$A$140,'Données projet'!$B$140,CT122+CS123-DB122)))</f>
        <v>565.00000000000011</v>
      </c>
      <c r="CU123" s="17">
        <f>CT123*VLOOKUP('Données projet'!$B$13,Paramètres!$A$1:$I$89,3,0)*VLOOKUP('Données projet'!$B$13,Paramètres!$A$1:$I$89,5,0)</f>
        <v>572.9100000000002</v>
      </c>
      <c r="CV123" s="13">
        <f t="shared" si="95"/>
        <v>126.06577859216152</v>
      </c>
      <c r="CW123" s="20">
        <f t="shared" si="67"/>
        <v>1217.3828143813482</v>
      </c>
      <c r="CX123" s="59">
        <f t="shared" si="68"/>
        <v>1510.7161477146815</v>
      </c>
      <c r="CY123" s="59">
        <f ca="1">AVERAGE(OFFSET($CX$3,0,0,'Données projet'!$E$13+1,1))-AVERAGE(OFFSET($H$3,0,0,'Données projet'!$E$13+1,1))</f>
        <v>773.15074145293738</v>
      </c>
      <c r="CZ123" s="59">
        <f t="shared" si="96"/>
        <v>248.49577986312505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66.050000000000011</v>
      </c>
      <c r="DC123" s="16">
        <f>IF(ISNA(VLOOKUP(A123,'Données projet'!$A$139:$I$159,5,0)),0%,VLOOKUP(A123,'Données projet'!$A$139:$I$159,5,0)*VLOOKUP('Données projet'!$B$13,Paramètres!$A$1:$I$89,7,0))</f>
        <v>0.215</v>
      </c>
      <c r="DD123" s="16">
        <f>IF(ISNA(VLOOKUP(A123,'Données projet'!$A$139:$I$159,6,0)),0%,VLOOKUP(A123,'Données projet'!$A$139:$I$159,6,0)*VLOOKUP('Données projet'!$B$13,Paramètres!$A$1:$I$89,7,0))</f>
        <v>8.6000000000000007E-2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69.292393845681858</v>
      </c>
      <c r="DG123" s="21">
        <f>EXP(-LN(2)/25)*DG122+(1-EXP(-LN(2)/25))/(LN(2)/25)*Calculateur!DB123*Calculateur!DD123*VLOOKUP('Données projet'!$B$13,Paramètres!$A$1:$I$89,3,0)*0.475*44/12</f>
        <v>34.179937780702524</v>
      </c>
      <c r="DH123" s="21">
        <f>EXP(-LN(2)/2)*DH122+(1-EXP(-LN(2)/2))/(LN(2)/2)*DB123*DE123*VLOOKUP('Données projet'!$B$13,Paramètres!$A$1:$I$89,3,0)*0.475*44/12</f>
        <v>2.1164423965811349E-4</v>
      </c>
      <c r="DI123" s="22">
        <f t="shared" si="69"/>
        <v>103.47254327062403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3.4106051316484809E-13</v>
      </c>
      <c r="DP123" s="17">
        <f>DO123*VLOOKUP('Données projet'!$B$14,Paramètres!$A$1:$I$89,3,0)*VLOOKUP('Données projet'!$B$14,Paramètres!$A$1:$I$89,5,0)</f>
        <v>1.5961632016114892E-13</v>
      </c>
      <c r="DQ123" s="13">
        <f t="shared" si="97"/>
        <v>2.2708641912150958E-12</v>
      </c>
      <c r="DR123" s="20">
        <f t="shared" si="70"/>
        <v>4.2330868906469593E-12</v>
      </c>
      <c r="DS123" s="59">
        <f t="shared" si="71"/>
        <v>293.33333333333752</v>
      </c>
      <c r="DT123" s="59">
        <f ca="1">AVERAGE(OFFSET($DS$3,0,0,'Données projet'!$E$14+1,1))-AVERAGE(OFFSET($H$3,0,0,'Données projet'!$E$14+1,1))</f>
        <v>293.15557501692803</v>
      </c>
      <c r="DU123" s="59">
        <f t="shared" si="98"/>
        <v>237.1930412773068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105.53408966999969</v>
      </c>
      <c r="EB123" s="21">
        <f>EXP(-LN(2)/25)*EB122+(1-EXP(-LN(2)/25))/(LN(2)/25)*Calculateur!DW123*Calculateur!DY123*VLOOKUP('Données projet'!$B$14,Paramètres!$A$1:$I$89,3,0)*0.475*44/12</f>
        <v>30.873717691333713</v>
      </c>
      <c r="EC123" s="21">
        <f>EXP(-LN(2)/2)*EC122+(1-EXP(-LN(2)/2))/(LN(2)/2)*DW123*DZ123*VLOOKUP('Données projet'!$B$14,Paramètres!$A$1:$I$89,3,0)*0.475*44/12</f>
        <v>0.69579084129793045</v>
      </c>
      <c r="ED123" s="22">
        <f t="shared" si="72"/>
        <v>137.10359820263133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-1.7053025658242404E-13</v>
      </c>
      <c r="EK123" s="17">
        <f>EJ123*VLOOKUP('Données projet'!$B$15,Paramètres!$A$1:$I$89,3,0)*VLOOKUP('Données projet'!$B$15,Paramètres!$A$1:$I$89,5,0)</f>
        <v>-1.0197709343628959E-13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225.86663363047296</v>
      </c>
      <c r="EP123" s="59">
        <f t="shared" si="100"/>
        <v>258.08349727304397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32.4114011280355</v>
      </c>
      <c r="EW123" s="21">
        <f>EXP(-LN(2)/25)*EW122+(1-EXP(-LN(2)/25))/(LN(2)/25)*Calculateur!ER123*Calculateur!ET123*VLOOKUP('Données projet'!$B$15,Paramètres!$A$1:$I$89,3,0)*0.475*44/12</f>
        <v>7.4859055231093716</v>
      </c>
      <c r="EX123" s="21">
        <f>EXP(-LN(2)/2)*EX122+(1-EXP(-LN(2)/2))/(LN(2)/2)*ER123*EU123*VLOOKUP('Données projet'!$B$15,Paramètres!$A$1:$I$89,3,0)*0.475*44/12</f>
        <v>8.3295491036788957E-8</v>
      </c>
      <c r="EY123" s="22">
        <f t="shared" si="75"/>
        <v>39.897306734440363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388.12151914648013</v>
      </c>
      <c r="T124" s="59">
        <f t="shared" si="88"/>
        <v>481.43684454382793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49.137736693686485</v>
      </c>
      <c r="AA124" s="21">
        <f>EXP(-LN(2)/25)*AA123+(1-EXP(-LN(2)/25))/(LN(2)/25)*Calculateur!V124*Calculateur!X124*VLOOKUP('Données projet'!$B$9,Paramètres!$A$1:$I$89,3,0)*0.475*44/12</f>
        <v>10.171590303264477</v>
      </c>
      <c r="AB124" s="21">
        <f>EXP(-LN(2)/2)*AB123+(1-EXP(-LN(2)/2))/(LN(2)/2)*V124*Y124*VLOOKUP('Données projet'!$B$9,Paramètres!$A$1:$I$89,3,0)*0.475*44/12</f>
        <v>1.2727082534666931E-8</v>
      </c>
      <c r="AC124" s="22">
        <f t="shared" si="57"/>
        <v>59.309327009678043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-1.3596945791505279E-13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349.71285006949597</v>
      </c>
      <c r="AO124" s="59">
        <f t="shared" si="90"/>
        <v>258.51550516456842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68.047919515270266</v>
      </c>
      <c r="AV124" s="21">
        <f>EXP(-LN(2)/25)*AV123+(1-EXP(-LN(2)/25))/(LN(2)/25)*Calculateur!AQ124*Calculateur!AS124*VLOOKUP('Données projet'!$B$10,Paramètres!$A$1:$I$89,3,0)*0.475*44/12</f>
        <v>16.602517019204132</v>
      </c>
      <c r="AW124" s="21">
        <f>EXP(-LN(2)/2)*AW123+(1-EXP(-LN(2)/2))/(LN(2)/2)*AQ124*AT124*VLOOKUP('Données projet'!$B$10,Paramètres!$A$1:$I$89,3,0)*0.475*44/12</f>
        <v>4.7687738101464774E-5</v>
      </c>
      <c r="AX124" s="21">
        <f t="shared" si="60"/>
        <v>84.650484222212498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8.5265128291212022E-14</v>
      </c>
      <c r="BE124" s="13">
        <f>BD124*VLOOKUP('Données projet'!$B$11,Paramètres!$A$1:$I$89,3,0)*VLOOKUP('Données projet'!$B$11,Paramètres!$A$1:$I$89,5,0)</f>
        <v>8.9119112089974823E-14</v>
      </c>
      <c r="BF124" s="13">
        <f t="shared" si="91"/>
        <v>1.3568952080113142E-12</v>
      </c>
      <c r="BG124" s="20">
        <f t="shared" si="61"/>
        <v>2.5184749408430782E-12</v>
      </c>
      <c r="BH124" s="59">
        <f t="shared" si="62"/>
        <v>293.33333333333582</v>
      </c>
      <c r="BI124" s="59">
        <f ca="1">AVERAGE(OFFSET($BH$3,0,0,'Données projet'!$E$11+1,1))-AVERAGE(OFFSET($H$3,0,0,'Données projet'!$E$11+1,1))</f>
        <v>260.74709892624571</v>
      </c>
      <c r="BJ124" s="59">
        <f t="shared" si="92"/>
        <v>237.17381692184887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11.743145626091517</v>
      </c>
      <c r="BQ124" s="21">
        <f>EXP(-LN(2)/25)*BQ123+(1-EXP(-LN(2)/25))/(LN(2)/25)*Calculateur!BL124*Calculateur!BN124*VLOOKUP('Données projet'!$B$11,Paramètres!$A$1:$I$89,3,0)*0.475*44/12</f>
        <v>25.38852473786482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37.131670363956339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10.745999999999999</v>
      </c>
      <c r="BY124" s="12">
        <f>IF('Données projet'!$A$114&gt;35,BY123+BX124-CG123,IF(A124&lt;'Données projet'!$A$114,$BV$205^A124,IF(A124='Données projet'!$A$114,'Données projet'!$B$114,BY123+BX124-CG123)))</f>
        <v>509.69600000000008</v>
      </c>
      <c r="BZ124" s="13">
        <f>BY124*VLOOKUP('Données projet'!$B$12,Paramètres!$A$1:$I$89,3,0)*VLOOKUP('Données projet'!$B$12,Paramètres!$A$1:$I$89,5,0)</f>
        <v>461.17294080000005</v>
      </c>
      <c r="CA124" s="13">
        <f t="shared" si="93"/>
        <v>104.07397295861892</v>
      </c>
      <c r="CB124" s="20">
        <f t="shared" si="64"/>
        <v>984.47170812959484</v>
      </c>
      <c r="CC124" s="59">
        <f t="shared" si="65"/>
        <v>1277.8050414629281</v>
      </c>
      <c r="CD124" s="59">
        <f ca="1">AVERAGE(OFFSET($CC$3,0,0,'Données projet'!$E$12+1,1))-AVERAGE(OFFSET($H$3,0,0,'Données projet'!$E$12+1,1))</f>
        <v>695.0879239758051</v>
      </c>
      <c r="CE124" s="59">
        <f t="shared" si="94"/>
        <v>226.22150997227476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60.617684791695261</v>
      </c>
      <c r="CL124" s="21">
        <f>EXP(-LN(2)/25)*CL123+(1-EXP(-LN(2)/25))/(LN(2)/25)*Calculateur!CG124*Calculateur!CI124*VLOOKUP('Données projet'!$B$12,Paramètres!$A$1:$I$89,3,0)*0.475*44/12</f>
        <v>29.665024060144241</v>
      </c>
      <c r="CM124" s="21">
        <f>EXP(-LN(2)/2)*CM123+(1-EXP(-LN(2)/2))/(LN(2)/2)*CG124*CJ124*VLOOKUP('Données projet'!$B$12,Paramètres!$A$1:$I$89,3,0)*0.475*44/12</f>
        <v>1.3353837645471879E-4</v>
      </c>
      <c r="CN124" s="22">
        <f t="shared" si="66"/>
        <v>90.282842390215961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10.745999999999999</v>
      </c>
      <c r="CT124" s="12">
        <f>IF('Données projet'!$A$140&gt;35,CT123+CS124-DB123,IF(A124&lt;'Données projet'!$A$140,$CQ$205^A124,IF(A124='Données projet'!$A$140,'Données projet'!$B$140,CT123+CS124-DB123)))</f>
        <v>509.69600000000008</v>
      </c>
      <c r="CU124" s="17">
        <f>CT124*VLOOKUP('Données projet'!$B$13,Paramètres!$A$1:$I$89,3,0)*VLOOKUP('Données projet'!$B$13,Paramètres!$A$1:$I$89,5,0)</f>
        <v>516.83174400000019</v>
      </c>
      <c r="CV124" s="13">
        <f t="shared" si="95"/>
        <v>115.09790020198753</v>
      </c>
      <c r="CW124" s="20">
        <f t="shared" si="67"/>
        <v>1100.6107969851284</v>
      </c>
      <c r="CX124" s="59">
        <f t="shared" si="68"/>
        <v>1393.9441303184617</v>
      </c>
      <c r="CY124" s="59">
        <f ca="1">AVERAGE(OFFSET($CX$3,0,0,'Données projet'!$E$13+1,1))-AVERAGE(OFFSET($H$3,0,0,'Données projet'!$E$13+1,1))</f>
        <v>773.15074145293738</v>
      </c>
      <c r="CZ124" s="59">
        <f t="shared" si="96"/>
        <v>248.49577986312505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67.933612266555045</v>
      </c>
      <c r="DG124" s="21">
        <f>EXP(-LN(2)/25)*DG123+(1-EXP(-LN(2)/25))/(LN(2)/25)*Calculateur!DB124*Calculateur!DD124*VLOOKUP('Données projet'!$B$13,Paramètres!$A$1:$I$89,3,0)*0.475*44/12</f>
        <v>33.245285584644407</v>
      </c>
      <c r="DH124" s="21">
        <f>EXP(-LN(2)/2)*DH123+(1-EXP(-LN(2)/2))/(LN(2)/2)*DB124*DE124*VLOOKUP('Données projet'!$B$13,Paramètres!$A$1:$I$89,3,0)*0.475*44/12</f>
        <v>1.4965507706132287E-4</v>
      </c>
      <c r="DI124" s="22">
        <f t="shared" si="69"/>
        <v>101.17904750627652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3.4106051316484809E-13</v>
      </c>
      <c r="DP124" s="17">
        <f>DO124*VLOOKUP('Données projet'!$B$14,Paramètres!$A$1:$I$89,3,0)*VLOOKUP('Données projet'!$B$14,Paramètres!$A$1:$I$89,5,0)</f>
        <v>1.5961632016114892E-13</v>
      </c>
      <c r="DQ124" s="13">
        <f t="shared" si="97"/>
        <v>2.2708641912150958E-12</v>
      </c>
      <c r="DR124" s="20">
        <f t="shared" si="70"/>
        <v>4.2330868906469593E-12</v>
      </c>
      <c r="DS124" s="59">
        <f t="shared" si="71"/>
        <v>293.33333333333752</v>
      </c>
      <c r="DT124" s="59">
        <f ca="1">AVERAGE(OFFSET($DS$3,0,0,'Données projet'!$E$14+1,1))-AVERAGE(OFFSET($H$3,0,0,'Données projet'!$E$14+1,1))</f>
        <v>293.15557501692803</v>
      </c>
      <c r="DU124" s="59">
        <f t="shared" si="98"/>
        <v>237.1930412773068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103.46463054100974</v>
      </c>
      <c r="EB124" s="21">
        <f>EXP(-LN(2)/25)*EB123+(1-EXP(-LN(2)/25))/(LN(2)/25)*Calculateur!DW124*Calculateur!DY124*VLOOKUP('Données projet'!$B$14,Paramètres!$A$1:$I$89,3,0)*0.475*44/12</f>
        <v>30.029474257485941</v>
      </c>
      <c r="EC124" s="21">
        <f>EXP(-LN(2)/2)*EC123+(1-EXP(-LN(2)/2))/(LN(2)/2)*DW124*DZ124*VLOOKUP('Données projet'!$B$14,Paramètres!$A$1:$I$89,3,0)*0.475*44/12</f>
        <v>0.49199842216925954</v>
      </c>
      <c r="ED124" s="22">
        <f t="shared" si="72"/>
        <v>133.98610322066492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-1.7053025658242404E-13</v>
      </c>
      <c r="EK124" s="17">
        <f>EJ124*VLOOKUP('Données projet'!$B$15,Paramètres!$A$1:$I$89,3,0)*VLOOKUP('Données projet'!$B$15,Paramètres!$A$1:$I$89,5,0)</f>
        <v>-1.0197709343628959E-13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225.86663363047296</v>
      </c>
      <c r="EP124" s="59">
        <f t="shared" si="100"/>
        <v>258.08349727304397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31.775833320917386</v>
      </c>
      <c r="EW124" s="21">
        <f>EXP(-LN(2)/25)*EW123+(1-EXP(-LN(2)/25))/(LN(2)/25)*Calculateur!ER124*Calculateur!ET124*VLOOKUP('Données projet'!$B$15,Paramètres!$A$1:$I$89,3,0)*0.475*44/12</f>
        <v>7.2812030429132832</v>
      </c>
      <c r="EX124" s="21">
        <f>EXP(-LN(2)/2)*EX123+(1-EXP(-LN(2)/2))/(LN(2)/2)*ER124*EU124*VLOOKUP('Données projet'!$B$15,Paramètres!$A$1:$I$89,3,0)*0.475*44/12</f>
        <v>5.8898806554376765E-8</v>
      </c>
      <c r="EY124" s="22">
        <f t="shared" si="75"/>
        <v>39.057036422729475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388.12151914648013</v>
      </c>
      <c r="T125" s="59">
        <f t="shared" si="88"/>
        <v>481.43684454382793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48.174175648183279</v>
      </c>
      <c r="AA125" s="21">
        <f>EXP(-LN(2)/25)*AA124+(1-EXP(-LN(2)/25))/(LN(2)/25)*Calculateur!V125*Calculateur!X125*VLOOKUP('Données projet'!$B$9,Paramètres!$A$1:$I$89,3,0)*0.475*44/12</f>
        <v>9.8934476315210222</v>
      </c>
      <c r="AB125" s="21">
        <f>EXP(-LN(2)/2)*AB124+(1-EXP(-LN(2)/2))/(LN(2)/2)*V125*Y125*VLOOKUP('Données projet'!$B$9,Paramètres!$A$1:$I$89,3,0)*0.475*44/12</f>
        <v>8.9994063649838603E-9</v>
      </c>
      <c r="AC125" s="22">
        <f t="shared" si="57"/>
        <v>58.067623288703707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-1.3596945791505279E-13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349.71285006949597</v>
      </c>
      <c r="AO125" s="59">
        <f t="shared" si="90"/>
        <v>258.51550516456842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66.713541318708423</v>
      </c>
      <c r="AV125" s="21">
        <f>EXP(-LN(2)/25)*AV124+(1-EXP(-LN(2)/25))/(LN(2)/25)*Calculateur!AQ125*Calculateur!AS125*VLOOKUP('Données projet'!$B$10,Paramètres!$A$1:$I$89,3,0)*0.475*44/12</f>
        <v>16.148520318225572</v>
      </c>
      <c r="AW125" s="21">
        <f>EXP(-LN(2)/2)*AW124+(1-EXP(-LN(2)/2))/(LN(2)/2)*AQ125*AT125*VLOOKUP('Données projet'!$B$10,Paramètres!$A$1:$I$89,3,0)*0.475*44/12</f>
        <v>3.3720322990993837E-5</v>
      </c>
      <c r="AX125" s="21">
        <f t="shared" si="60"/>
        <v>82.862095357256976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8.5265128291212022E-14</v>
      </c>
      <c r="BE125" s="13">
        <f>BD125*VLOOKUP('Données projet'!$B$11,Paramètres!$A$1:$I$89,3,0)*VLOOKUP('Données projet'!$B$11,Paramètres!$A$1:$I$89,5,0)</f>
        <v>8.9119112089974823E-14</v>
      </c>
      <c r="BF125" s="13">
        <f t="shared" si="91"/>
        <v>1.3568952080113142E-12</v>
      </c>
      <c r="BG125" s="20">
        <f t="shared" si="61"/>
        <v>2.5184749408430782E-12</v>
      </c>
      <c r="BH125" s="59">
        <f t="shared" si="62"/>
        <v>293.33333333333582</v>
      </c>
      <c r="BI125" s="59">
        <f ca="1">AVERAGE(OFFSET($BH$3,0,0,'Données projet'!$E$11+1,1))-AVERAGE(OFFSET($H$3,0,0,'Données projet'!$E$11+1,1))</f>
        <v>260.74709892624571</v>
      </c>
      <c r="BJ125" s="59">
        <f t="shared" si="92"/>
        <v>237.17381692184887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11.512869702975445</v>
      </c>
      <c r="BQ125" s="21">
        <f>EXP(-LN(2)/25)*BQ124+(1-EXP(-LN(2)/25))/(LN(2)/25)*Calculateur!BL125*Calculateur!BN125*VLOOKUP('Données projet'!$B$11,Paramètres!$A$1:$I$89,3,0)*0.475*44/12</f>
        <v>24.694274193783418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36.207143896758865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10.745999999999999</v>
      </c>
      <c r="BY125" s="12">
        <f>IF('Données projet'!$A$114&gt;35,BY124+BX125-CG124,IF(A125&lt;'Données projet'!$A$114,$BV$205^A125,IF(A125='Données projet'!$A$114,'Données projet'!$B$114,BY124+BX125-CG124)))</f>
        <v>520.44200000000012</v>
      </c>
      <c r="BZ125" s="13">
        <f>BY125*VLOOKUP('Données projet'!$B$12,Paramètres!$A$1:$I$89,3,0)*VLOOKUP('Données projet'!$B$12,Paramètres!$A$1:$I$89,5,0)</f>
        <v>470.89592160000012</v>
      </c>
      <c r="CA125" s="13">
        <f t="shared" si="93"/>
        <v>106.0104143991686</v>
      </c>
      <c r="CB125" s="20">
        <f t="shared" si="64"/>
        <v>1004.7785351985522</v>
      </c>
      <c r="CC125" s="59">
        <f t="shared" si="65"/>
        <v>1298.1118685318854</v>
      </c>
      <c r="CD125" s="59">
        <f ca="1">AVERAGE(OFFSET($CC$3,0,0,'Données projet'!$E$12+1,1))-AVERAGE(OFFSET($H$3,0,0,'Données projet'!$E$12+1,1))</f>
        <v>695.0879239758051</v>
      </c>
      <c r="CE125" s="59">
        <f t="shared" si="94"/>
        <v>226.22150997227476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59.429008966067045</v>
      </c>
      <c r="CL125" s="21">
        <f>EXP(-LN(2)/25)*CL124+(1-EXP(-LN(2)/25))/(LN(2)/25)*Calculateur!CG125*Calculateur!CI125*VLOOKUP('Données projet'!$B$12,Paramètres!$A$1:$I$89,3,0)*0.475*44/12</f>
        <v>28.85383241720378</v>
      </c>
      <c r="CM125" s="21">
        <f>EXP(-LN(2)/2)*CM124+(1-EXP(-LN(2)/2))/(LN(2)/2)*CG125*CJ125*VLOOKUP('Données projet'!$B$12,Paramètres!$A$1:$I$89,3,0)*0.475*44/12</f>
        <v>9.4425891539773652E-5</v>
      </c>
      <c r="CN125" s="22">
        <f t="shared" si="66"/>
        <v>88.282935809162367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10.745999999999999</v>
      </c>
      <c r="CT125" s="12">
        <f>IF('Données projet'!$A$140&gt;35,CT124+CS125-DB124,IF(A125&lt;'Données projet'!$A$140,$CQ$205^A125,IF(A125='Données projet'!$A$140,'Données projet'!$B$140,CT124+CS125-DB124)))</f>
        <v>520.44200000000012</v>
      </c>
      <c r="CU125" s="17">
        <f>CT125*VLOOKUP('Données projet'!$B$13,Paramètres!$A$1:$I$89,3,0)*VLOOKUP('Données projet'!$B$13,Paramètres!$A$1:$I$89,5,0)</f>
        <v>527.72818800000016</v>
      </c>
      <c r="CV125" s="13">
        <f t="shared" si="95"/>
        <v>117.2394571862683</v>
      </c>
      <c r="CW125" s="20">
        <f t="shared" si="67"/>
        <v>1123.3186486994175</v>
      </c>
      <c r="CX125" s="59">
        <f t="shared" si="68"/>
        <v>1416.6519820327508</v>
      </c>
      <c r="CY125" s="59">
        <f ca="1">AVERAGE(OFFSET($CX$3,0,0,'Données projet'!$E$13+1,1))-AVERAGE(OFFSET($H$3,0,0,'Données projet'!$E$13+1,1))</f>
        <v>773.15074145293738</v>
      </c>
      <c r="CZ125" s="59">
        <f t="shared" si="96"/>
        <v>248.49577986312505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66.601475565419975</v>
      </c>
      <c r="DG125" s="21">
        <f>EXP(-LN(2)/25)*DG124+(1-EXP(-LN(2)/25))/(LN(2)/25)*Calculateur!DB125*Calculateur!DD125*VLOOKUP('Données projet'!$B$13,Paramètres!$A$1:$I$89,3,0)*0.475*44/12</f>
        <v>32.336191502038723</v>
      </c>
      <c r="DH125" s="21">
        <f>EXP(-LN(2)/2)*DH124+(1-EXP(-LN(2)/2))/(LN(2)/2)*DB125*DE125*VLOOKUP('Données projet'!$B$13,Paramètres!$A$1:$I$89,3,0)*0.475*44/12</f>
        <v>1.0582211982905674E-4</v>
      </c>
      <c r="DI125" s="22">
        <f t="shared" si="69"/>
        <v>98.93777288957854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3.4106051316484809E-13</v>
      </c>
      <c r="DP125" s="17">
        <f>DO125*VLOOKUP('Données projet'!$B$14,Paramètres!$A$1:$I$89,3,0)*VLOOKUP('Données projet'!$B$14,Paramètres!$A$1:$I$89,5,0)</f>
        <v>1.5961632016114892E-13</v>
      </c>
      <c r="DQ125" s="13">
        <f t="shared" si="97"/>
        <v>2.2708641912150958E-12</v>
      </c>
      <c r="DR125" s="20">
        <f t="shared" si="70"/>
        <v>4.2330868906469593E-12</v>
      </c>
      <c r="DS125" s="59">
        <f t="shared" si="71"/>
        <v>293.33333333333752</v>
      </c>
      <c r="DT125" s="59">
        <f ca="1">AVERAGE(OFFSET($DS$3,0,0,'Données projet'!$E$14+1,1))-AVERAGE(OFFSET($H$3,0,0,'Données projet'!$E$14+1,1))</f>
        <v>293.15557501692803</v>
      </c>
      <c r="DU125" s="59">
        <f t="shared" si="98"/>
        <v>237.1930412773068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101.43575224329385</v>
      </c>
      <c r="EB125" s="21">
        <f>EXP(-LN(2)/25)*EB124+(1-EXP(-LN(2)/25))/(LN(2)/25)*Calculateur!DW125*Calculateur!DY125*VLOOKUP('Données projet'!$B$14,Paramètres!$A$1:$I$89,3,0)*0.475*44/12</f>
        <v>29.208316704733569</v>
      </c>
      <c r="EC125" s="21">
        <f>EXP(-LN(2)/2)*EC124+(1-EXP(-LN(2)/2))/(LN(2)/2)*DW125*DZ125*VLOOKUP('Données projet'!$B$14,Paramètres!$A$1:$I$89,3,0)*0.475*44/12</f>
        <v>0.34789542064896528</v>
      </c>
      <c r="ED125" s="22">
        <f t="shared" si="72"/>
        <v>130.99196436867638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-1.7053025658242404E-13</v>
      </c>
      <c r="EK125" s="17">
        <f>EJ125*VLOOKUP('Données projet'!$B$15,Paramètres!$A$1:$I$89,3,0)*VLOOKUP('Données projet'!$B$15,Paramètres!$A$1:$I$89,5,0)</f>
        <v>-1.0197709343628959E-13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225.86663363047296</v>
      </c>
      <c r="EP125" s="59">
        <f t="shared" si="100"/>
        <v>258.08349727304397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31.152728610838771</v>
      </c>
      <c r="EW125" s="21">
        <f>EXP(-LN(2)/25)*EW124+(1-EXP(-LN(2)/25))/(LN(2)/25)*Calculateur!ER125*Calculateur!ET125*VLOOKUP('Données projet'!$B$15,Paramètres!$A$1:$I$89,3,0)*0.475*44/12</f>
        <v>7.0820981628029926</v>
      </c>
      <c r="EX125" s="21">
        <f>EXP(-LN(2)/2)*EX124+(1-EXP(-LN(2)/2))/(LN(2)/2)*ER125*EU125*VLOOKUP('Données projet'!$B$15,Paramètres!$A$1:$I$89,3,0)*0.475*44/12</f>
        <v>4.1647745518394485E-8</v>
      </c>
      <c r="EY125" s="22">
        <f t="shared" si="75"/>
        <v>38.234826815289509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388.12151914648013</v>
      </c>
      <c r="T126" s="59">
        <f t="shared" si="88"/>
        <v>481.43684454382793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47.229509447068189</v>
      </c>
      <c r="AA126" s="21">
        <f>EXP(-LN(2)/25)*AA125+(1-EXP(-LN(2)/25))/(LN(2)/25)*Calculateur!V126*Calculateur!X126*VLOOKUP('Données projet'!$B$9,Paramètres!$A$1:$I$89,3,0)*0.475*44/12</f>
        <v>9.6229107857632812</v>
      </c>
      <c r="AB126" s="21">
        <f>EXP(-LN(2)/2)*AB125+(1-EXP(-LN(2)/2))/(LN(2)/2)*V126*Y126*VLOOKUP('Données projet'!$B$9,Paramètres!$A$1:$I$89,3,0)*0.475*44/12</f>
        <v>6.3635412673334656E-9</v>
      </c>
      <c r="AC126" s="22">
        <f t="shared" si="57"/>
        <v>56.852420239195013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-1.3596945791505279E-13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349.71285006949597</v>
      </c>
      <c r="AO126" s="59">
        <f t="shared" si="90"/>
        <v>258.51550516456842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65.405329464690823</v>
      </c>
      <c r="AV126" s="21">
        <f>EXP(-LN(2)/25)*AV125+(1-EXP(-LN(2)/25))/(LN(2)/25)*Calculateur!AQ126*Calculateur!AS126*VLOOKUP('Données projet'!$B$10,Paramètres!$A$1:$I$89,3,0)*0.475*44/12</f>
        <v>15.706938180909917</v>
      </c>
      <c r="AW126" s="21">
        <f>EXP(-LN(2)/2)*AW125+(1-EXP(-LN(2)/2))/(LN(2)/2)*AQ126*AT126*VLOOKUP('Données projet'!$B$10,Paramètres!$A$1:$I$89,3,0)*0.475*44/12</f>
        <v>2.3843869050732387E-5</v>
      </c>
      <c r="AX126" s="21">
        <f t="shared" si="60"/>
        <v>81.112291489469783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8.5265128291212022E-14</v>
      </c>
      <c r="BE126" s="13">
        <f>BD126*VLOOKUP('Données projet'!$B$11,Paramètres!$A$1:$I$89,3,0)*VLOOKUP('Données projet'!$B$11,Paramètres!$A$1:$I$89,5,0)</f>
        <v>8.9119112089974823E-14</v>
      </c>
      <c r="BF126" s="13">
        <f t="shared" si="91"/>
        <v>1.3568952080113142E-12</v>
      </c>
      <c r="BG126" s="20">
        <f t="shared" si="61"/>
        <v>2.5184749408430782E-12</v>
      </c>
      <c r="BH126" s="59">
        <f t="shared" si="62"/>
        <v>293.33333333333582</v>
      </c>
      <c r="BI126" s="59">
        <f ca="1">AVERAGE(OFFSET($BH$3,0,0,'Données projet'!$E$11+1,1))-AVERAGE(OFFSET($H$3,0,0,'Données projet'!$E$11+1,1))</f>
        <v>260.74709892624571</v>
      </c>
      <c r="BJ126" s="59">
        <f t="shared" si="92"/>
        <v>237.17381692184887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11.287109350257236</v>
      </c>
      <c r="BQ126" s="21">
        <f>EXP(-LN(2)/25)*BQ125+(1-EXP(-LN(2)/25))/(LN(2)/25)*Calculateur!BL126*Calculateur!BN126*VLOOKUP('Données projet'!$B$11,Paramètres!$A$1:$I$89,3,0)*0.475*44/12</f>
        <v>24.019007967338968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35.306117317596204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10.745999999999999</v>
      </c>
      <c r="BY126" s="12">
        <f>IF('Données projet'!$A$114&gt;35,BY125+BX126-CG125,IF(A126&lt;'Données projet'!$A$114,$BV$205^A126,IF(A126='Données projet'!$A$114,'Données projet'!$B$114,BY125+BX126-CG125)))</f>
        <v>531.1880000000001</v>
      </c>
      <c r="BZ126" s="13">
        <f>BY126*VLOOKUP('Données projet'!$B$12,Paramètres!$A$1:$I$89,3,0)*VLOOKUP('Données projet'!$B$12,Paramètres!$A$1:$I$89,5,0)</f>
        <v>480.61890240000002</v>
      </c>
      <c r="CA126" s="13">
        <f t="shared" si="93"/>
        <v>107.9422070202726</v>
      </c>
      <c r="CB126" s="20">
        <f t="shared" si="64"/>
        <v>1025.0772655736414</v>
      </c>
      <c r="CC126" s="59">
        <f t="shared" si="65"/>
        <v>1318.4105989069747</v>
      </c>
      <c r="CD126" s="59">
        <f ca="1">AVERAGE(OFFSET($CC$3,0,0,'Données projet'!$E$12+1,1))-AVERAGE(OFFSET($H$3,0,0,'Données projet'!$E$12+1,1))</f>
        <v>695.0879239758051</v>
      </c>
      <c r="CE126" s="59">
        <f t="shared" si="94"/>
        <v>226.22150997227476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58.263642348358736</v>
      </c>
      <c r="CL126" s="21">
        <f>EXP(-LN(2)/25)*CL125+(1-EXP(-LN(2)/25))/(LN(2)/25)*Calculateur!CG126*Calculateur!CI126*VLOOKUP('Données projet'!$B$12,Paramètres!$A$1:$I$89,3,0)*0.475*44/12</f>
        <v>28.06482285239824</v>
      </c>
      <c r="CM126" s="21">
        <f>EXP(-LN(2)/2)*CM125+(1-EXP(-LN(2)/2))/(LN(2)/2)*CG126*CJ126*VLOOKUP('Données projet'!$B$12,Paramètres!$A$1:$I$89,3,0)*0.475*44/12</f>
        <v>6.6769188227359396E-5</v>
      </c>
      <c r="CN126" s="22">
        <f t="shared" si="66"/>
        <v>86.328531969945203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10.745999999999999</v>
      </c>
      <c r="CT126" s="12">
        <f>IF('Données projet'!$A$140&gt;35,CT125+CS126-DB125,IF(A126&lt;'Données projet'!$A$140,$CQ$205^A126,IF(A126='Données projet'!$A$140,'Données projet'!$B$140,CT125+CS126-DB125)))</f>
        <v>531.1880000000001</v>
      </c>
      <c r="CU126" s="17">
        <f>CT126*VLOOKUP('Données projet'!$B$13,Paramètres!$A$1:$I$89,3,0)*VLOOKUP('Données projet'!$B$13,Paramètres!$A$1:$I$89,5,0)</f>
        <v>538.62463200000013</v>
      </c>
      <c r="CV126" s="13">
        <f t="shared" si="95"/>
        <v>119.3758729297431</v>
      </c>
      <c r="CW126" s="20">
        <f t="shared" si="67"/>
        <v>1146.0175460859693</v>
      </c>
      <c r="CX126" s="59">
        <f t="shared" si="68"/>
        <v>1439.3508794193026</v>
      </c>
      <c r="CY126" s="59">
        <f ca="1">AVERAGE(OFFSET($CX$3,0,0,'Données projet'!$E$13+1,1))-AVERAGE(OFFSET($H$3,0,0,'Données projet'!$E$13+1,1))</f>
        <v>773.15074145293738</v>
      </c>
      <c r="CZ126" s="59">
        <f t="shared" si="96"/>
        <v>248.49577986312505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65.295461252471</v>
      </c>
      <c r="DG126" s="21">
        <f>EXP(-LN(2)/25)*DG125+(1-EXP(-LN(2)/25))/(LN(2)/25)*Calculateur!DB126*Calculateur!DD126*VLOOKUP('Données projet'!$B$13,Paramètres!$A$1:$I$89,3,0)*0.475*44/12</f>
        <v>31.451956644929069</v>
      </c>
      <c r="DH126" s="21">
        <f>EXP(-LN(2)/2)*DH125+(1-EXP(-LN(2)/2))/(LN(2)/2)*DB126*DE126*VLOOKUP('Données projet'!$B$13,Paramètres!$A$1:$I$89,3,0)*0.475*44/12</f>
        <v>7.4827538530661437E-5</v>
      </c>
      <c r="DI126" s="22">
        <f t="shared" si="69"/>
        <v>96.747492724938596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3.4106051316484809E-13</v>
      </c>
      <c r="DP126" s="17">
        <f>DO126*VLOOKUP('Données projet'!$B$14,Paramètres!$A$1:$I$89,3,0)*VLOOKUP('Données projet'!$B$14,Paramètres!$A$1:$I$89,5,0)</f>
        <v>1.5961632016114892E-13</v>
      </c>
      <c r="DQ126" s="13">
        <f t="shared" si="97"/>
        <v>2.2708641912150958E-12</v>
      </c>
      <c r="DR126" s="20">
        <f t="shared" si="70"/>
        <v>4.2330868906469593E-12</v>
      </c>
      <c r="DS126" s="59">
        <f t="shared" si="71"/>
        <v>293.33333333333752</v>
      </c>
      <c r="DT126" s="59">
        <f ca="1">AVERAGE(OFFSET($DS$3,0,0,'Données projet'!$E$14+1,1))-AVERAGE(OFFSET($H$3,0,0,'Données projet'!$E$14+1,1))</f>
        <v>293.15557501692803</v>
      </c>
      <c r="DU126" s="59">
        <f t="shared" si="98"/>
        <v>237.1930412773068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99.446659011502604</v>
      </c>
      <c r="EB126" s="21">
        <f>EXP(-LN(2)/25)*EB125+(1-EXP(-LN(2)/25))/(LN(2)/25)*Calculateur!DW126*Calculateur!DY126*VLOOKUP('Données projet'!$B$14,Paramètres!$A$1:$I$89,3,0)*0.475*44/12</f>
        <v>28.409613748444009</v>
      </c>
      <c r="EC126" s="21">
        <f>EXP(-LN(2)/2)*EC125+(1-EXP(-LN(2)/2))/(LN(2)/2)*DW126*DZ126*VLOOKUP('Données projet'!$B$14,Paramètres!$A$1:$I$89,3,0)*0.475*44/12</f>
        <v>0.24599921108462983</v>
      </c>
      <c r="ED126" s="22">
        <f t="shared" si="72"/>
        <v>128.10227197103126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-1.7053025658242404E-13</v>
      </c>
      <c r="EK126" s="17">
        <f>EJ126*VLOOKUP('Données projet'!$B$15,Paramètres!$A$1:$I$89,3,0)*VLOOKUP('Données projet'!$B$15,Paramètres!$A$1:$I$89,5,0)</f>
        <v>-1.0197709343628959E-13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225.86663363047296</v>
      </c>
      <c r="EP126" s="59">
        <f t="shared" si="100"/>
        <v>258.08349727304397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30.541842604068453</v>
      </c>
      <c r="EW126" s="21">
        <f>EXP(-LN(2)/25)*EW125+(1-EXP(-LN(2)/25))/(LN(2)/25)*Calculateur!ER126*Calculateur!ET126*VLOOKUP('Données projet'!$B$15,Paramètres!$A$1:$I$89,3,0)*0.475*44/12</f>
        <v>6.8884378161097892</v>
      </c>
      <c r="EX126" s="21">
        <f>EXP(-LN(2)/2)*EX125+(1-EXP(-LN(2)/2))/(LN(2)/2)*ER126*EU126*VLOOKUP('Données projet'!$B$15,Paramètres!$A$1:$I$89,3,0)*0.475*44/12</f>
        <v>2.9449403277188386E-8</v>
      </c>
      <c r="EY126" s="22">
        <f t="shared" si="75"/>
        <v>37.430280449627645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388.12151914648013</v>
      </c>
      <c r="T127" s="59">
        <f t="shared" si="88"/>
        <v>481.43684454382793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46.303367573967471</v>
      </c>
      <c r="AA127" s="21">
        <f>EXP(-LN(2)/25)*AA126+(1-EXP(-LN(2)/25))/(LN(2)/25)*Calculateur!V127*Calculateur!X127*VLOOKUP('Données projet'!$B$9,Paramètres!$A$1:$I$89,3,0)*0.475*44/12</f>
        <v>9.3597717842796992</v>
      </c>
      <c r="AB127" s="21">
        <f>EXP(-LN(2)/2)*AB126+(1-EXP(-LN(2)/2))/(LN(2)/2)*V127*Y127*VLOOKUP('Données projet'!$B$9,Paramètres!$A$1:$I$89,3,0)*0.475*44/12</f>
        <v>4.4997031824919302E-9</v>
      </c>
      <c r="AC127" s="22">
        <f t="shared" si="57"/>
        <v>55.663139362746875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-1.3596945791505279E-13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349.71285006949597</v>
      </c>
      <c r="AO127" s="59">
        <f t="shared" si="90"/>
        <v>258.51550516456842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64.122770847200073</v>
      </c>
      <c r="AV127" s="21">
        <f>EXP(-LN(2)/25)*AV126+(1-EXP(-LN(2)/25))/(LN(2)/25)*Calculateur!AQ127*Calculateur!AS127*VLOOKUP('Données projet'!$B$10,Paramètres!$A$1:$I$89,3,0)*0.475*44/12</f>
        <v>15.277431130360956</v>
      </c>
      <c r="AW127" s="21">
        <f>EXP(-LN(2)/2)*AW126+(1-EXP(-LN(2)/2))/(LN(2)/2)*AQ127*AT127*VLOOKUP('Données projet'!$B$10,Paramètres!$A$1:$I$89,3,0)*0.475*44/12</f>
        <v>1.6860161495496918E-5</v>
      </c>
      <c r="AX127" s="21">
        <f t="shared" si="60"/>
        <v>79.40021883772252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8.5265128291212022E-14</v>
      </c>
      <c r="BE127" s="13">
        <f>BD127*VLOOKUP('Données projet'!$B$11,Paramètres!$A$1:$I$89,3,0)*VLOOKUP('Données projet'!$B$11,Paramètres!$A$1:$I$89,5,0)</f>
        <v>8.9119112089974823E-14</v>
      </c>
      <c r="BF127" s="13">
        <f t="shared" si="91"/>
        <v>1.3568952080113142E-12</v>
      </c>
      <c r="BG127" s="20">
        <f t="shared" si="61"/>
        <v>2.5184749408430782E-12</v>
      </c>
      <c r="BH127" s="59">
        <f t="shared" si="62"/>
        <v>293.33333333333582</v>
      </c>
      <c r="BI127" s="59">
        <f ca="1">AVERAGE(OFFSET($BH$3,0,0,'Données projet'!$E$11+1,1))-AVERAGE(OFFSET($H$3,0,0,'Données projet'!$E$11+1,1))</f>
        <v>260.74709892624571</v>
      </c>
      <c r="BJ127" s="59">
        <f t="shared" si="92"/>
        <v>237.17381692184887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11.065776020355612</v>
      </c>
      <c r="BQ127" s="21">
        <f>EXP(-LN(2)/25)*BQ126+(1-EXP(-LN(2)/25))/(LN(2)/25)*Calculateur!BL127*Calculateur!BN127*VLOOKUP('Données projet'!$B$11,Paramètres!$A$1:$I$89,3,0)*0.475*44/12</f>
        <v>23.36220693136735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34.42798295172296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10.745999999999999</v>
      </c>
      <c r="BY127" s="12">
        <f>IF('Données projet'!$A$114&gt;35,BY126+BX127-CG126,IF(A127&lt;'Données projet'!$A$114,$BV$205^A127,IF(A127='Données projet'!$A$114,'Données projet'!$B$114,BY126+BX127-CG126)))</f>
        <v>541.93400000000008</v>
      </c>
      <c r="BZ127" s="13">
        <f>BY127*VLOOKUP('Données projet'!$B$12,Paramètres!$A$1:$I$89,3,0)*VLOOKUP('Données projet'!$B$12,Paramètres!$A$1:$I$89,5,0)</f>
        <v>490.34188320000004</v>
      </c>
      <c r="CA127" s="13">
        <f t="shared" si="93"/>
        <v>109.86945570602957</v>
      </c>
      <c r="CB127" s="20">
        <f t="shared" si="64"/>
        <v>1045.3680819280014</v>
      </c>
      <c r="CC127" s="59">
        <f t="shared" si="65"/>
        <v>1338.7014152613347</v>
      </c>
      <c r="CD127" s="59">
        <f ca="1">AVERAGE(OFFSET($CC$3,0,0,'Données projet'!$E$12+1,1))-AVERAGE(OFFSET($H$3,0,0,'Données projet'!$E$12+1,1))</f>
        <v>695.0879239758051</v>
      </c>
      <c r="CE127" s="59">
        <f t="shared" si="94"/>
        <v>226.22150997227476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57.121127859220238</v>
      </c>
      <c r="CL127" s="21">
        <f>EXP(-LN(2)/25)*CL126+(1-EXP(-LN(2)/25))/(LN(2)/25)*Calculateur!CG127*Calculateur!CI127*VLOOKUP('Données projet'!$B$12,Paramètres!$A$1:$I$89,3,0)*0.475*44/12</f>
        <v>27.297388795634518</v>
      </c>
      <c r="CM127" s="21">
        <f>EXP(-LN(2)/2)*CM126+(1-EXP(-LN(2)/2))/(LN(2)/2)*CG127*CJ127*VLOOKUP('Données projet'!$B$12,Paramètres!$A$1:$I$89,3,0)*0.475*44/12</f>
        <v>4.7212945769886826E-5</v>
      </c>
      <c r="CN127" s="22">
        <f t="shared" si="66"/>
        <v>84.418563867800529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10.745999999999999</v>
      </c>
      <c r="CT127" s="12">
        <f>IF('Données projet'!$A$140&gt;35,CT126+CS127-DB126,IF(A127&lt;'Données projet'!$A$140,$CQ$205^A127,IF(A127='Données projet'!$A$140,'Données projet'!$B$140,CT126+CS127-DB126)))</f>
        <v>541.93400000000008</v>
      </c>
      <c r="CU127" s="17">
        <f>CT127*VLOOKUP('Données projet'!$B$13,Paramètres!$A$1:$I$89,3,0)*VLOOKUP('Données projet'!$B$13,Paramètres!$A$1:$I$89,5,0)</f>
        <v>549.52107600000022</v>
      </c>
      <c r="CV127" s="13">
        <f t="shared" si="95"/>
        <v>121.50726342624964</v>
      </c>
      <c r="CW127" s="20">
        <f t="shared" si="67"/>
        <v>1168.7076911673851</v>
      </c>
      <c r="CX127" s="59">
        <f t="shared" si="68"/>
        <v>1462.0410245007183</v>
      </c>
      <c r="CY127" s="59">
        <f ca="1">AVERAGE(OFFSET($CX$3,0,0,'Données projet'!$E$13+1,1))-AVERAGE(OFFSET($H$3,0,0,'Données projet'!$E$13+1,1))</f>
        <v>773.15074145293738</v>
      </c>
      <c r="CZ127" s="59">
        <f t="shared" si="96"/>
        <v>248.49577986312505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64.01505708360888</v>
      </c>
      <c r="DG127" s="21">
        <f>EXP(-LN(2)/25)*DG126+(1-EXP(-LN(2)/25))/(LN(2)/25)*Calculateur!DB127*Calculateur!DD127*VLOOKUP('Données projet'!$B$13,Paramètres!$A$1:$I$89,3,0)*0.475*44/12</f>
        <v>30.591901236486969</v>
      </c>
      <c r="DH127" s="21">
        <f>EXP(-LN(2)/2)*DH126+(1-EXP(-LN(2)/2))/(LN(2)/2)*DB127*DE127*VLOOKUP('Données projet'!$B$13,Paramètres!$A$1:$I$89,3,0)*0.475*44/12</f>
        <v>5.2911059914528371E-5</v>
      </c>
      <c r="DI127" s="22">
        <f t="shared" si="69"/>
        <v>94.607011231155766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3.4106051316484809E-13</v>
      </c>
      <c r="DP127" s="17">
        <f>DO127*VLOOKUP('Données projet'!$B$14,Paramètres!$A$1:$I$89,3,0)*VLOOKUP('Données projet'!$B$14,Paramètres!$A$1:$I$89,5,0)</f>
        <v>1.5961632016114892E-13</v>
      </c>
      <c r="DQ127" s="13">
        <f t="shared" si="97"/>
        <v>2.2708641912150958E-12</v>
      </c>
      <c r="DR127" s="20">
        <f t="shared" si="70"/>
        <v>4.2330868906469593E-12</v>
      </c>
      <c r="DS127" s="59">
        <f t="shared" si="71"/>
        <v>293.33333333333752</v>
      </c>
      <c r="DT127" s="59">
        <f ca="1">AVERAGE(OFFSET($DS$3,0,0,'Données projet'!$E$14+1,1))-AVERAGE(OFFSET($H$3,0,0,'Données projet'!$E$14+1,1))</f>
        <v>293.15557501692803</v>
      </c>
      <c r="DU127" s="59">
        <f t="shared" si="98"/>
        <v>237.1930412773068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97.496570684759703</v>
      </c>
      <c r="EB127" s="21">
        <f>EXP(-LN(2)/25)*EB126+(1-EXP(-LN(2)/25))/(LN(2)/25)*Calculateur!DW127*Calculateur!DY127*VLOOKUP('Données projet'!$B$14,Paramètres!$A$1:$I$89,3,0)*0.475*44/12</f>
        <v>27.632751366496151</v>
      </c>
      <c r="EC127" s="21">
        <f>EXP(-LN(2)/2)*EC126+(1-EXP(-LN(2)/2))/(LN(2)/2)*DW127*DZ127*VLOOKUP('Données projet'!$B$14,Paramètres!$A$1:$I$89,3,0)*0.475*44/12</f>
        <v>0.17394771032448267</v>
      </c>
      <c r="ED127" s="22">
        <f t="shared" si="72"/>
        <v>125.30326976158034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-1.7053025658242404E-13</v>
      </c>
      <c r="EK127" s="17">
        <f>EJ127*VLOOKUP('Données projet'!$B$15,Paramètres!$A$1:$I$89,3,0)*VLOOKUP('Données projet'!$B$15,Paramètres!$A$1:$I$89,5,0)</f>
        <v>-1.0197709343628959E-13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225.86663363047296</v>
      </c>
      <c r="EP127" s="59">
        <f t="shared" si="100"/>
        <v>258.08349727304397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29.942935699287229</v>
      </c>
      <c r="EW127" s="21">
        <f>EXP(-LN(2)/25)*EW126+(1-EXP(-LN(2)/25))/(LN(2)/25)*Calculateur!ER127*Calculateur!ET127*VLOOKUP('Données projet'!$B$15,Paramètres!$A$1:$I$89,3,0)*0.475*44/12</f>
        <v>6.7000731217810658</v>
      </c>
      <c r="EX127" s="21">
        <f>EXP(-LN(2)/2)*EX126+(1-EXP(-LN(2)/2))/(LN(2)/2)*ER127*EU127*VLOOKUP('Données projet'!$B$15,Paramètres!$A$1:$I$89,3,0)*0.475*44/12</f>
        <v>2.0823872759197246E-8</v>
      </c>
      <c r="EY127" s="22">
        <f t="shared" si="75"/>
        <v>36.643008841892168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388.12151914648013</v>
      </c>
      <c r="T128" s="59">
        <f t="shared" si="88"/>
        <v>481.43684454382793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45.395386778107493</v>
      </c>
      <c r="AA128" s="21">
        <f>EXP(-LN(2)/25)*AA127+(1-EXP(-LN(2)/25))/(LN(2)/25)*Calculateur!V128*Calculateur!X128*VLOOKUP('Données projet'!$B$9,Paramètres!$A$1:$I$89,3,0)*0.475*44/12</f>
        <v>9.1038283326295648</v>
      </c>
      <c r="AB128" s="21">
        <f>EXP(-LN(2)/2)*AB127+(1-EXP(-LN(2)/2))/(LN(2)/2)*V128*Y128*VLOOKUP('Données projet'!$B$9,Paramètres!$A$1:$I$89,3,0)*0.475*44/12</f>
        <v>3.1817706336667328E-9</v>
      </c>
      <c r="AC128" s="22">
        <f t="shared" si="57"/>
        <v>54.499215113918822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-1.3596945791505279E-13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349.71285006949597</v>
      </c>
      <c r="AO128" s="59">
        <f t="shared" si="90"/>
        <v>258.51550516456842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62.865362421914803</v>
      </c>
      <c r="AV128" s="21">
        <f>EXP(-LN(2)/25)*AV127+(1-EXP(-LN(2)/25))/(LN(2)/25)*Calculateur!AQ128*Calculateur!AS128*VLOOKUP('Données projet'!$B$10,Paramètres!$A$1:$I$89,3,0)*0.475*44/12</f>
        <v>14.859668972696049</v>
      </c>
      <c r="AW128" s="21">
        <f>EXP(-LN(2)/2)*AW127+(1-EXP(-LN(2)/2))/(LN(2)/2)*AQ128*AT128*VLOOKUP('Données projet'!$B$10,Paramètres!$A$1:$I$89,3,0)*0.475*44/12</f>
        <v>1.1921934525366193E-5</v>
      </c>
      <c r="AX128" s="21">
        <f t="shared" si="60"/>
        <v>77.725043316545381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8.5265128291212022E-14</v>
      </c>
      <c r="BE128" s="13">
        <f>BD128*VLOOKUP('Données projet'!$B$11,Paramètres!$A$1:$I$89,3,0)*VLOOKUP('Données projet'!$B$11,Paramètres!$A$1:$I$89,5,0)</f>
        <v>8.9119112089974823E-14</v>
      </c>
      <c r="BF128" s="13">
        <f t="shared" si="91"/>
        <v>1.3568952080113142E-12</v>
      </c>
      <c r="BG128" s="20">
        <f t="shared" si="61"/>
        <v>2.5184749408430782E-12</v>
      </c>
      <c r="BH128" s="59">
        <f t="shared" si="62"/>
        <v>293.33333333333582</v>
      </c>
      <c r="BI128" s="59">
        <f ca="1">AVERAGE(OFFSET($BH$3,0,0,'Données projet'!$E$11+1,1))-AVERAGE(OFFSET($H$3,0,0,'Données projet'!$E$11+1,1))</f>
        <v>260.74709892624571</v>
      </c>
      <c r="BJ128" s="59">
        <f t="shared" si="92"/>
        <v>237.17381692184887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10.848782902053358</v>
      </c>
      <c r="BQ128" s="21">
        <f>EXP(-LN(2)/25)*BQ127+(1-EXP(-LN(2)/25))/(LN(2)/25)*Calculateur!BL128*Calculateur!BN128*VLOOKUP('Données projet'!$B$11,Paramètres!$A$1:$I$89,3,0)*0.475*44/12</f>
        <v>22.723366154264042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33.5721490563174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10.745999999999999</v>
      </c>
      <c r="BY128" s="12">
        <f>IF('Données projet'!$A$114&gt;35,BY127+BX128-CG127,IF(A128&lt;'Données projet'!$A$114,$BV$205^A128,IF(A128='Données projet'!$A$114,'Données projet'!$B$114,BY127+BX128-CG127)))</f>
        <v>552.68000000000006</v>
      </c>
      <c r="BZ128" s="13">
        <f>BY128*VLOOKUP('Données projet'!$B$12,Paramètres!$A$1:$I$89,3,0)*VLOOKUP('Données projet'!$B$12,Paramètres!$A$1:$I$89,5,0)</f>
        <v>500.064864</v>
      </c>
      <c r="CA128" s="13">
        <f t="shared" si="93"/>
        <v>111.7922609431773</v>
      </c>
      <c r="CB128" s="20">
        <f t="shared" si="64"/>
        <v>1065.6511592760337</v>
      </c>
      <c r="CC128" s="59">
        <f t="shared" si="65"/>
        <v>1358.984492609367</v>
      </c>
      <c r="CD128" s="59">
        <f ca="1">AVERAGE(OFFSET($CC$3,0,0,'Données projet'!$E$12+1,1))-AVERAGE(OFFSET($H$3,0,0,'Données projet'!$E$12+1,1))</f>
        <v>695.0879239758051</v>
      </c>
      <c r="CE128" s="59">
        <f t="shared" si="94"/>
        <v>226.22150997227476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56.001017382348714</v>
      </c>
      <c r="CL128" s="21">
        <f>EXP(-LN(2)/25)*CL127+(1-EXP(-LN(2)/25))/(LN(2)/25)*Calculateur!CG128*Calculateur!CI128*VLOOKUP('Données projet'!$B$12,Paramètres!$A$1:$I$89,3,0)*0.475*44/12</f>
        <v>26.550940263510604</v>
      </c>
      <c r="CM128" s="21">
        <f>EXP(-LN(2)/2)*CM127+(1-EXP(-LN(2)/2))/(LN(2)/2)*CG128*CJ128*VLOOKUP('Données projet'!$B$12,Paramètres!$A$1:$I$89,3,0)*0.475*44/12</f>
        <v>3.3384594113679698E-5</v>
      </c>
      <c r="CN128" s="22">
        <f t="shared" si="66"/>
        <v>82.551991030453436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10.745999999999999</v>
      </c>
      <c r="CT128" s="12">
        <f>IF('Données projet'!$A$140&gt;35,CT127+CS128-DB127,IF(A128&lt;'Données projet'!$A$140,$CQ$205^A128,IF(A128='Données projet'!$A$140,'Données projet'!$B$140,CT127+CS128-DB127)))</f>
        <v>552.68000000000006</v>
      </c>
      <c r="CU128" s="17">
        <f>CT128*VLOOKUP('Données projet'!$B$13,Paramètres!$A$1:$I$89,3,0)*VLOOKUP('Données projet'!$B$13,Paramètres!$A$1:$I$89,5,0)</f>
        <v>560.41752000000008</v>
      </c>
      <c r="CV128" s="13">
        <f t="shared" si="95"/>
        <v>123.63373980647867</v>
      </c>
      <c r="CW128" s="20">
        <f t="shared" si="67"/>
        <v>1191.389277496284</v>
      </c>
      <c r="CX128" s="59">
        <f t="shared" si="68"/>
        <v>1484.7226108296172</v>
      </c>
      <c r="CY128" s="59">
        <f ca="1">AVERAGE(OFFSET($CX$3,0,0,'Données projet'!$E$13+1,1))-AVERAGE(OFFSET($H$3,0,0,'Données projet'!$E$13+1,1))</f>
        <v>773.15074145293738</v>
      </c>
      <c r="CZ128" s="59">
        <f t="shared" si="96"/>
        <v>248.49577986312505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62.759760859528726</v>
      </c>
      <c r="DG128" s="21">
        <f>EXP(-LN(2)/25)*DG127+(1-EXP(-LN(2)/25))/(LN(2)/25)*Calculateur!DB128*Calculateur!DD128*VLOOKUP('Données projet'!$B$13,Paramètres!$A$1:$I$89,3,0)*0.475*44/12</f>
        <v>29.755364088417064</v>
      </c>
      <c r="DH128" s="21">
        <f>EXP(-LN(2)/2)*DH127+(1-EXP(-LN(2)/2))/(LN(2)/2)*DB128*DE128*VLOOKUP('Données projet'!$B$13,Paramètres!$A$1:$I$89,3,0)*0.475*44/12</f>
        <v>3.7413769265330719E-5</v>
      </c>
      <c r="DI128" s="22">
        <f t="shared" si="69"/>
        <v>92.515162361715056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3.4106051316484809E-13</v>
      </c>
      <c r="DP128" s="17">
        <f>DO128*VLOOKUP('Données projet'!$B$14,Paramètres!$A$1:$I$89,3,0)*VLOOKUP('Données projet'!$B$14,Paramètres!$A$1:$I$89,5,0)</f>
        <v>1.5961632016114892E-13</v>
      </c>
      <c r="DQ128" s="13">
        <f t="shared" si="97"/>
        <v>2.2708641912150958E-12</v>
      </c>
      <c r="DR128" s="20">
        <f t="shared" si="70"/>
        <v>4.2330868906469593E-12</v>
      </c>
      <c r="DS128" s="59">
        <f t="shared" si="71"/>
        <v>293.33333333333752</v>
      </c>
      <c r="DT128" s="59">
        <f ca="1">AVERAGE(OFFSET($DS$3,0,0,'Données projet'!$E$14+1,1))-AVERAGE(OFFSET($H$3,0,0,'Données projet'!$E$14+1,1))</f>
        <v>293.15557501692803</v>
      </c>
      <c r="DU128" s="59">
        <f t="shared" si="98"/>
        <v>237.1930412773068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95.5847224006678</v>
      </c>
      <c r="EB128" s="21">
        <f>EXP(-LN(2)/25)*EB127+(1-EXP(-LN(2)/25))/(LN(2)/25)*Calculateur!DW128*Calculateur!DY128*VLOOKUP('Données projet'!$B$14,Paramètres!$A$1:$I$89,3,0)*0.475*44/12</f>
        <v>26.877132327236076</v>
      </c>
      <c r="EC128" s="21">
        <f>EXP(-LN(2)/2)*EC127+(1-EXP(-LN(2)/2))/(LN(2)/2)*DW128*DZ128*VLOOKUP('Données projet'!$B$14,Paramètres!$A$1:$I$89,3,0)*0.475*44/12</f>
        <v>0.12299960554231493</v>
      </c>
      <c r="ED128" s="22">
        <f t="shared" si="72"/>
        <v>122.58485433344619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-1.7053025658242404E-13</v>
      </c>
      <c r="EK128" s="17">
        <f>EJ128*VLOOKUP('Données projet'!$B$15,Paramètres!$A$1:$I$89,3,0)*VLOOKUP('Données projet'!$B$15,Paramètres!$A$1:$I$89,5,0)</f>
        <v>-1.0197709343628959E-13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225.86663363047296</v>
      </c>
      <c r="EP128" s="59">
        <f t="shared" si="100"/>
        <v>258.08349727304397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29.355772993611623</v>
      </c>
      <c r="EW128" s="21">
        <f>EXP(-LN(2)/25)*EW127+(1-EXP(-LN(2)/25))/(LN(2)/25)*Calculateur!ER128*Calculateur!ET128*VLOOKUP('Données projet'!$B$15,Paramètres!$A$1:$I$89,3,0)*0.475*44/12</f>
        <v>6.5168592699244305</v>
      </c>
      <c r="EX128" s="21">
        <f>EXP(-LN(2)/2)*EX127+(1-EXP(-LN(2)/2))/(LN(2)/2)*ER128*EU128*VLOOKUP('Données projet'!$B$15,Paramètres!$A$1:$I$89,3,0)*0.475*44/12</f>
        <v>1.4724701638594196E-8</v>
      </c>
      <c r="EY128" s="22">
        <f t="shared" si="75"/>
        <v>35.87263227826076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388.12151914648013</v>
      </c>
      <c r="T129" s="59">
        <f t="shared" si="88"/>
        <v>481.43684454382793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44.505210931840729</v>
      </c>
      <c r="AA129" s="21">
        <f>EXP(-LN(2)/25)*AA128+(1-EXP(-LN(2)/25))/(LN(2)/25)*Calculateur!V129*Calculateur!X129*VLOOKUP('Données projet'!$B$9,Paramètres!$A$1:$I$89,3,0)*0.475*44/12</f>
        <v>8.854883668124284</v>
      </c>
      <c r="AB129" s="21">
        <f>EXP(-LN(2)/2)*AB128+(1-EXP(-LN(2)/2))/(LN(2)/2)*V129*Y129*VLOOKUP('Données projet'!$B$9,Paramètres!$A$1:$I$89,3,0)*0.475*44/12</f>
        <v>2.2498515912459651E-9</v>
      </c>
      <c r="AC129" s="22">
        <f t="shared" si="57"/>
        <v>53.360094602214858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-1.3596945791505279E-13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349.71285006949597</v>
      </c>
      <c r="AO129" s="59">
        <f t="shared" si="90"/>
        <v>258.51550516456842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61.632611008905968</v>
      </c>
      <c r="AV129" s="21">
        <f>EXP(-LN(2)/25)*AV128+(1-EXP(-LN(2)/25))/(LN(2)/25)*Calculateur!AQ129*Calculateur!AS129*VLOOKUP('Données projet'!$B$10,Paramètres!$A$1:$I$89,3,0)*0.475*44/12</f>
        <v>14.453330543201647</v>
      </c>
      <c r="AW129" s="21">
        <f>EXP(-LN(2)/2)*AW128+(1-EXP(-LN(2)/2))/(LN(2)/2)*AQ129*AT129*VLOOKUP('Données projet'!$B$10,Paramètres!$A$1:$I$89,3,0)*0.475*44/12</f>
        <v>8.4300807477484592E-6</v>
      </c>
      <c r="AX129" s="21">
        <f t="shared" si="60"/>
        <v>76.085949982188367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8.5265128291212022E-14</v>
      </c>
      <c r="BE129" s="13">
        <f>BD129*VLOOKUP('Données projet'!$B$11,Paramètres!$A$1:$I$89,3,0)*VLOOKUP('Données projet'!$B$11,Paramètres!$A$1:$I$89,5,0)</f>
        <v>8.9119112089974823E-14</v>
      </c>
      <c r="BF129" s="13">
        <f t="shared" si="91"/>
        <v>1.3568952080113142E-12</v>
      </c>
      <c r="BG129" s="20">
        <f t="shared" si="61"/>
        <v>2.5184749408430782E-12</v>
      </c>
      <c r="BH129" s="59">
        <f t="shared" si="62"/>
        <v>293.33333333333582</v>
      </c>
      <c r="BI129" s="59">
        <f ca="1">AVERAGE(OFFSET($BH$3,0,0,'Données projet'!$E$11+1,1))-AVERAGE(OFFSET($H$3,0,0,'Données projet'!$E$11+1,1))</f>
        <v>260.74709892624571</v>
      </c>
      <c r="BJ129" s="59">
        <f t="shared" si="92"/>
        <v>237.17381692184887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10.636044886448277</v>
      </c>
      <c r="BQ129" s="21">
        <f>EXP(-LN(2)/25)*BQ128+(1-EXP(-LN(2)/25))/(LN(2)/25)*Calculateur!BL129*Calculateur!BN129*VLOOKUP('Données projet'!$B$11,Paramètres!$A$1:$I$89,3,0)*0.475*44/12</f>
        <v>22.101994511805799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32.738039398254074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10.745999999999999</v>
      </c>
      <c r="BY129" s="12">
        <f>IF('Données projet'!$A$114&gt;35,BY128+BX129-CG128,IF(A129&lt;'Données projet'!$A$114,$BV$205^A129,IF(A129='Données projet'!$A$114,'Données projet'!$B$114,BY128+BX129-CG128)))</f>
        <v>563.42600000000004</v>
      </c>
      <c r="BZ129" s="13">
        <f>BY129*VLOOKUP('Données projet'!$B$12,Paramètres!$A$1:$I$89,3,0)*VLOOKUP('Données projet'!$B$12,Paramètres!$A$1:$I$89,5,0)</f>
        <v>509.78784480000002</v>
      </c>
      <c r="CA129" s="13">
        <f t="shared" si="93"/>
        <v>113.71071908731024</v>
      </c>
      <c r="CB129" s="20">
        <f t="shared" si="64"/>
        <v>1085.9266654370654</v>
      </c>
      <c r="CC129" s="59">
        <f t="shared" si="65"/>
        <v>1379.2599987703986</v>
      </c>
      <c r="CD129" s="59">
        <f ca="1">AVERAGE(OFFSET($CC$3,0,0,'Données projet'!$E$12+1,1))-AVERAGE(OFFSET($H$3,0,0,'Données projet'!$E$12+1,1))</f>
        <v>695.0879239758051</v>
      </c>
      <c r="CE129" s="59">
        <f t="shared" si="94"/>
        <v>226.22150997227476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54.902871588728708</v>
      </c>
      <c r="CL129" s="21">
        <f>EXP(-LN(2)/25)*CL128+(1-EXP(-LN(2)/25))/(LN(2)/25)*Calculateur!CG129*Calculateur!CI129*VLOOKUP('Données projet'!$B$12,Paramètres!$A$1:$I$89,3,0)*0.475*44/12</f>
        <v>25.824903405751641</v>
      </c>
      <c r="CM129" s="21">
        <f>EXP(-LN(2)/2)*CM128+(1-EXP(-LN(2)/2))/(LN(2)/2)*CG129*CJ129*VLOOKUP('Données projet'!$B$12,Paramètres!$A$1:$I$89,3,0)*0.475*44/12</f>
        <v>2.3606472884943413E-5</v>
      </c>
      <c r="CN129" s="22">
        <f t="shared" si="66"/>
        <v>80.727798600953221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10.745999999999999</v>
      </c>
      <c r="CT129" s="12">
        <f>IF('Données projet'!$A$140&gt;35,CT128+CS129-DB128,IF(A129&lt;'Données projet'!$A$140,$CQ$205^A129,IF(A129='Données projet'!$A$140,'Données projet'!$B$140,CT128+CS129-DB128)))</f>
        <v>563.42600000000004</v>
      </c>
      <c r="CU129" s="17">
        <f>CT129*VLOOKUP('Données projet'!$B$13,Paramètres!$A$1:$I$89,3,0)*VLOOKUP('Données projet'!$B$13,Paramètres!$A$1:$I$89,5,0)</f>
        <v>571.31396400000006</v>
      </c>
      <c r="CV129" s="13">
        <f t="shared" si="95"/>
        <v>125.7554086323905</v>
      </c>
      <c r="CW129" s="20">
        <f t="shared" si="67"/>
        <v>1214.0624906680803</v>
      </c>
      <c r="CX129" s="59">
        <f t="shared" si="68"/>
        <v>1507.3958240014135</v>
      </c>
      <c r="CY129" s="59">
        <f ca="1">AVERAGE(OFFSET($CX$3,0,0,'Données projet'!$E$13+1,1))-AVERAGE(OFFSET($H$3,0,0,'Données projet'!$E$13+1,1))</f>
        <v>773.15074145293738</v>
      </c>
      <c r="CZ129" s="59">
        <f t="shared" si="96"/>
        <v>248.49577986312505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61.529080228747688</v>
      </c>
      <c r="DG129" s="21">
        <f>EXP(-LN(2)/25)*DG128+(1-EXP(-LN(2)/25))/(LN(2)/25)*Calculateur!DB129*Calculateur!DD129*VLOOKUP('Données projet'!$B$13,Paramètres!$A$1:$I$89,3,0)*0.475*44/12</f>
        <v>28.941702092652708</v>
      </c>
      <c r="DH129" s="21">
        <f>EXP(-LN(2)/2)*DH128+(1-EXP(-LN(2)/2))/(LN(2)/2)*DB129*DE129*VLOOKUP('Données projet'!$B$13,Paramètres!$A$1:$I$89,3,0)*0.475*44/12</f>
        <v>2.6455529957264186E-5</v>
      </c>
      <c r="DI129" s="22">
        <f t="shared" si="69"/>
        <v>90.470808776930355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3.4106051316484809E-13</v>
      </c>
      <c r="DP129" s="17">
        <f>DO129*VLOOKUP('Données projet'!$B$14,Paramètres!$A$1:$I$89,3,0)*VLOOKUP('Données projet'!$B$14,Paramètres!$A$1:$I$89,5,0)</f>
        <v>1.5961632016114892E-13</v>
      </c>
      <c r="DQ129" s="13">
        <f t="shared" si="97"/>
        <v>2.2708641912150958E-12</v>
      </c>
      <c r="DR129" s="20">
        <f t="shared" si="70"/>
        <v>4.2330868906469593E-12</v>
      </c>
      <c r="DS129" s="59">
        <f t="shared" si="71"/>
        <v>293.33333333333752</v>
      </c>
      <c r="DT129" s="59">
        <f ca="1">AVERAGE(OFFSET($DS$3,0,0,'Données projet'!$E$14+1,1))-AVERAGE(OFFSET($H$3,0,0,'Données projet'!$E$14+1,1))</f>
        <v>293.15557501692803</v>
      </c>
      <c r="DU129" s="59">
        <f t="shared" si="98"/>
        <v>237.1930412773068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93.710364295314633</v>
      </c>
      <c r="EB129" s="21">
        <f>EXP(-LN(2)/25)*EB128+(1-EXP(-LN(2)/25))/(LN(2)/25)*Calculateur!DW129*Calculateur!DY129*VLOOKUP('Données projet'!$B$14,Paramètres!$A$1:$I$89,3,0)*0.475*44/12</f>
        <v>26.142175730340846</v>
      </c>
      <c r="EC129" s="21">
        <f>EXP(-LN(2)/2)*EC128+(1-EXP(-LN(2)/2))/(LN(2)/2)*DW129*DZ129*VLOOKUP('Données projet'!$B$14,Paramètres!$A$1:$I$89,3,0)*0.475*44/12</f>
        <v>8.6973855162241348E-2</v>
      </c>
      <c r="ED129" s="22">
        <f t="shared" si="72"/>
        <v>119.93951388081773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-1.7053025658242404E-13</v>
      </c>
      <c r="EK129" s="17">
        <f>EJ129*VLOOKUP('Données projet'!$B$15,Paramètres!$A$1:$I$89,3,0)*VLOOKUP('Données projet'!$B$15,Paramètres!$A$1:$I$89,5,0)</f>
        <v>-1.0197709343628959E-13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225.86663363047296</v>
      </c>
      <c r="EP129" s="59">
        <f t="shared" si="100"/>
        <v>258.08349727304397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28.780124190460427</v>
      </c>
      <c r="EW129" s="21">
        <f>EXP(-LN(2)/25)*EW128+(1-EXP(-LN(2)/25))/(LN(2)/25)*Calculateur!ER129*Calculateur!ET129*VLOOKUP('Données projet'!$B$15,Paramètres!$A$1:$I$89,3,0)*0.475*44/12</f>
        <v>6.3386554104816124</v>
      </c>
      <c r="EX129" s="21">
        <f>EXP(-LN(2)/2)*EX128+(1-EXP(-LN(2)/2))/(LN(2)/2)*ER129*EU129*VLOOKUP('Données projet'!$B$15,Paramètres!$A$1:$I$89,3,0)*0.475*44/12</f>
        <v>1.0411936379598625E-8</v>
      </c>
      <c r="EY129" s="22">
        <f t="shared" si="75"/>
        <v>35.118779611353979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388.12151914648013</v>
      </c>
      <c r="T130" s="59">
        <f t="shared" si="88"/>
        <v>481.43684454382793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43.632490890965606</v>
      </c>
      <c r="AA130" s="21">
        <f>EXP(-LN(2)/25)*AA129+(1-EXP(-LN(2)/25))/(LN(2)/25)*Calculateur!V130*Calculateur!X130*VLOOKUP('Données projet'!$B$9,Paramètres!$A$1:$I$89,3,0)*0.475*44/12</f>
        <v>8.6127464085613319</v>
      </c>
      <c r="AB130" s="21">
        <f>EXP(-LN(2)/2)*AB129+(1-EXP(-LN(2)/2))/(LN(2)/2)*V130*Y130*VLOOKUP('Données projet'!$B$9,Paramètres!$A$1:$I$89,3,0)*0.475*44/12</f>
        <v>1.5908853168333664E-9</v>
      </c>
      <c r="AC130" s="22">
        <f t="shared" si="57"/>
        <v>52.245237301117818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-1.3596945791505279E-13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349.71285006949597</v>
      </c>
      <c r="AO130" s="59">
        <f t="shared" si="90"/>
        <v>258.51550516456842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60.42403309920212</v>
      </c>
      <c r="AV130" s="21">
        <f>EXP(-LN(2)/25)*AV129+(1-EXP(-LN(2)/25))/(LN(2)/25)*Calculateur!AQ130*Calculateur!AS130*VLOOKUP('Données projet'!$B$10,Paramètres!$A$1:$I$89,3,0)*0.475*44/12</f>
        <v>14.058103459430178</v>
      </c>
      <c r="AW130" s="21">
        <f>EXP(-LN(2)/2)*AW129+(1-EXP(-LN(2)/2))/(LN(2)/2)*AQ130*AT130*VLOOKUP('Données projet'!$B$10,Paramètres!$A$1:$I$89,3,0)*0.475*44/12</f>
        <v>5.9609672626830967E-6</v>
      </c>
      <c r="AX130" s="21">
        <f t="shared" si="60"/>
        <v>74.482142519599563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8.5265128291212022E-14</v>
      </c>
      <c r="BE130" s="13">
        <f>BD130*VLOOKUP('Données projet'!$B$11,Paramètres!$A$1:$I$89,3,0)*VLOOKUP('Données projet'!$B$11,Paramètres!$A$1:$I$89,5,0)</f>
        <v>8.9119112089974823E-14</v>
      </c>
      <c r="BF130" s="13">
        <f t="shared" si="91"/>
        <v>1.3568952080113142E-12</v>
      </c>
      <c r="BG130" s="20">
        <f t="shared" si="61"/>
        <v>2.5184749408430782E-12</v>
      </c>
      <c r="BH130" s="59">
        <f t="shared" si="62"/>
        <v>293.33333333333582</v>
      </c>
      <c r="BI130" s="59">
        <f ca="1">AVERAGE(OFFSET($BH$3,0,0,'Données projet'!$E$11+1,1))-AVERAGE(OFFSET($H$3,0,0,'Données projet'!$E$11+1,1))</f>
        <v>260.74709892624571</v>
      </c>
      <c r="BJ130" s="59">
        <f t="shared" si="92"/>
        <v>237.17381692184887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10.427478533571835</v>
      </c>
      <c r="BQ130" s="21">
        <f>EXP(-LN(2)/25)*BQ129+(1-EXP(-LN(2)/25))/(LN(2)/25)*Calculateur!BL130*Calculateur!BN130*VLOOKUP('Données projet'!$B$11,Paramètres!$A$1:$I$89,3,0)*0.475*44/12</f>
        <v>21.497614309587092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31.925092843158929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10.745999999999999</v>
      </c>
      <c r="BY130" s="12">
        <f>IF('Données projet'!$A$114&gt;35,BY129+BX130-CG129,IF(A130&lt;'Données projet'!$A$114,$BV$205^A130,IF(A130='Données projet'!$A$114,'Données projet'!$B$114,BY129+BX130-CG129)))</f>
        <v>574.17200000000003</v>
      </c>
      <c r="BZ130" s="13">
        <f>BY130*VLOOKUP('Données projet'!$B$12,Paramètres!$A$1:$I$89,3,0)*VLOOKUP('Données projet'!$B$12,Paramètres!$A$1:$I$89,5,0)</f>
        <v>519.51082560000009</v>
      </c>
      <c r="CA130" s="13">
        <f t="shared" si="93"/>
        <v>115.62492260821269</v>
      </c>
      <c r="CB130" s="20">
        <f t="shared" si="64"/>
        <v>1106.1947614626372</v>
      </c>
      <c r="CC130" s="59">
        <f t="shared" si="65"/>
        <v>1399.5280947959704</v>
      </c>
      <c r="CD130" s="59">
        <f ca="1">AVERAGE(OFFSET($CC$3,0,0,'Données projet'!$E$12+1,1))-AVERAGE(OFFSET($H$3,0,0,'Données projet'!$E$12+1,1))</f>
        <v>695.0879239758051</v>
      </c>
      <c r="CE130" s="59">
        <f t="shared" si="94"/>
        <v>226.22150997227476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53.826259764318799</v>
      </c>
      <c r="CL130" s="21">
        <f>EXP(-LN(2)/25)*CL129+(1-EXP(-LN(2)/25))/(LN(2)/25)*Calculateur!CG130*Calculateur!CI130*VLOOKUP('Données projet'!$B$12,Paramètres!$A$1:$I$89,3,0)*0.475*44/12</f>
        <v>25.118720064048716</v>
      </c>
      <c r="CM130" s="21">
        <f>EXP(-LN(2)/2)*CM129+(1-EXP(-LN(2)/2))/(LN(2)/2)*CG130*CJ130*VLOOKUP('Données projet'!$B$12,Paramètres!$A$1:$I$89,3,0)*0.475*44/12</f>
        <v>1.6692297056839849E-5</v>
      </c>
      <c r="CN130" s="22">
        <f t="shared" si="66"/>
        <v>78.94499652066456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10.745999999999999</v>
      </c>
      <c r="CT130" s="12">
        <f>IF('Données projet'!$A$140&gt;35,CT129+CS130-DB129,IF(A130&lt;'Données projet'!$A$140,$CQ$205^A130,IF(A130='Données projet'!$A$140,'Données projet'!$B$140,CT129+CS130-DB129)))</f>
        <v>574.17200000000003</v>
      </c>
      <c r="CU130" s="17">
        <f>CT130*VLOOKUP('Données projet'!$B$13,Paramètres!$A$1:$I$89,3,0)*VLOOKUP('Données projet'!$B$13,Paramètres!$A$1:$I$89,5,0)</f>
        <v>582.21040800000003</v>
      </c>
      <c r="CV130" s="13">
        <f t="shared" si="95"/>
        <v>127.87237216853526</v>
      </c>
      <c r="CW130" s="20">
        <f t="shared" si="67"/>
        <v>1236.727508793532</v>
      </c>
      <c r="CX130" s="59">
        <f t="shared" si="68"/>
        <v>1530.0608421268653</v>
      </c>
      <c r="CY130" s="59">
        <f ca="1">AVERAGE(OFFSET($CX$3,0,0,'Données projet'!$E$13+1,1))-AVERAGE(OFFSET($H$3,0,0,'Données projet'!$E$13+1,1))</f>
        <v>773.15074145293738</v>
      </c>
      <c r="CZ130" s="59">
        <f t="shared" si="96"/>
        <v>248.49577986312505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60.322532494495199</v>
      </c>
      <c r="DG130" s="21">
        <f>EXP(-LN(2)/25)*DG129+(1-EXP(-LN(2)/25))/(LN(2)/25)*Calculateur!DB130*Calculateur!DD130*VLOOKUP('Données projet'!$B$13,Paramètres!$A$1:$I$89,3,0)*0.475*44/12</f>
        <v>28.150289726951154</v>
      </c>
      <c r="DH130" s="21">
        <f>EXP(-LN(2)/2)*DH129+(1-EXP(-LN(2)/2))/(LN(2)/2)*DB130*DE130*VLOOKUP('Données projet'!$B$13,Paramètres!$A$1:$I$89,3,0)*0.475*44/12</f>
        <v>1.8706884632665359E-5</v>
      </c>
      <c r="DI130" s="22">
        <f t="shared" si="69"/>
        <v>88.472840928330982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3.4106051316484809E-13</v>
      </c>
      <c r="DP130" s="17">
        <f>DO130*VLOOKUP('Données projet'!$B$14,Paramètres!$A$1:$I$89,3,0)*VLOOKUP('Données projet'!$B$14,Paramètres!$A$1:$I$89,5,0)</f>
        <v>1.5961632016114892E-13</v>
      </c>
      <c r="DQ130" s="13">
        <f t="shared" si="97"/>
        <v>2.2708641912150958E-12</v>
      </c>
      <c r="DR130" s="20">
        <f t="shared" si="70"/>
        <v>4.2330868906469593E-12</v>
      </c>
      <c r="DS130" s="59">
        <f t="shared" si="71"/>
        <v>293.33333333333752</v>
      </c>
      <c r="DT130" s="59">
        <f ca="1">AVERAGE(OFFSET($DS$3,0,0,'Données projet'!$E$14+1,1))-AVERAGE(OFFSET($H$3,0,0,'Données projet'!$E$14+1,1))</f>
        <v>293.15557501692803</v>
      </c>
      <c r="DU130" s="59">
        <f t="shared" si="98"/>
        <v>237.1930412773068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91.872761209161879</v>
      </c>
      <c r="EB130" s="21">
        <f>EXP(-LN(2)/25)*EB129+(1-EXP(-LN(2)/25))/(LN(2)/25)*Calculateur!DW130*Calculateur!DY130*VLOOKUP('Données projet'!$B$14,Paramètres!$A$1:$I$89,3,0)*0.475*44/12</f>
        <v>25.427316560237401</v>
      </c>
      <c r="EC130" s="21">
        <f>EXP(-LN(2)/2)*EC129+(1-EXP(-LN(2)/2))/(LN(2)/2)*DW130*DZ130*VLOOKUP('Données projet'!$B$14,Paramètres!$A$1:$I$89,3,0)*0.475*44/12</f>
        <v>6.1499802771157477E-2</v>
      </c>
      <c r="ED130" s="22">
        <f t="shared" si="72"/>
        <v>117.36157757217043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-1.7053025658242404E-13</v>
      </c>
      <c r="EK130" s="17">
        <f>EJ130*VLOOKUP('Données projet'!$B$15,Paramètres!$A$1:$I$89,3,0)*VLOOKUP('Données projet'!$B$15,Paramètres!$A$1:$I$89,5,0)</f>
        <v>-1.0197709343628959E-13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225.86663363047296</v>
      </c>
      <c r="EP130" s="59">
        <f t="shared" si="100"/>
        <v>258.08349727304397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28.215763509227926</v>
      </c>
      <c r="EW130" s="21">
        <f>EXP(-LN(2)/25)*EW129+(1-EXP(-LN(2)/25))/(LN(2)/25)*Calculateur!ER130*Calculateur!ET130*VLOOKUP('Données projet'!$B$15,Paramètres!$A$1:$I$89,3,0)*0.475*44/12</f>
        <v>6.1653245449465919</v>
      </c>
      <c r="EX130" s="21">
        <f>EXP(-LN(2)/2)*EX129+(1-EXP(-LN(2)/2))/(LN(2)/2)*ER130*EU130*VLOOKUP('Données projet'!$B$15,Paramètres!$A$1:$I$89,3,0)*0.475*44/12</f>
        <v>7.362350819297099E-9</v>
      </c>
      <c r="EY130" s="22">
        <f t="shared" si="75"/>
        <v>34.381088061536872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388.12151914648013</v>
      </c>
      <c r="T131" s="59">
        <f t="shared" si="88"/>
        <v>481.43684454382793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42.776884357785377</v>
      </c>
      <c r="AA131" s="21">
        <f>EXP(-LN(2)/25)*AA130+(1-EXP(-LN(2)/25))/(LN(2)/25)*Calculateur!V131*Calculateur!X131*VLOOKUP('Données projet'!$B$9,Paramètres!$A$1:$I$89,3,0)*0.475*44/12</f>
        <v>8.3772304050945738</v>
      </c>
      <c r="AB131" s="21">
        <f>EXP(-LN(2)/2)*AB130+(1-EXP(-LN(2)/2))/(LN(2)/2)*V131*Y131*VLOOKUP('Données projet'!$B$9,Paramètres!$A$1:$I$89,3,0)*0.475*44/12</f>
        <v>1.1249257956229825E-9</v>
      </c>
      <c r="AC131" s="22">
        <f t="shared" si="57"/>
        <v>51.154114764004873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-1.3596945791505279E-13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349.71285006949597</v>
      </c>
      <c r="AO131" s="59">
        <f t="shared" si="90"/>
        <v>258.51550516456842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59.239154665147829</v>
      </c>
      <c r="AV131" s="21">
        <f>EXP(-LN(2)/25)*AV130+(1-EXP(-LN(2)/25))/(LN(2)/25)*Calculateur!AQ131*Calculateur!AS131*VLOOKUP('Données projet'!$B$10,Paramètres!$A$1:$I$89,3,0)*0.475*44/12</f>
        <v>13.673683881048529</v>
      </c>
      <c r="AW131" s="21">
        <f>EXP(-LN(2)/2)*AW130+(1-EXP(-LN(2)/2))/(LN(2)/2)*AQ131*AT131*VLOOKUP('Données projet'!$B$10,Paramètres!$A$1:$I$89,3,0)*0.475*44/12</f>
        <v>4.2150403738742296E-6</v>
      </c>
      <c r="AX131" s="21">
        <f t="shared" si="60"/>
        <v>72.912842761236732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8.5265128291212022E-14</v>
      </c>
      <c r="BE131" s="13">
        <f>BD131*VLOOKUP('Données projet'!$B$11,Paramètres!$A$1:$I$89,3,0)*VLOOKUP('Données projet'!$B$11,Paramètres!$A$1:$I$89,5,0)</f>
        <v>8.9119112089974823E-14</v>
      </c>
      <c r="BF131" s="13">
        <f t="shared" si="91"/>
        <v>1.3568952080113142E-12</v>
      </c>
      <c r="BG131" s="20">
        <f t="shared" si="61"/>
        <v>2.5184749408430782E-12</v>
      </c>
      <c r="BH131" s="59">
        <f t="shared" si="62"/>
        <v>293.33333333333582</v>
      </c>
      <c r="BI131" s="59">
        <f ca="1">AVERAGE(OFFSET($BH$3,0,0,'Données projet'!$E$11+1,1))-AVERAGE(OFFSET($H$3,0,0,'Données projet'!$E$11+1,1))</f>
        <v>260.74709892624571</v>
      </c>
      <c r="BJ131" s="59">
        <f t="shared" si="92"/>
        <v>237.17381692184887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10.223002039662385</v>
      </c>
      <c r="BQ131" s="21">
        <f>EXP(-LN(2)/25)*BQ130+(1-EXP(-LN(2)/25))/(LN(2)/25)*Calculateur!BL131*Calculateur!BN131*VLOOKUP('Données projet'!$B$11,Paramètres!$A$1:$I$89,3,0)*0.475*44/12</f>
        <v>20.909760915781032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31.132762955443418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10.745999999999999</v>
      </c>
      <c r="BY131" s="12">
        <f>IF('Données projet'!$A$114&gt;35,BY130+BX131-CG130,IF(A131&lt;'Données projet'!$A$114,$BV$205^A131,IF(A131='Données projet'!$A$114,'Données projet'!$B$114,BY130+BX131-CG130)))</f>
        <v>584.91800000000001</v>
      </c>
      <c r="BZ131" s="13">
        <f>BY131*VLOOKUP('Données projet'!$B$12,Paramètres!$A$1:$I$89,3,0)*VLOOKUP('Données projet'!$B$12,Paramètres!$A$1:$I$89,5,0)</f>
        <v>529.23380639999993</v>
      </c>
      <c r="CA131" s="13">
        <f t="shared" si="93"/>
        <v>117.53496031630661</v>
      </c>
      <c r="CB131" s="20">
        <f t="shared" si="64"/>
        <v>1126.4556020309005</v>
      </c>
      <c r="CC131" s="59">
        <f t="shared" si="65"/>
        <v>1419.7889353642338</v>
      </c>
      <c r="CD131" s="59">
        <f ca="1">AVERAGE(OFFSET($CC$3,0,0,'Données projet'!$E$12+1,1))-AVERAGE(OFFSET($H$3,0,0,'Données projet'!$E$12+1,1))</f>
        <v>695.0879239758051</v>
      </c>
      <c r="CE131" s="59">
        <f t="shared" si="94"/>
        <v>226.22150997227476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52.770759641117195</v>
      </c>
      <c r="CL131" s="21">
        <f>EXP(-LN(2)/25)*CL130+(1-EXP(-LN(2)/25))/(LN(2)/25)*Calculateur!CG131*Calculateur!CI131*VLOOKUP('Données projet'!$B$12,Paramètres!$A$1:$I$89,3,0)*0.475*44/12</f>
        <v>24.431847342961227</v>
      </c>
      <c r="CM131" s="21">
        <f>EXP(-LN(2)/2)*CM130+(1-EXP(-LN(2)/2))/(LN(2)/2)*CG131*CJ131*VLOOKUP('Données projet'!$B$12,Paramètres!$A$1:$I$89,3,0)*0.475*44/12</f>
        <v>1.1803236442471706E-5</v>
      </c>
      <c r="CN131" s="22">
        <f t="shared" si="66"/>
        <v>77.202618787314861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10.745999999999999</v>
      </c>
      <c r="CT131" s="12">
        <f>IF('Données projet'!$A$140&gt;35,CT130+CS131-DB130,IF(A131&lt;'Données projet'!$A$140,$CQ$205^A131,IF(A131='Données projet'!$A$140,'Données projet'!$B$140,CT130+CS131-DB130)))</f>
        <v>584.91800000000001</v>
      </c>
      <c r="CU131" s="17">
        <f>CT131*VLOOKUP('Données projet'!$B$13,Paramètres!$A$1:$I$89,3,0)*VLOOKUP('Données projet'!$B$13,Paramètres!$A$1:$I$89,5,0)</f>
        <v>593.106852</v>
      </c>
      <c r="CV131" s="13">
        <f t="shared" si="95"/>
        <v>129.98472863248662</v>
      </c>
      <c r="CW131" s="20">
        <f t="shared" si="67"/>
        <v>1259.3845029349141</v>
      </c>
      <c r="CX131" s="59">
        <f t="shared" si="68"/>
        <v>1552.7178362682473</v>
      </c>
      <c r="CY131" s="59">
        <f ca="1">AVERAGE(OFFSET($CX$3,0,0,'Données projet'!$E$13+1,1))-AVERAGE(OFFSET($H$3,0,0,'Données projet'!$E$13+1,1))</f>
        <v>773.15074145293738</v>
      </c>
      <c r="CZ131" s="59">
        <f t="shared" si="96"/>
        <v>248.49577986312505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59.139644425389953</v>
      </c>
      <c r="DG131" s="21">
        <f>EXP(-LN(2)/25)*DG130+(1-EXP(-LN(2)/25))/(LN(2)/25)*Calculateur!DB131*Calculateur!DD131*VLOOKUP('Données projet'!$B$13,Paramètres!$A$1:$I$89,3,0)*0.475*44/12</f>
        <v>27.380518574008278</v>
      </c>
      <c r="DH131" s="21">
        <f>EXP(-LN(2)/2)*DH130+(1-EXP(-LN(2)/2))/(LN(2)/2)*DB131*DE131*VLOOKUP('Données projet'!$B$13,Paramètres!$A$1:$I$89,3,0)*0.475*44/12</f>
        <v>1.3227764978632093E-5</v>
      </c>
      <c r="DI131" s="22">
        <f t="shared" si="69"/>
        <v>86.520176227163205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3.4106051316484809E-13</v>
      </c>
      <c r="DP131" s="17">
        <f>DO131*VLOOKUP('Données projet'!$B$14,Paramètres!$A$1:$I$89,3,0)*VLOOKUP('Données projet'!$B$14,Paramètres!$A$1:$I$89,5,0)</f>
        <v>1.5961632016114892E-13</v>
      </c>
      <c r="DQ131" s="13">
        <f t="shared" si="97"/>
        <v>2.2708641912150958E-12</v>
      </c>
      <c r="DR131" s="20">
        <f t="shared" si="70"/>
        <v>4.2330868906469593E-12</v>
      </c>
      <c r="DS131" s="59">
        <f t="shared" si="71"/>
        <v>293.33333333333752</v>
      </c>
      <c r="DT131" s="59">
        <f ca="1">AVERAGE(OFFSET($DS$3,0,0,'Données projet'!$E$14+1,1))-AVERAGE(OFFSET($H$3,0,0,'Données projet'!$E$14+1,1))</f>
        <v>293.15557501692803</v>
      </c>
      <c r="DU131" s="59">
        <f t="shared" si="98"/>
        <v>237.1930412773068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90.071192398701371</v>
      </c>
      <c r="EB131" s="21">
        <f>EXP(-LN(2)/25)*EB130+(1-EXP(-LN(2)/25))/(LN(2)/25)*Calculateur!DW131*Calculateur!DY131*VLOOKUP('Données projet'!$B$14,Paramètres!$A$1:$I$89,3,0)*0.475*44/12</f>
        <v>24.732005251733245</v>
      </c>
      <c r="EC131" s="21">
        <f>EXP(-LN(2)/2)*EC130+(1-EXP(-LN(2)/2))/(LN(2)/2)*DW131*DZ131*VLOOKUP('Données projet'!$B$14,Paramètres!$A$1:$I$89,3,0)*0.475*44/12</f>
        <v>4.3486927581120681E-2</v>
      </c>
      <c r="ED131" s="22">
        <f t="shared" si="72"/>
        <v>114.84668457801573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-1.7053025658242404E-13</v>
      </c>
      <c r="EK131" s="17">
        <f>EJ131*VLOOKUP('Données projet'!$B$15,Paramètres!$A$1:$I$89,3,0)*VLOOKUP('Données projet'!$B$15,Paramètres!$A$1:$I$89,5,0)</f>
        <v>-1.0197709343628959E-13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225.86663363047296</v>
      </c>
      <c r="EP131" s="59">
        <f t="shared" si="100"/>
        <v>258.08349727304397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27.662469596728368</v>
      </c>
      <c r="EW131" s="21">
        <f>EXP(-LN(2)/25)*EW130+(1-EXP(-LN(2)/25))/(LN(2)/25)*Calculateur!ER131*Calculateur!ET131*VLOOKUP('Données projet'!$B$15,Paramètres!$A$1:$I$89,3,0)*0.475*44/12</f>
        <v>5.9967334210447003</v>
      </c>
      <c r="EX131" s="21">
        <f>EXP(-LN(2)/2)*EX130+(1-EXP(-LN(2)/2))/(LN(2)/2)*ER131*EU131*VLOOKUP('Données projet'!$B$15,Paramètres!$A$1:$I$89,3,0)*0.475*44/12</f>
        <v>5.2059681897993131E-9</v>
      </c>
      <c r="EY131" s="22">
        <f t="shared" si="75"/>
        <v>33.659203022979035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388.12151914648013</v>
      </c>
      <c r="T132" s="59">
        <f t="shared" si="88"/>
        <v>481.43684454382793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41.938055746852363</v>
      </c>
      <c r="AA132" s="21">
        <f>EXP(-LN(2)/25)*AA131+(1-EXP(-LN(2)/25))/(LN(2)/25)*Calculateur!V132*Calculateur!X132*VLOOKUP('Données projet'!$B$9,Paramètres!$A$1:$I$89,3,0)*0.475*44/12</f>
        <v>8.1481545991278619</v>
      </c>
      <c r="AB132" s="21">
        <f>EXP(-LN(2)/2)*AB131+(1-EXP(-LN(2)/2))/(LN(2)/2)*V132*Y132*VLOOKUP('Données projet'!$B$9,Paramètres!$A$1:$I$89,3,0)*0.475*44/12</f>
        <v>7.954426584166832E-10</v>
      </c>
      <c r="AC132" s="22">
        <f t="shared" ref="AC132:AC153" si="111">SUM(Z132:AB132)</f>
        <v>50.086210346775673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-1.3596945791505279E-13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349.71285006949597</v>
      </c>
      <c r="AO132" s="59">
        <f t="shared" si="90"/>
        <v>258.51550516456842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58.077510974480859</v>
      </c>
      <c r="AV132" s="21">
        <f>EXP(-LN(2)/25)*AV131+(1-EXP(-LN(2)/25))/(LN(2)/25)*Calculateur!AQ132*Calculateur!AS132*VLOOKUP('Données projet'!$B$10,Paramètres!$A$1:$I$89,3,0)*0.475*44/12</f>
        <v>13.299776276253473</v>
      </c>
      <c r="AW132" s="21">
        <f>EXP(-LN(2)/2)*AW131+(1-EXP(-LN(2)/2))/(LN(2)/2)*AQ132*AT132*VLOOKUP('Données projet'!$B$10,Paramètres!$A$1:$I$89,3,0)*0.475*44/12</f>
        <v>2.9804836313415484E-6</v>
      </c>
      <c r="AX132" s="21">
        <f t="shared" ref="AX132:AX153" si="114">SUM(AU132:AW132)</f>
        <v>71.377290231217955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8.5265128291212022E-14</v>
      </c>
      <c r="BE132" s="13">
        <f>BD132*VLOOKUP('Données projet'!$B$11,Paramètres!$A$1:$I$89,3,0)*VLOOKUP('Données projet'!$B$11,Paramètres!$A$1:$I$89,5,0)</f>
        <v>8.9119112089974823E-14</v>
      </c>
      <c r="BF132" s="13">
        <f t="shared" si="91"/>
        <v>1.3568952080113142E-12</v>
      </c>
      <c r="BG132" s="20">
        <f t="shared" ref="BG132:BG153" si="115">(BE132+BF132)*0.475*44/12</f>
        <v>2.5184749408430782E-12</v>
      </c>
      <c r="BH132" s="59">
        <f t="shared" ref="BH132:BH195" si="116">BG132+(AY132+AZ132)*44/12</f>
        <v>293.33333333333582</v>
      </c>
      <c r="BI132" s="59">
        <f ca="1">AVERAGE(OFFSET($BH$3,0,0,'Données projet'!$E$11+1,1))-AVERAGE(OFFSET($H$3,0,0,'Données projet'!$E$11+1,1))</f>
        <v>260.74709892624571</v>
      </c>
      <c r="BJ132" s="59">
        <f t="shared" si="92"/>
        <v>237.17381692184887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10.022535205080153</v>
      </c>
      <c r="BQ132" s="21">
        <f>EXP(-LN(2)/25)*BQ131+(1-EXP(-LN(2)/25))/(LN(2)/25)*Calculateur!BL132*Calculateur!BN132*VLOOKUP('Données projet'!$B$11,Paramètres!$A$1:$I$89,3,0)*0.475*44/12</f>
        <v>20.337982403942462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30.360517609022615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10.745999999999999</v>
      </c>
      <c r="BY132" s="12">
        <f>IF('Données projet'!$A$114&gt;35,BY131+BX132-CG131,IF(A132&lt;'Données projet'!$A$114,$BV$205^A132,IF(A132='Données projet'!$A$114,'Données projet'!$B$114,BY131+BX132-CG131)))</f>
        <v>595.66399999999999</v>
      </c>
      <c r="BZ132" s="13">
        <f>BY132*VLOOKUP('Données projet'!$B$12,Paramètres!$A$1:$I$89,3,0)*VLOOKUP('Données projet'!$B$12,Paramètres!$A$1:$I$89,5,0)</f>
        <v>538.95678720000001</v>
      </c>
      <c r="CA132" s="13">
        <f t="shared" si="93"/>
        <v>119.44091757198787</v>
      </c>
      <c r="CB132" s="20">
        <f t="shared" ref="CB132:CB153" si="118">(BZ132+CA132)*0.475*44/12</f>
        <v>1146.709335811212</v>
      </c>
      <c r="CC132" s="59">
        <f t="shared" ref="CC132:CC195" si="119">CB132+(BT132+BU132)*44/12</f>
        <v>1440.0426691445452</v>
      </c>
      <c r="CD132" s="59">
        <f ca="1">AVERAGE(OFFSET($CC$3,0,0,'Données projet'!$E$12+1,1))-AVERAGE(OFFSET($H$3,0,0,'Données projet'!$E$12+1,1))</f>
        <v>695.0879239758051</v>
      </c>
      <c r="CE132" s="59">
        <f t="shared" si="94"/>
        <v>226.22150997227476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51.73595723154007</v>
      </c>
      <c r="CL132" s="21">
        <f>EXP(-LN(2)/25)*CL131+(1-EXP(-LN(2)/25))/(LN(2)/25)*Calculateur!CG132*Calculateur!CI132*VLOOKUP('Données projet'!$B$12,Paramètres!$A$1:$I$89,3,0)*0.475*44/12</f>
        <v>23.763757192552941</v>
      </c>
      <c r="CM132" s="21">
        <f>EXP(-LN(2)/2)*CM131+(1-EXP(-LN(2)/2))/(LN(2)/2)*CG132*CJ132*VLOOKUP('Données projet'!$B$12,Paramètres!$A$1:$I$89,3,0)*0.475*44/12</f>
        <v>8.3461485284199245E-6</v>
      </c>
      <c r="CN132" s="22">
        <f t="shared" ref="CN132:CN153" si="120">SUM(CK132:CM132)</f>
        <v>75.499722770241547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10.745999999999999</v>
      </c>
      <c r="CT132" s="12">
        <f>IF('Données projet'!$A$140&gt;35,CT131+CS132-DB131,IF(A132&lt;'Données projet'!$A$140,$CQ$205^A132,IF(A132='Données projet'!$A$140,'Données projet'!$B$140,CT131+CS132-DB131)))</f>
        <v>595.66399999999999</v>
      </c>
      <c r="CU132" s="17">
        <f>CT132*VLOOKUP('Données projet'!$B$13,Paramètres!$A$1:$I$89,3,0)*VLOOKUP('Données projet'!$B$13,Paramètres!$A$1:$I$89,5,0)</f>
        <v>604.00329599999998</v>
      </c>
      <c r="CV132" s="13">
        <f t="shared" si="95"/>
        <v>132.0925724263511</v>
      </c>
      <c r="CW132" s="20">
        <f t="shared" ref="CW132:CW153" si="121">(CU132+CV132)*0.475*44/12</f>
        <v>1282.0336375092281</v>
      </c>
      <c r="CX132" s="59">
        <f t="shared" ref="CX132:CX195" si="122">CW132+(CO132+CP132)*44/12</f>
        <v>1575.3669708425614</v>
      </c>
      <c r="CY132" s="59">
        <f ca="1">AVERAGE(OFFSET($CX$3,0,0,'Données projet'!$E$13+1,1))-AVERAGE(OFFSET($H$3,0,0,'Données projet'!$E$13+1,1))</f>
        <v>773.15074145293738</v>
      </c>
      <c r="CZ132" s="59">
        <f t="shared" si="96"/>
        <v>248.49577986312505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57.97995206982938</v>
      </c>
      <c r="DG132" s="21">
        <f>EXP(-LN(2)/25)*DG131+(1-EXP(-LN(2)/25))/(LN(2)/25)*Calculateur!DB132*Calculateur!DD132*VLOOKUP('Données projet'!$B$13,Paramètres!$A$1:$I$89,3,0)*0.475*44/12</f>
        <v>26.631796853723127</v>
      </c>
      <c r="DH132" s="21">
        <f>EXP(-LN(2)/2)*DH131+(1-EXP(-LN(2)/2))/(LN(2)/2)*DB132*DE132*VLOOKUP('Données projet'!$B$13,Paramètres!$A$1:$I$89,3,0)*0.475*44/12</f>
        <v>9.3534423163326797E-6</v>
      </c>
      <c r="DI132" s="22">
        <f t="shared" ref="DI132:DI153" si="123">SUM(DF132:DH132)</f>
        <v>84.611758276994834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3.4106051316484809E-13</v>
      </c>
      <c r="DP132" s="17">
        <f>DO132*VLOOKUP('Données projet'!$B$14,Paramètres!$A$1:$I$89,3,0)*VLOOKUP('Données projet'!$B$14,Paramètres!$A$1:$I$89,5,0)</f>
        <v>1.5961632016114892E-13</v>
      </c>
      <c r="DQ132" s="13">
        <f t="shared" si="97"/>
        <v>2.2708641912150958E-12</v>
      </c>
      <c r="DR132" s="20">
        <f t="shared" ref="DR132:DR153" si="124">(DP132+DQ132)*0.475*44/12</f>
        <v>4.2330868906469593E-12</v>
      </c>
      <c r="DS132" s="59">
        <f t="shared" ref="DS132:DS195" si="125">DR132+(DJ132+DK132)*44/12</f>
        <v>293.33333333333752</v>
      </c>
      <c r="DT132" s="59">
        <f ca="1">AVERAGE(OFFSET($DS$3,0,0,'Données projet'!$E$14+1,1))-AVERAGE(OFFSET($H$3,0,0,'Données projet'!$E$14+1,1))</f>
        <v>293.15557501692803</v>
      </c>
      <c r="DU132" s="59">
        <f t="shared" si="98"/>
        <v>237.1930412773068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88.304951253765523</v>
      </c>
      <c r="EB132" s="21">
        <f>EXP(-LN(2)/25)*EB131+(1-EXP(-LN(2)/25))/(LN(2)/25)*Calculateur!DW132*Calculateur!DY132*VLOOKUP('Données projet'!$B$14,Paramètres!$A$1:$I$89,3,0)*0.475*44/12</f>
        <v>24.055707267524969</v>
      </c>
      <c r="EC132" s="21">
        <f>EXP(-LN(2)/2)*EC131+(1-EXP(-LN(2)/2))/(LN(2)/2)*DW132*DZ132*VLOOKUP('Données projet'!$B$14,Paramètres!$A$1:$I$89,3,0)*0.475*44/12</f>
        <v>3.0749901385578742E-2</v>
      </c>
      <c r="ED132" s="22">
        <f t="shared" ref="ED132:ED153" si="126">SUM(EA132:EC132)</f>
        <v>112.39140842267607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-1.7053025658242404E-13</v>
      </c>
      <c r="EK132" s="17">
        <f>EJ132*VLOOKUP('Données projet'!$B$15,Paramètres!$A$1:$I$89,3,0)*VLOOKUP('Données projet'!$B$15,Paramètres!$A$1:$I$89,5,0)</f>
        <v>-1.0197709343628959E-13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225.86663363047296</v>
      </c>
      <c r="EP132" s="59">
        <f t="shared" si="100"/>
        <v>258.08349727304397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27.120025440376963</v>
      </c>
      <c r="EW132" s="21">
        <f>EXP(-LN(2)/25)*EW131+(1-EXP(-LN(2)/25))/(LN(2)/25)*Calculateur!ER132*Calculateur!ET132*VLOOKUP('Données projet'!$B$15,Paramètres!$A$1:$I$89,3,0)*0.475*44/12</f>
        <v>5.8327524302917277</v>
      </c>
      <c r="EX132" s="21">
        <f>EXP(-LN(2)/2)*EX131+(1-EXP(-LN(2)/2))/(LN(2)/2)*ER132*EU132*VLOOKUP('Données projet'!$B$15,Paramètres!$A$1:$I$89,3,0)*0.475*44/12</f>
        <v>3.6811754096485499E-9</v>
      </c>
      <c r="EY132" s="22">
        <f t="shared" ref="EY132:EY153" si="129">SUM(EV132:EX132)</f>
        <v>32.952777874349863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388.12151914648013</v>
      </c>
      <c r="T133" s="59">
        <f t="shared" ref="T133:T196" si="142">$T$3</f>
        <v>481.43684454382793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41.115676053344806</v>
      </c>
      <c r="AA133" s="21">
        <f>EXP(-LN(2)/25)*AA132+(1-EXP(-LN(2)/25))/(LN(2)/25)*Calculateur!V133*Calculateur!X133*VLOOKUP('Données projet'!$B$9,Paramètres!$A$1:$I$89,3,0)*0.475*44/12</f>
        <v>7.9253428831218828</v>
      </c>
      <c r="AB133" s="21">
        <f>EXP(-LN(2)/2)*AB132+(1-EXP(-LN(2)/2))/(LN(2)/2)*V133*Y133*VLOOKUP('Données projet'!$B$9,Paramètres!$A$1:$I$89,3,0)*0.475*44/12</f>
        <v>5.6246289781149127E-10</v>
      </c>
      <c r="AC133" s="22">
        <f t="shared" si="111"/>
        <v>49.041018937029158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-1.3596945791505279E-13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349.71285006949597</v>
      </c>
      <c r="AO133" s="59">
        <f t="shared" ref="AO133:AO196" si="144">$AO$3</f>
        <v>258.51550516456842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56.938646408055178</v>
      </c>
      <c r="AV133" s="21">
        <f>EXP(-LN(2)/25)*AV132+(1-EXP(-LN(2)/25))/(LN(2)/25)*Calculateur!AQ133*Calculateur!AS133*VLOOKUP('Données projet'!$B$10,Paramètres!$A$1:$I$89,3,0)*0.475*44/12</f>
        <v>12.936093194574484</v>
      </c>
      <c r="AW133" s="21">
        <f>EXP(-LN(2)/2)*AW132+(1-EXP(-LN(2)/2))/(LN(2)/2)*AQ133*AT133*VLOOKUP('Données projet'!$B$10,Paramètres!$A$1:$I$89,3,0)*0.475*44/12</f>
        <v>2.1075201869371148E-6</v>
      </c>
      <c r="AX133" s="21">
        <f t="shared" si="114"/>
        <v>69.874741710149848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8.5265128291212022E-14</v>
      </c>
      <c r="BE133" s="13">
        <f>BD133*VLOOKUP('Données projet'!$B$11,Paramètres!$A$1:$I$89,3,0)*VLOOKUP('Données projet'!$B$11,Paramètres!$A$1:$I$89,5,0)</f>
        <v>8.9119112089974823E-14</v>
      </c>
      <c r="BF133" s="13">
        <f t="shared" ref="BF133:BF153" si="145">EXP(-1.0587+0.8836*LN(BE133)+0.284)</f>
        <v>1.3568952080113142E-12</v>
      </c>
      <c r="BG133" s="20">
        <f t="shared" si="115"/>
        <v>2.5184749408430782E-12</v>
      </c>
      <c r="BH133" s="59">
        <f t="shared" si="116"/>
        <v>293.33333333333582</v>
      </c>
      <c r="BI133" s="59">
        <f ca="1">AVERAGE(OFFSET($BH$3,0,0,'Données projet'!$E$11+1,1))-AVERAGE(OFFSET($H$3,0,0,'Données projet'!$E$11+1,1))</f>
        <v>260.74709892624571</v>
      </c>
      <c r="BJ133" s="59">
        <f t="shared" ref="BJ133:BJ196" si="146">$BJ$3</f>
        <v>237.17381692184887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9.8259994028513837</v>
      </c>
      <c r="BQ133" s="21">
        <f>EXP(-LN(2)/25)*BQ132+(1-EXP(-LN(2)/25))/(LN(2)/25)*Calculateur!BL133*Calculateur!BN133*VLOOKUP('Données projet'!$B$11,Paramètres!$A$1:$I$89,3,0)*0.475*44/12</f>
        <v>19.781839205578645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29.607838608430029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606.41</v>
      </c>
      <c r="BW133" s="12">
        <f>VLOOKUP(A133,'Données projet'!$A$113:$I$133,9,0)</f>
        <v>10.745999999999999</v>
      </c>
      <c r="BX133" s="12">
        <f t="array" ref="BX133">INDEX(BW:BW,MIN(IF(ISNUMBER(BW133:BW329),ROW(BW133:BW329),"")))</f>
        <v>10.745999999999999</v>
      </c>
      <c r="BY133" s="12">
        <f>IF('Données projet'!$A$114&gt;35,BY132+BX133-CG132,IF(A133&lt;'Données projet'!$A$114,$BV$205^A133,IF(A133='Données projet'!$A$114,'Données projet'!$B$114,BY132+BX133-CG132)))</f>
        <v>606.41</v>
      </c>
      <c r="BZ133" s="13">
        <f>BY133*VLOOKUP('Données projet'!$B$12,Paramètres!$A$1:$I$89,3,0)*VLOOKUP('Données projet'!$B$12,Paramètres!$A$1:$I$89,5,0)</f>
        <v>548.67976799999997</v>
      </c>
      <c r="CA133" s="13">
        <f t="shared" ref="CA133:CA153" si="147">EXP(-1.0587+0.8836*LN(BZ133)+0.284)</f>
        <v>121.34287647942783</v>
      </c>
      <c r="CB133" s="20">
        <f t="shared" si="118"/>
        <v>1166.95610580167</v>
      </c>
      <c r="CC133" s="59">
        <f t="shared" si="119"/>
        <v>1460.2894391350032</v>
      </c>
      <c r="CD133" s="59">
        <f ca="1">AVERAGE(OFFSET($CC$3,0,0,'Données projet'!$E$12+1,1))-AVERAGE(OFFSET($H$3,0,0,'Données projet'!$E$12+1,1))</f>
        <v>695.0879239758051</v>
      </c>
      <c r="CE133" s="59">
        <f t="shared" ref="CE133:CE196" si="148">$CE$3</f>
        <v>226.22150997227476</v>
      </c>
      <c r="CF133" s="15">
        <f>IF(ISNA(VLOOKUP(A133,'Données projet'!$A$113:$I$133,3,0)),0,VLOOKUP(A133,'Données projet'!$A$113:$I$133,3,0))</f>
        <v>12</v>
      </c>
      <c r="CG133" s="15">
        <f>IF(ISNA(VLOOKUP(A133,'Données projet'!$A$113:$I$133,4,0)),0,VLOOKUP(A133,'Données projet'!$A$113:$I$133,4,0))</f>
        <v>75.799999999999955</v>
      </c>
      <c r="CH133" s="16">
        <f>IF(ISNA(VLOOKUP(A133,'Données projet'!$A$113:$I$133,5,0)),0%,VLOOKUP(A133,'Données projet'!$A$113:$I$133,5,0)*VLOOKUP('Données projet'!$B$12,Paramètres!$A$1:$I$89,7,0))</f>
        <v>0.215</v>
      </c>
      <c r="CI133" s="16">
        <f>IF(ISNA(VLOOKUP(A133,'Données projet'!$A$113:$I$133,6,0)),0%,VLOOKUP(A133,'Données projet'!$A$113:$I$133,6,0)*VLOOKUP('Données projet'!$B$12,Paramètres!$A$1:$I$89,7,0))</f>
        <v>8.6000000000000007E-2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67.022188447492425</v>
      </c>
      <c r="CL133" s="21">
        <f>EXP(-LN(2)/25)*CL132+(1-EXP(-LN(2)/25))/(LN(2)/25)*Calculateur!CG133*Calculateur!CI133*VLOOKUP('Données projet'!$B$12,Paramètres!$A$1:$I$89,3,0)*0.475*44/12</f>
        <v>29.608559822433588</v>
      </c>
      <c r="CM133" s="21">
        <f>EXP(-LN(2)/2)*CM132+(1-EXP(-LN(2)/2))/(LN(2)/2)*CG133*CJ133*VLOOKUP('Données projet'!$B$12,Paramètres!$A$1:$I$89,3,0)*0.475*44/12</f>
        <v>5.9016182212358532E-6</v>
      </c>
      <c r="CN133" s="22">
        <f t="shared" si="120"/>
        <v>96.63075417154424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606.41</v>
      </c>
      <c r="CR133" s="12">
        <f>VLOOKUP(A133,'Données projet'!$A$139:$I$159,9,0)</f>
        <v>10.745999999999999</v>
      </c>
      <c r="CS133" s="12">
        <f t="array" ref="CS133">INDEX(CR:CR,MIN(IF(ISNUMBER(CR133:CR329),ROW(CR133:CR329),"")))</f>
        <v>10.745999999999999</v>
      </c>
      <c r="CT133" s="12">
        <f>IF('Données projet'!$A$140&gt;35,CT132+CS133-DB132,IF(A133&lt;'Données projet'!$A$140,$CQ$205^A133,IF(A133='Données projet'!$A$140,'Données projet'!$B$140,CT132+CS133-DB132)))</f>
        <v>606.41</v>
      </c>
      <c r="CU133" s="17">
        <f>CT133*VLOOKUP('Données projet'!$B$13,Paramètres!$A$1:$I$89,3,0)*VLOOKUP('Données projet'!$B$13,Paramètres!$A$1:$I$89,5,0)</f>
        <v>614.89973999999995</v>
      </c>
      <c r="CV133" s="13">
        <f t="shared" ref="CV133:CV153" si="149">EXP(-1.0587+0.8836*LN(CU133)+0.284)</f>
        <v>134.19599435109939</v>
      </c>
      <c r="CW133" s="20">
        <f t="shared" si="121"/>
        <v>1304.6750706614978</v>
      </c>
      <c r="CX133" s="59">
        <f t="shared" si="122"/>
        <v>1598.008403994831</v>
      </c>
      <c r="CY133" s="59">
        <f ca="1">AVERAGE(OFFSET($CX$3,0,0,'Données projet'!$E$13+1,1))-AVERAGE(OFFSET($H$3,0,0,'Données projet'!$E$13+1,1))</f>
        <v>773.15074145293738</v>
      </c>
      <c r="CZ133" s="59">
        <f t="shared" ref="CZ133:CZ196" si="150">$CZ$3</f>
        <v>248.49577986312505</v>
      </c>
      <c r="DA133" s="15">
        <f>IF(ISNA(VLOOKUP(A133,'Données projet'!$A$139:$I$159,3,0)),0,VLOOKUP(A133,'Données projet'!$A$139:$I$159,3,0))</f>
        <v>12</v>
      </c>
      <c r="DB133" s="15">
        <f>IF(ISNA(VLOOKUP(A133,'Données projet'!$A$139:$I$159,4,0)),0,VLOOKUP(A133,'Données projet'!$A$139:$I$159,4,0))</f>
        <v>75.799999999999955</v>
      </c>
      <c r="DC133" s="16">
        <f>IF(ISNA(VLOOKUP(A133,'Données projet'!$A$139:$I$159,5,0)),0%,VLOOKUP(A133,'Données projet'!$A$139:$I$159,5,0)*VLOOKUP('Données projet'!$B$13,Paramètres!$A$1:$I$89,7,0))</f>
        <v>0.215</v>
      </c>
      <c r="DD133" s="16">
        <f>IF(ISNA(VLOOKUP(A133,'Données projet'!$A$139:$I$159,6,0)),0%,VLOOKUP(A133,'Données projet'!$A$139:$I$159,6,0)*VLOOKUP('Données projet'!$B$13,Paramètres!$A$1:$I$89,7,0))</f>
        <v>8.6000000000000007E-2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75.111073260120818</v>
      </c>
      <c r="DG133" s="21">
        <f>EXP(-LN(2)/25)*DG132+(1-EXP(-LN(2)/25))/(LN(2)/25)*Calculateur!DB133*Calculateur!DD133*VLOOKUP('Données projet'!$B$13,Paramètres!$A$1:$I$89,3,0)*0.475*44/12</f>
        <v>33.18200669755489</v>
      </c>
      <c r="DH133" s="21">
        <f>EXP(-LN(2)/2)*DH132+(1-EXP(-LN(2)/2))/(LN(2)/2)*DB133*DE133*VLOOKUP('Données projet'!$B$13,Paramètres!$A$1:$I$89,3,0)*0.475*44/12</f>
        <v>6.6138824893160464E-6</v>
      </c>
      <c r="DI133" s="22">
        <f t="shared" si="123"/>
        <v>108.29308657155819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3.4106051316484809E-13</v>
      </c>
      <c r="DP133" s="17">
        <f>DO133*VLOOKUP('Données projet'!$B$14,Paramètres!$A$1:$I$89,3,0)*VLOOKUP('Données projet'!$B$14,Paramètres!$A$1:$I$89,5,0)</f>
        <v>1.5961632016114892E-13</v>
      </c>
      <c r="DQ133" s="13">
        <f t="shared" ref="DQ133:DQ153" si="151">EXP(-1.0587+0.8836*LN(DP133)+0.284)</f>
        <v>2.2708641912150958E-12</v>
      </c>
      <c r="DR133" s="20">
        <f t="shared" si="124"/>
        <v>4.2330868906469593E-12</v>
      </c>
      <c r="DS133" s="59">
        <f t="shared" si="125"/>
        <v>293.33333333333752</v>
      </c>
      <c r="DT133" s="59">
        <f ca="1">AVERAGE(OFFSET($DS$3,0,0,'Données projet'!$E$14+1,1))-AVERAGE(OFFSET($H$3,0,0,'Données projet'!$E$14+1,1))</f>
        <v>293.15557501692803</v>
      </c>
      <c r="DU133" s="59">
        <f t="shared" ref="DU133:DU196" si="152">$DU$3</f>
        <v>237.1930412773068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86.57334502038114</v>
      </c>
      <c r="EB133" s="21">
        <f>EXP(-LN(2)/25)*EB132+(1-EXP(-LN(2)/25))/(LN(2)/25)*Calculateur!DW133*Calculateur!DY133*VLOOKUP('Données projet'!$B$14,Paramètres!$A$1:$I$89,3,0)*0.475*44/12</f>
        <v>23.397902687259833</v>
      </c>
      <c r="EC133" s="21">
        <f>EXP(-LN(2)/2)*EC132+(1-EXP(-LN(2)/2))/(LN(2)/2)*DW133*DZ133*VLOOKUP('Données projet'!$B$14,Paramètres!$A$1:$I$89,3,0)*0.475*44/12</f>
        <v>2.1743463790560344E-2</v>
      </c>
      <c r="ED133" s="22">
        <f t="shared" si="126"/>
        <v>109.99299117143153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-1.7053025658242404E-13</v>
      </c>
      <c r="EK133" s="17">
        <f>EJ133*VLOOKUP('Données projet'!$B$15,Paramètres!$A$1:$I$89,3,0)*VLOOKUP('Données projet'!$B$15,Paramètres!$A$1:$I$89,5,0)</f>
        <v>-1.0197709343628959E-13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225.86663363047296</v>
      </c>
      <c r="EP133" s="59">
        <f t="shared" ref="EP133:EP196" si="154">$EP$3</f>
        <v>258.08349727304397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26.588218283073346</v>
      </c>
      <c r="EW133" s="21">
        <f>EXP(-LN(2)/25)*EW132+(1-EXP(-LN(2)/25))/(LN(2)/25)*Calculateur!ER133*Calculateur!ET133*VLOOKUP('Données projet'!$B$15,Paramètres!$A$1:$I$89,3,0)*0.475*44/12</f>
        <v>5.6732555083542815</v>
      </c>
      <c r="EX133" s="21">
        <f>EXP(-LN(2)/2)*EX132+(1-EXP(-LN(2)/2))/(LN(2)/2)*ER133*EU133*VLOOKUP('Données projet'!$B$15,Paramètres!$A$1:$I$89,3,0)*0.475*44/12</f>
        <v>2.602984094899657E-9</v>
      </c>
      <c r="EY133" s="22">
        <f t="shared" si="129"/>
        <v>32.261473794030607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388.12151914648013</v>
      </c>
      <c r="T134" s="59">
        <f t="shared" si="142"/>
        <v>481.43684454382793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40.309422724024849</v>
      </c>
      <c r="AA134" s="21">
        <f>EXP(-LN(2)/25)*AA133+(1-EXP(-LN(2)/25))/(LN(2)/25)*Calculateur!V134*Calculateur!X134*VLOOKUP('Données projet'!$B$9,Paramètres!$A$1:$I$89,3,0)*0.475*44/12</f>
        <v>7.7086239652072459</v>
      </c>
      <c r="AB134" s="21">
        <f>EXP(-LN(2)/2)*AB133+(1-EXP(-LN(2)/2))/(LN(2)/2)*V134*Y134*VLOOKUP('Données projet'!$B$9,Paramètres!$A$1:$I$89,3,0)*0.475*44/12</f>
        <v>3.977213292083416E-10</v>
      </c>
      <c r="AC134" s="22">
        <f t="shared" si="111"/>
        <v>48.018046689629813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-1.3596945791505279E-13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349.71285006949597</v>
      </c>
      <c r="AO134" s="59">
        <f t="shared" si="144"/>
        <v>258.51550516456842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55.822114281138305</v>
      </c>
      <c r="AV134" s="21">
        <f>EXP(-LN(2)/25)*AV133+(1-EXP(-LN(2)/25))/(LN(2)/25)*Calculateur!AQ134*Calculateur!AS134*VLOOKUP('Données projet'!$B$10,Paramètres!$A$1:$I$89,3,0)*0.475*44/12</f>
        <v>12.582355045889269</v>
      </c>
      <c r="AW134" s="21">
        <f>EXP(-LN(2)/2)*AW133+(1-EXP(-LN(2)/2))/(LN(2)/2)*AQ134*AT134*VLOOKUP('Données projet'!$B$10,Paramètres!$A$1:$I$89,3,0)*0.475*44/12</f>
        <v>1.4902418156707742E-6</v>
      </c>
      <c r="AX134" s="21">
        <f t="shared" si="114"/>
        <v>68.404470817269384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8.5265128291212022E-14</v>
      </c>
      <c r="BE134" s="13">
        <f>BD134*VLOOKUP('Données projet'!$B$11,Paramètres!$A$1:$I$89,3,0)*VLOOKUP('Données projet'!$B$11,Paramètres!$A$1:$I$89,5,0)</f>
        <v>8.9119112089974823E-14</v>
      </c>
      <c r="BF134" s="13">
        <f t="shared" si="145"/>
        <v>1.3568952080113142E-12</v>
      </c>
      <c r="BG134" s="20">
        <f t="shared" si="115"/>
        <v>2.5184749408430782E-12</v>
      </c>
      <c r="BH134" s="59">
        <f t="shared" si="116"/>
        <v>293.33333333333582</v>
      </c>
      <c r="BI134" s="59">
        <f ca="1">AVERAGE(OFFSET($BH$3,0,0,'Données projet'!$E$11+1,1))-AVERAGE(OFFSET($H$3,0,0,'Données projet'!$E$11+1,1))</f>
        <v>260.74709892624571</v>
      </c>
      <c r="BJ134" s="59">
        <f t="shared" si="146"/>
        <v>237.17381692184887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9.6333175478293178</v>
      </c>
      <c r="BQ134" s="21">
        <f>EXP(-LN(2)/25)*BQ133+(1-EXP(-LN(2)/25))/(LN(2)/25)*Calculateur!BL134*Calculateur!BN134*VLOOKUP('Données projet'!$B$11,Paramètres!$A$1:$I$89,3,0)*0.475*44/12</f>
        <v>19.240903772220385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28.874221320049703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10.843999999999994</v>
      </c>
      <c r="BY134" s="12">
        <f>IF('Données projet'!$A$114&gt;35,BY133+BX134-CG133,IF(A134&lt;'Données projet'!$A$114,$BV$205^A134,IF(A134='Données projet'!$A$114,'Données projet'!$B$114,BY133+BX134-CG133)))</f>
        <v>541.45399999999995</v>
      </c>
      <c r="BZ134" s="13">
        <f>BY134*VLOOKUP('Données projet'!$B$12,Paramètres!$A$1:$I$89,3,0)*VLOOKUP('Données projet'!$B$12,Paramètres!$A$1:$I$89,5,0)</f>
        <v>489.90757919999993</v>
      </c>
      <c r="CA134" s="13">
        <f t="shared" si="147"/>
        <v>109.78346531715303</v>
      </c>
      <c r="CB134" s="20">
        <f t="shared" si="118"/>
        <v>1044.4619025340414</v>
      </c>
      <c r="CC134" s="59">
        <f t="shared" si="119"/>
        <v>1337.7952358673747</v>
      </c>
      <c r="CD134" s="59">
        <f ca="1">AVERAGE(OFFSET($CC$3,0,0,'Données projet'!$E$12+1,1))-AVERAGE(OFFSET($H$3,0,0,'Données projet'!$E$12+1,1))</f>
        <v>695.0879239758051</v>
      </c>
      <c r="CE134" s="59">
        <f t="shared" si="148"/>
        <v>226.22150997227476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65.707924211535541</v>
      </c>
      <c r="CL134" s="21">
        <f>EXP(-LN(2)/25)*CL133+(1-EXP(-LN(2)/25))/(LN(2)/25)*Calculateur!CG134*Calculateur!CI134*VLOOKUP('Données projet'!$B$12,Paramètres!$A$1:$I$89,3,0)*0.475*44/12</f>
        <v>28.79891219704265</v>
      </c>
      <c r="CM134" s="21">
        <f>EXP(-LN(2)/2)*CM133+(1-EXP(-LN(2)/2))/(LN(2)/2)*CG134*CJ134*VLOOKUP('Données projet'!$B$12,Paramètres!$A$1:$I$89,3,0)*0.475*44/12</f>
        <v>4.1730742642099622E-6</v>
      </c>
      <c r="CN134" s="22">
        <f t="shared" si="120"/>
        <v>94.506840581652455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10.843999999999994</v>
      </c>
      <c r="CT134" s="12">
        <f>IF('Données projet'!$A$140&gt;35,CT133+CS134-DB133,IF(A134&lt;'Données projet'!$A$140,$CQ$205^A134,IF(A134='Données projet'!$A$140,'Données projet'!$B$140,CT133+CS134-DB133)))</f>
        <v>541.45399999999995</v>
      </c>
      <c r="CU134" s="17">
        <f>CT134*VLOOKUP('Données projet'!$B$13,Paramètres!$A$1:$I$89,3,0)*VLOOKUP('Données projet'!$B$13,Paramètres!$A$1:$I$89,5,0)</f>
        <v>549.034356</v>
      </c>
      <c r="CV134" s="13">
        <f t="shared" si="149"/>
        <v>121.41216459494838</v>
      </c>
      <c r="CW134" s="20">
        <f t="shared" si="121"/>
        <v>1167.6943567028686</v>
      </c>
      <c r="CX134" s="59">
        <f t="shared" si="122"/>
        <v>1461.0276900362019</v>
      </c>
      <c r="CY134" s="59">
        <f ca="1">AVERAGE(OFFSET($CX$3,0,0,'Données projet'!$E$13+1,1))-AVERAGE(OFFSET($H$3,0,0,'Données projet'!$E$13+1,1))</f>
        <v>773.15074145293738</v>
      </c>
      <c r="CZ134" s="59">
        <f t="shared" si="150"/>
        <v>248.49577986312505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73.638190926720853</v>
      </c>
      <c r="DG134" s="21">
        <f>EXP(-LN(2)/25)*DG133+(1-EXP(-LN(2)/25))/(LN(2)/25)*Calculateur!DB134*Calculateur!DD134*VLOOKUP('Données projet'!$B$13,Paramètres!$A$1:$I$89,3,0)*0.475*44/12</f>
        <v>32.274642979444359</v>
      </c>
      <c r="DH134" s="21">
        <f>EXP(-LN(2)/2)*DH133+(1-EXP(-LN(2)/2))/(LN(2)/2)*DB134*DE134*VLOOKUP('Données projet'!$B$13,Paramètres!$A$1:$I$89,3,0)*0.475*44/12</f>
        <v>4.6767211581663398E-6</v>
      </c>
      <c r="DI134" s="22">
        <f t="shared" si="123"/>
        <v>105.91283858288638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3.4106051316484809E-13</v>
      </c>
      <c r="DP134" s="17">
        <f>DO134*VLOOKUP('Données projet'!$B$14,Paramètres!$A$1:$I$89,3,0)*VLOOKUP('Données projet'!$B$14,Paramètres!$A$1:$I$89,5,0)</f>
        <v>1.5961632016114892E-13</v>
      </c>
      <c r="DQ134" s="13">
        <f t="shared" si="151"/>
        <v>2.2708641912150958E-12</v>
      </c>
      <c r="DR134" s="20">
        <f t="shared" si="124"/>
        <v>4.2330868906469593E-12</v>
      </c>
      <c r="DS134" s="59">
        <f t="shared" si="125"/>
        <v>293.33333333333752</v>
      </c>
      <c r="DT134" s="59">
        <f ca="1">AVERAGE(OFFSET($DS$3,0,0,'Données projet'!$E$14+1,1))-AVERAGE(OFFSET($H$3,0,0,'Données projet'!$E$14+1,1))</f>
        <v>293.15557501692803</v>
      </c>
      <c r="DU134" s="59">
        <f t="shared" si="152"/>
        <v>237.1930412773068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84.87569452905791</v>
      </c>
      <c r="EB134" s="21">
        <f>EXP(-LN(2)/25)*EB133+(1-EXP(-LN(2)/25))/(LN(2)/25)*Calculateur!DW134*Calculateur!DY134*VLOOKUP('Données projet'!$B$14,Paramètres!$A$1:$I$89,3,0)*0.475*44/12</f>
        <v>22.758085807834487</v>
      </c>
      <c r="EC134" s="21">
        <f>EXP(-LN(2)/2)*EC133+(1-EXP(-LN(2)/2))/(LN(2)/2)*DW134*DZ134*VLOOKUP('Données projet'!$B$14,Paramètres!$A$1:$I$89,3,0)*0.475*44/12</f>
        <v>1.5374950692789373E-2</v>
      </c>
      <c r="ED134" s="22">
        <f t="shared" si="126"/>
        <v>107.64915528758519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-1.7053025658242404E-13</v>
      </c>
      <c r="EK134" s="17">
        <f>EJ134*VLOOKUP('Données projet'!$B$15,Paramètres!$A$1:$I$89,3,0)*VLOOKUP('Données projet'!$B$15,Paramètres!$A$1:$I$89,5,0)</f>
        <v>-1.0197709343628959E-13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225.86663363047296</v>
      </c>
      <c r="EP134" s="59">
        <f t="shared" si="154"/>
        <v>258.08349727304397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26.066839539754113</v>
      </c>
      <c r="EW134" s="21">
        <f>EXP(-LN(2)/25)*EW133+(1-EXP(-LN(2)/25))/(LN(2)/25)*Calculateur!ER134*Calculateur!ET134*VLOOKUP('Données projet'!$B$15,Paramètres!$A$1:$I$89,3,0)*0.475*44/12</f>
        <v>5.5181200381347928</v>
      </c>
      <c r="EX134" s="21">
        <f>EXP(-LN(2)/2)*EX133+(1-EXP(-LN(2)/2))/(LN(2)/2)*ER134*EU134*VLOOKUP('Données projet'!$B$15,Paramètres!$A$1:$I$89,3,0)*0.475*44/12</f>
        <v>1.8405877048242754E-9</v>
      </c>
      <c r="EY134" s="22">
        <f t="shared" si="129"/>
        <v>31.584959579729492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388.12151914648013</v>
      </c>
      <c r="T135" s="59">
        <f t="shared" si="142"/>
        <v>481.43684454382793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39.518979530726888</v>
      </c>
      <c r="AA135" s="21">
        <f>EXP(-LN(2)/25)*AA134+(1-EXP(-LN(2)/25))/(LN(2)/25)*Calculateur!V135*Calculateur!X135*VLOOKUP('Données projet'!$B$9,Paramètres!$A$1:$I$89,3,0)*0.475*44/12</f>
        <v>7.4978312374997378</v>
      </c>
      <c r="AB135" s="21">
        <f>EXP(-LN(2)/2)*AB134+(1-EXP(-LN(2)/2))/(LN(2)/2)*V135*Y135*VLOOKUP('Données projet'!$B$9,Paramètres!$A$1:$I$89,3,0)*0.475*44/12</f>
        <v>2.8123144890574564E-10</v>
      </c>
      <c r="AC135" s="22">
        <f t="shared" si="111"/>
        <v>47.01681076850786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-1.3596945791505279E-13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349.71285006949597</v>
      </c>
      <c r="AO135" s="59">
        <f t="shared" si="144"/>
        <v>258.51550516456842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54.727476668212923</v>
      </c>
      <c r="AV135" s="21">
        <f>EXP(-LN(2)/25)*AV134+(1-EXP(-LN(2)/25))/(LN(2)/25)*Calculateur!AQ135*Calculateur!AS135*VLOOKUP('Données projet'!$B$10,Paramètres!$A$1:$I$89,3,0)*0.475*44/12</f>
        <v>12.238289885482132</v>
      </c>
      <c r="AW135" s="21">
        <f>EXP(-LN(2)/2)*AW134+(1-EXP(-LN(2)/2))/(LN(2)/2)*AQ135*AT135*VLOOKUP('Données projet'!$B$10,Paramètres!$A$1:$I$89,3,0)*0.475*44/12</f>
        <v>1.0537600934685574E-6</v>
      </c>
      <c r="AX135" s="21">
        <f t="shared" si="114"/>
        <v>66.965767607455149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8.5265128291212022E-14</v>
      </c>
      <c r="BE135" s="13">
        <f>BD135*VLOOKUP('Données projet'!$B$11,Paramètres!$A$1:$I$89,3,0)*VLOOKUP('Données projet'!$B$11,Paramètres!$A$1:$I$89,5,0)</f>
        <v>8.9119112089974823E-14</v>
      </c>
      <c r="BF135" s="13">
        <f t="shared" si="145"/>
        <v>1.3568952080113142E-12</v>
      </c>
      <c r="BG135" s="20">
        <f t="shared" si="115"/>
        <v>2.5184749408430782E-12</v>
      </c>
      <c r="BH135" s="59">
        <f t="shared" si="116"/>
        <v>293.33333333333582</v>
      </c>
      <c r="BI135" s="59">
        <f ca="1">AVERAGE(OFFSET($BH$3,0,0,'Données projet'!$E$11+1,1))-AVERAGE(OFFSET($H$3,0,0,'Données projet'!$E$11+1,1))</f>
        <v>260.74709892624571</v>
      </c>
      <c r="BJ135" s="59">
        <f t="shared" si="146"/>
        <v>237.17381692184887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9.4444140664599079</v>
      </c>
      <c r="BQ135" s="21">
        <f>EXP(-LN(2)/25)*BQ134+(1-EXP(-LN(2)/25))/(LN(2)/25)*Calculateur!BL135*Calculateur!BN135*VLOOKUP('Données projet'!$B$11,Paramètres!$A$1:$I$89,3,0)*0.475*44/12</f>
        <v>18.714760246733864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28.159174313193773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10.843999999999994</v>
      </c>
      <c r="BY135" s="12">
        <f>IF('Données projet'!$A$114&gt;35,BY134+BX135-CG134,IF(A135&lt;'Données projet'!$A$114,$BV$205^A135,IF(A135='Données projet'!$A$114,'Données projet'!$B$114,BY134+BX135-CG134)))</f>
        <v>552.298</v>
      </c>
      <c r="BZ135" s="13">
        <f>BY135*VLOOKUP('Données projet'!$B$12,Paramètres!$A$1:$I$89,3,0)*VLOOKUP('Données projet'!$B$12,Paramètres!$A$1:$I$89,5,0)</f>
        <v>499.71923039999996</v>
      </c>
      <c r="CA135" s="13">
        <f t="shared" si="147"/>
        <v>111.72398392673504</v>
      </c>
      <c r="CB135" s="20">
        <f t="shared" si="118"/>
        <v>1064.9302649523968</v>
      </c>
      <c r="CC135" s="59">
        <f t="shared" si="119"/>
        <v>1358.26359828573</v>
      </c>
      <c r="CD135" s="59">
        <f ca="1">AVERAGE(OFFSET($CC$3,0,0,'Données projet'!$E$12+1,1))-AVERAGE(OFFSET($H$3,0,0,'Données projet'!$E$12+1,1))</f>
        <v>695.0879239758051</v>
      </c>
      <c r="CE135" s="59">
        <f t="shared" si="148"/>
        <v>226.22150997227476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64.419431895623731</v>
      </c>
      <c r="CL135" s="21">
        <f>EXP(-LN(2)/25)*CL134+(1-EXP(-LN(2)/25))/(LN(2)/25)*Calculateur!CG135*Calculateur!CI135*VLOOKUP('Données projet'!$B$12,Paramètres!$A$1:$I$89,3,0)*0.475*44/12</f>
        <v>28.011404428545546</v>
      </c>
      <c r="CM135" s="21">
        <f>EXP(-LN(2)/2)*CM134+(1-EXP(-LN(2)/2))/(LN(2)/2)*CG135*CJ135*VLOOKUP('Données projet'!$B$12,Paramètres!$A$1:$I$89,3,0)*0.475*44/12</f>
        <v>2.9508091106179266E-6</v>
      </c>
      <c r="CN135" s="22">
        <f t="shared" si="120"/>
        <v>92.430839274978382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10.843999999999994</v>
      </c>
      <c r="CT135" s="12">
        <f>IF('Données projet'!$A$140&gt;35,CT134+CS135-DB134,IF(A135&lt;'Données projet'!$A$140,$CQ$205^A135,IF(A135='Données projet'!$A$140,'Données projet'!$B$140,CT134+CS135-DB134)))</f>
        <v>552.298</v>
      </c>
      <c r="CU135" s="17">
        <f>CT135*VLOOKUP('Données projet'!$B$13,Paramètres!$A$1:$I$89,3,0)*VLOOKUP('Données projet'!$B$13,Paramètres!$A$1:$I$89,5,0)</f>
        <v>560.03017199999999</v>
      </c>
      <c r="CV135" s="13">
        <f t="shared" si="149"/>
        <v>123.55823061814688</v>
      </c>
      <c r="CW135" s="20">
        <f t="shared" si="121"/>
        <v>1190.5831345599393</v>
      </c>
      <c r="CX135" s="59">
        <f t="shared" si="122"/>
        <v>1483.9164678932725</v>
      </c>
      <c r="CY135" s="59">
        <f ca="1">AVERAGE(OFFSET($CX$3,0,0,'Données projet'!$E$13+1,1))-AVERAGE(OFFSET($H$3,0,0,'Données projet'!$E$13+1,1))</f>
        <v>773.15074145293738</v>
      </c>
      <c r="CZ135" s="59">
        <f t="shared" si="150"/>
        <v>248.49577986312505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72.194190917509346</v>
      </c>
      <c r="DG135" s="21">
        <f>EXP(-LN(2)/25)*DG134+(1-EXP(-LN(2)/25))/(LN(2)/25)*Calculateur!DB135*Calculateur!DD135*VLOOKUP('Données projet'!$B$13,Paramètres!$A$1:$I$89,3,0)*0.475*44/12</f>
        <v>31.392091169921741</v>
      </c>
      <c r="DH135" s="21">
        <f>EXP(-LN(2)/2)*DH134+(1-EXP(-LN(2)/2))/(LN(2)/2)*DB135*DE135*VLOOKUP('Données projet'!$B$13,Paramètres!$A$1:$I$89,3,0)*0.475*44/12</f>
        <v>3.3069412446580232E-6</v>
      </c>
      <c r="DI135" s="22">
        <f t="shared" si="123"/>
        <v>103.58628539437233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3.4106051316484809E-13</v>
      </c>
      <c r="DP135" s="17">
        <f>DO135*VLOOKUP('Données projet'!$B$14,Paramètres!$A$1:$I$89,3,0)*VLOOKUP('Données projet'!$B$14,Paramètres!$A$1:$I$89,5,0)</f>
        <v>1.5961632016114892E-13</v>
      </c>
      <c r="DQ135" s="13">
        <f t="shared" si="151"/>
        <v>2.2708641912150958E-12</v>
      </c>
      <c r="DR135" s="20">
        <f t="shared" si="124"/>
        <v>4.2330868906469593E-12</v>
      </c>
      <c r="DS135" s="59">
        <f t="shared" si="125"/>
        <v>293.33333333333752</v>
      </c>
      <c r="DT135" s="59">
        <f ca="1">AVERAGE(OFFSET($DS$3,0,0,'Données projet'!$E$14+1,1))-AVERAGE(OFFSET($H$3,0,0,'Données projet'!$E$14+1,1))</f>
        <v>293.15557501692803</v>
      </c>
      <c r="DU135" s="59">
        <f t="shared" si="152"/>
        <v>237.1930412773068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83.211333928404983</v>
      </c>
      <c r="EB135" s="21">
        <f>EXP(-LN(2)/25)*EB134+(1-EXP(-LN(2)/25))/(LN(2)/25)*Calculateur!DW135*Calculateur!DY135*VLOOKUP('Données projet'!$B$14,Paramètres!$A$1:$I$89,3,0)*0.475*44/12</f>
        <v>22.135764754623533</v>
      </c>
      <c r="EC135" s="21">
        <f>EXP(-LN(2)/2)*EC134+(1-EXP(-LN(2)/2))/(LN(2)/2)*DW135*DZ135*VLOOKUP('Données projet'!$B$14,Paramètres!$A$1:$I$89,3,0)*0.475*44/12</f>
        <v>1.0871731895280174E-2</v>
      </c>
      <c r="ED135" s="22">
        <f t="shared" si="126"/>
        <v>105.3579704149238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-1.7053025658242404E-13</v>
      </c>
      <c r="EK135" s="17">
        <f>EJ135*VLOOKUP('Données projet'!$B$15,Paramètres!$A$1:$I$89,3,0)*VLOOKUP('Données projet'!$B$15,Paramètres!$A$1:$I$89,5,0)</f>
        <v>-1.0197709343628959E-13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225.86663363047296</v>
      </c>
      <c r="EP135" s="59">
        <f t="shared" si="154"/>
        <v>258.08349727304397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25.555684715581737</v>
      </c>
      <c r="EW135" s="21">
        <f>EXP(-LN(2)/25)*EW134+(1-EXP(-LN(2)/25))/(LN(2)/25)*Calculateur!ER135*Calculateur!ET135*VLOOKUP('Données projet'!$B$15,Paramètres!$A$1:$I$89,3,0)*0.475*44/12</f>
        <v>5.3672267555066755</v>
      </c>
      <c r="EX135" s="21">
        <f>EXP(-LN(2)/2)*EX134+(1-EXP(-LN(2)/2))/(LN(2)/2)*ER135*EU135*VLOOKUP('Données projet'!$B$15,Paramètres!$A$1:$I$89,3,0)*0.475*44/12</f>
        <v>1.3014920474498287E-9</v>
      </c>
      <c r="EY135" s="22">
        <f t="shared" si="129"/>
        <v>30.922911472389902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388.12151914648013</v>
      </c>
      <c r="T136" s="59">
        <f t="shared" si="142"/>
        <v>481.43684454382793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38.744036446326753</v>
      </c>
      <c r="AA136" s="21">
        <f>EXP(-LN(2)/25)*AA135+(1-EXP(-LN(2)/25))/(LN(2)/25)*Calculateur!V136*Calculateur!X136*VLOOKUP('Données projet'!$B$9,Paramètres!$A$1:$I$89,3,0)*0.475*44/12</f>
        <v>7.2928026480164991</v>
      </c>
      <c r="AB136" s="21">
        <f>EXP(-LN(2)/2)*AB135+(1-EXP(-LN(2)/2))/(LN(2)/2)*V136*Y136*VLOOKUP('Données projet'!$B$9,Paramètres!$A$1:$I$89,3,0)*0.475*44/12</f>
        <v>1.988606646041708E-10</v>
      </c>
      <c r="AC136" s="22">
        <f t="shared" si="111"/>
        <v>46.03683909454211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-1.3596945791505279E-13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349.71285006949597</v>
      </c>
      <c r="AO136" s="59">
        <f t="shared" si="144"/>
        <v>258.51550516456842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53.654304231213985</v>
      </c>
      <c r="AV136" s="21">
        <f>EXP(-LN(2)/25)*AV135+(1-EXP(-LN(2)/25))/(LN(2)/25)*Calculateur!AQ136*Calculateur!AS136*VLOOKUP('Données projet'!$B$10,Paramètres!$A$1:$I$89,3,0)*0.475*44/12</f>
        <v>11.903633204979929</v>
      </c>
      <c r="AW136" s="21">
        <f>EXP(-LN(2)/2)*AW135+(1-EXP(-LN(2)/2))/(LN(2)/2)*AQ136*AT136*VLOOKUP('Données projet'!$B$10,Paramètres!$A$1:$I$89,3,0)*0.475*44/12</f>
        <v>7.4512090783538709E-7</v>
      </c>
      <c r="AX136" s="21">
        <f t="shared" si="114"/>
        <v>65.557938181314825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8.5265128291212022E-14</v>
      </c>
      <c r="BE136" s="13">
        <f>BD136*VLOOKUP('Données projet'!$B$11,Paramètres!$A$1:$I$89,3,0)*VLOOKUP('Données projet'!$B$11,Paramètres!$A$1:$I$89,5,0)</f>
        <v>8.9119112089974823E-14</v>
      </c>
      <c r="BF136" s="13">
        <f t="shared" si="145"/>
        <v>1.3568952080113142E-12</v>
      </c>
      <c r="BG136" s="20">
        <f t="shared" si="115"/>
        <v>2.5184749408430782E-12</v>
      </c>
      <c r="BH136" s="59">
        <f t="shared" si="116"/>
        <v>293.33333333333582</v>
      </c>
      <c r="BI136" s="59">
        <f ca="1">AVERAGE(OFFSET($BH$3,0,0,'Données projet'!$E$11+1,1))-AVERAGE(OFFSET($H$3,0,0,'Données projet'!$E$11+1,1))</f>
        <v>260.74709892624571</v>
      </c>
      <c r="BJ136" s="59">
        <f t="shared" si="146"/>
        <v>237.17381692184887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9.2592148671404058</v>
      </c>
      <c r="BQ136" s="21">
        <f>EXP(-LN(2)/25)*BQ135+(1-EXP(-LN(2)/25))/(LN(2)/25)*Calculateur!BL136*Calculateur!BN136*VLOOKUP('Données projet'!$B$11,Paramètres!$A$1:$I$89,3,0)*0.475*44/12</f>
        <v>18.203004143620458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27.462219010760862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10.843999999999994</v>
      </c>
      <c r="BY136" s="12">
        <f>IF('Données projet'!$A$114&gt;35,BY135+BX136-CG135,IF(A136&lt;'Données projet'!$A$114,$BV$205^A136,IF(A136='Données projet'!$A$114,'Données projet'!$B$114,BY135+BX136-CG135)))</f>
        <v>563.14200000000005</v>
      </c>
      <c r="BZ136" s="13">
        <f>BY136*VLOOKUP('Données projet'!$B$12,Paramètres!$A$1:$I$89,3,0)*VLOOKUP('Données projet'!$B$12,Paramètres!$A$1:$I$89,5,0)</f>
        <v>509.53088160000004</v>
      </c>
      <c r="CA136" s="13">
        <f t="shared" si="147"/>
        <v>113.66007236881403</v>
      </c>
      <c r="CB136" s="20">
        <f t="shared" si="118"/>
        <v>1085.3909114956843</v>
      </c>
      <c r="CC136" s="59">
        <f t="shared" si="119"/>
        <v>1378.7242448290176</v>
      </c>
      <c r="CD136" s="59">
        <f ca="1">AVERAGE(OFFSET($CC$3,0,0,'Données projet'!$E$12+1,1))-AVERAGE(OFFSET($H$3,0,0,'Données projet'!$E$12+1,1))</f>
        <v>695.0879239758051</v>
      </c>
      <c r="CE136" s="59">
        <f t="shared" si="148"/>
        <v>226.22150997227476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63.156206128124246</v>
      </c>
      <c r="CL136" s="21">
        <f>EXP(-LN(2)/25)*CL135+(1-EXP(-LN(2)/25))/(LN(2)/25)*Calculateur!CG136*Calculateur!CI136*VLOOKUP('Données projet'!$B$12,Paramètres!$A$1:$I$89,3,0)*0.475*44/12</f>
        <v>27.24543110139123</v>
      </c>
      <c r="CM136" s="21">
        <f>EXP(-LN(2)/2)*CM135+(1-EXP(-LN(2)/2))/(LN(2)/2)*CG136*CJ136*VLOOKUP('Données projet'!$B$12,Paramètres!$A$1:$I$89,3,0)*0.475*44/12</f>
        <v>2.0865371321049811E-6</v>
      </c>
      <c r="CN136" s="22">
        <f t="shared" si="120"/>
        <v>90.401639316052609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10.843999999999994</v>
      </c>
      <c r="CT136" s="12">
        <f>IF('Données projet'!$A$140&gt;35,CT135+CS136-DB135,IF(A136&lt;'Données projet'!$A$140,$CQ$205^A136,IF(A136='Données projet'!$A$140,'Données projet'!$B$140,CT135+CS136-DB135)))</f>
        <v>563.14200000000005</v>
      </c>
      <c r="CU136" s="17">
        <f>CT136*VLOOKUP('Données projet'!$B$13,Paramètres!$A$1:$I$89,3,0)*VLOOKUP('Données projet'!$B$13,Paramètres!$A$1:$I$89,5,0)</f>
        <v>571.0259880000001</v>
      </c>
      <c r="CV136" s="13">
        <f t="shared" si="149"/>
        <v>125.69939721296133</v>
      </c>
      <c r="CW136" s="20">
        <f t="shared" si="121"/>
        <v>1213.4633792459078</v>
      </c>
      <c r="CX136" s="59">
        <f t="shared" si="122"/>
        <v>1506.7967125792411</v>
      </c>
      <c r="CY136" s="59">
        <f ca="1">AVERAGE(OFFSET($CX$3,0,0,'Données projet'!$E$13+1,1))-AVERAGE(OFFSET($H$3,0,0,'Données projet'!$E$13+1,1))</f>
        <v>773.15074145293738</v>
      </c>
      <c r="CZ136" s="59">
        <f t="shared" si="150"/>
        <v>248.49577986312505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70.77850686772544</v>
      </c>
      <c r="DG136" s="21">
        <f>EXP(-LN(2)/25)*DG135+(1-EXP(-LN(2)/25))/(LN(2)/25)*Calculateur!DB136*Calculateur!DD136*VLOOKUP('Données projet'!$B$13,Paramètres!$A$1:$I$89,3,0)*0.475*44/12</f>
        <v>30.533672786041905</v>
      </c>
      <c r="DH136" s="21">
        <f>EXP(-LN(2)/2)*DH135+(1-EXP(-LN(2)/2))/(LN(2)/2)*DB136*DE136*VLOOKUP('Données projet'!$B$13,Paramètres!$A$1:$I$89,3,0)*0.475*44/12</f>
        <v>2.3383605790831699E-6</v>
      </c>
      <c r="DI136" s="22">
        <f t="shared" si="123"/>
        <v>101.31218199212792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3.4106051316484809E-13</v>
      </c>
      <c r="DP136" s="17">
        <f>DO136*VLOOKUP('Données projet'!$B$14,Paramètres!$A$1:$I$89,3,0)*VLOOKUP('Données projet'!$B$14,Paramètres!$A$1:$I$89,5,0)</f>
        <v>1.5961632016114892E-13</v>
      </c>
      <c r="DQ136" s="13">
        <f t="shared" si="151"/>
        <v>2.2708641912150958E-12</v>
      </c>
      <c r="DR136" s="20">
        <f t="shared" si="124"/>
        <v>4.2330868906469593E-12</v>
      </c>
      <c r="DS136" s="59">
        <f t="shared" si="125"/>
        <v>293.33333333333752</v>
      </c>
      <c r="DT136" s="59">
        <f ca="1">AVERAGE(OFFSET($DS$3,0,0,'Données projet'!$E$14+1,1))-AVERAGE(OFFSET($H$3,0,0,'Données projet'!$E$14+1,1))</f>
        <v>293.15557501692803</v>
      </c>
      <c r="DU136" s="59">
        <f t="shared" si="152"/>
        <v>237.1930412773068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81.579610423971133</v>
      </c>
      <c r="EB136" s="21">
        <f>EXP(-LN(2)/25)*EB135+(1-EXP(-LN(2)/25))/(LN(2)/25)*Calculateur!DW136*Calculateur!DY136*VLOOKUP('Données projet'!$B$14,Paramètres!$A$1:$I$89,3,0)*0.475*44/12</f>
        <v>21.530461103339075</v>
      </c>
      <c r="EC136" s="21">
        <f>EXP(-LN(2)/2)*EC135+(1-EXP(-LN(2)/2))/(LN(2)/2)*DW136*DZ136*VLOOKUP('Données projet'!$B$14,Paramètres!$A$1:$I$89,3,0)*0.475*44/12</f>
        <v>7.6874753463946881E-3</v>
      </c>
      <c r="ED136" s="22">
        <f t="shared" si="126"/>
        <v>103.11775900265661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-1.7053025658242404E-13</v>
      </c>
      <c r="EK136" s="17">
        <f>EJ136*VLOOKUP('Données projet'!$B$15,Paramètres!$A$1:$I$89,3,0)*VLOOKUP('Données projet'!$B$15,Paramètres!$A$1:$I$89,5,0)</f>
        <v>-1.0197709343628959E-13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225.86663363047296</v>
      </c>
      <c r="EP136" s="59">
        <f t="shared" si="154"/>
        <v>258.08349727304397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25.054553325737725</v>
      </c>
      <c r="EW136" s="21">
        <f>EXP(-LN(2)/25)*EW135+(1-EXP(-LN(2)/25))/(LN(2)/25)*Calculateur!ER136*Calculateur!ET136*VLOOKUP('Données projet'!$B$15,Paramètres!$A$1:$I$89,3,0)*0.475*44/12</f>
        <v>5.2204596576271571</v>
      </c>
      <c r="EX136" s="21">
        <f>EXP(-LN(2)/2)*EX135+(1-EXP(-LN(2)/2))/(LN(2)/2)*ER136*EU136*VLOOKUP('Données projet'!$B$15,Paramètres!$A$1:$I$89,3,0)*0.475*44/12</f>
        <v>9.2029385241213779E-10</v>
      </c>
      <c r="EY136" s="22">
        <f t="shared" si="129"/>
        <v>30.275012984285176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388.12151914648013</v>
      </c>
      <c r="T137" s="59">
        <f t="shared" si="142"/>
        <v>481.43684454382793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37.984289523143097</v>
      </c>
      <c r="AA137" s="21">
        <f>EXP(-LN(2)/25)*AA136+(1-EXP(-LN(2)/25))/(LN(2)/25)*Calculateur!V137*Calculateur!X137*VLOOKUP('Données projet'!$B$9,Paramètres!$A$1:$I$89,3,0)*0.475*44/12</f>
        <v>7.0933805760946642</v>
      </c>
      <c r="AB137" s="21">
        <f>EXP(-LN(2)/2)*AB136+(1-EXP(-LN(2)/2))/(LN(2)/2)*V137*Y137*VLOOKUP('Données projet'!$B$9,Paramètres!$A$1:$I$89,3,0)*0.475*44/12</f>
        <v>1.4061572445287282E-10</v>
      </c>
      <c r="AC137" s="22">
        <f t="shared" si="111"/>
        <v>45.077670099378381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-1.3596945791505279E-13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349.71285006949597</v>
      </c>
      <c r="AO137" s="59">
        <f t="shared" si="144"/>
        <v>258.51550516456842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52.602176051134045</v>
      </c>
      <c r="AV137" s="21">
        <f>EXP(-LN(2)/25)*AV136+(1-EXP(-LN(2)/25))/(LN(2)/25)*Calculateur!AQ137*Calculateur!AS137*VLOOKUP('Données projet'!$B$10,Paramètres!$A$1:$I$89,3,0)*0.475*44/12</f>
        <v>11.578127729004889</v>
      </c>
      <c r="AW137" s="21">
        <f>EXP(-LN(2)/2)*AW136+(1-EXP(-LN(2)/2))/(LN(2)/2)*AQ137*AT137*VLOOKUP('Données projet'!$B$10,Paramètres!$A$1:$I$89,3,0)*0.475*44/12</f>
        <v>5.268800467342787E-7</v>
      </c>
      <c r="AX137" s="21">
        <f t="shared" si="114"/>
        <v>64.180304307018972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8.5265128291212022E-14</v>
      </c>
      <c r="BE137" s="13">
        <f>BD137*VLOOKUP('Données projet'!$B$11,Paramètres!$A$1:$I$89,3,0)*VLOOKUP('Données projet'!$B$11,Paramètres!$A$1:$I$89,5,0)</f>
        <v>8.9119112089974823E-14</v>
      </c>
      <c r="BF137" s="13">
        <f t="shared" si="145"/>
        <v>1.3568952080113142E-12</v>
      </c>
      <c r="BG137" s="20">
        <f t="shared" si="115"/>
        <v>2.5184749408430782E-12</v>
      </c>
      <c r="BH137" s="59">
        <f t="shared" si="116"/>
        <v>293.33333333333582</v>
      </c>
      <c r="BI137" s="59">
        <f ca="1">AVERAGE(OFFSET($BH$3,0,0,'Données projet'!$E$11+1,1))-AVERAGE(OFFSET($H$3,0,0,'Données projet'!$E$11+1,1))</f>
        <v>260.74709892624571</v>
      </c>
      <c r="BJ137" s="59">
        <f t="shared" si="146"/>
        <v>237.17381692184887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9.0776473111592004</v>
      </c>
      <c r="BQ137" s="21">
        <f>EXP(-LN(2)/25)*BQ136+(1-EXP(-LN(2)/25))/(LN(2)/25)*Calculateur!BL137*Calculateur!BN137*VLOOKUP('Données projet'!$B$11,Paramètres!$A$1:$I$89,3,0)*0.475*44/12</f>
        <v>17.705242038058771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26.782889349217971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10.843999999999994</v>
      </c>
      <c r="BY137" s="12">
        <f>IF('Données projet'!$A$114&gt;35,BY136+BX137-CG136,IF(A137&lt;'Données projet'!$A$114,$BV$205^A137,IF(A137='Données projet'!$A$114,'Données projet'!$B$114,BY136+BX137-CG136)))</f>
        <v>573.9860000000001</v>
      </c>
      <c r="BZ137" s="13">
        <f>BY137*VLOOKUP('Données projet'!$B$12,Paramètres!$A$1:$I$89,3,0)*VLOOKUP('Données projet'!$B$12,Paramètres!$A$1:$I$89,5,0)</f>
        <v>519.34253280000007</v>
      </c>
      <c r="CA137" s="13">
        <f t="shared" si="147"/>
        <v>115.5918257868824</v>
      </c>
      <c r="CB137" s="20">
        <f t="shared" si="118"/>
        <v>1105.8440078721535</v>
      </c>
      <c r="CC137" s="59">
        <f t="shared" si="119"/>
        <v>1399.1773412054868</v>
      </c>
      <c r="CD137" s="59">
        <f ca="1">AVERAGE(OFFSET($CC$3,0,0,'Données projet'!$E$12+1,1))-AVERAGE(OFFSET($H$3,0,0,'Données projet'!$E$12+1,1))</f>
        <v>695.0879239758051</v>
      </c>
      <c r="CE137" s="59">
        <f t="shared" si="148"/>
        <v>226.22150997227476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61.917751447433787</v>
      </c>
      <c r="CL137" s="21">
        <f>EXP(-LN(2)/25)*CL136+(1-EXP(-LN(2)/25))/(LN(2)/25)*Calculateur!CG137*Calculateur!CI137*VLOOKUP('Données projet'!$B$12,Paramètres!$A$1:$I$89,3,0)*0.475*44/12</f>
        <v>26.500403355148734</v>
      </c>
      <c r="CM137" s="21">
        <f>EXP(-LN(2)/2)*CM136+(1-EXP(-LN(2)/2))/(LN(2)/2)*CG137*CJ137*VLOOKUP('Données projet'!$B$12,Paramètres!$A$1:$I$89,3,0)*0.475*44/12</f>
        <v>1.4754045553089633E-6</v>
      </c>
      <c r="CN137" s="22">
        <f t="shared" si="120"/>
        <v>88.41815627798708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10.843999999999994</v>
      </c>
      <c r="CT137" s="12">
        <f>IF('Données projet'!$A$140&gt;35,CT136+CS137-DB136,IF(A137&lt;'Données projet'!$A$140,$CQ$205^A137,IF(A137='Données projet'!$A$140,'Données projet'!$B$140,CT136+CS137-DB136)))</f>
        <v>573.9860000000001</v>
      </c>
      <c r="CU137" s="17">
        <f>CT137*VLOOKUP('Données projet'!$B$13,Paramètres!$A$1:$I$89,3,0)*VLOOKUP('Données projet'!$B$13,Paramètres!$A$1:$I$89,5,0)</f>
        <v>582.0218040000002</v>
      </c>
      <c r="CV137" s="13">
        <f t="shared" si="149"/>
        <v>127.83576960085976</v>
      </c>
      <c r="CW137" s="20">
        <f t="shared" si="121"/>
        <v>1236.3352740214975</v>
      </c>
      <c r="CX137" s="59">
        <f t="shared" si="122"/>
        <v>1529.6686073548308</v>
      </c>
      <c r="CY137" s="59">
        <f ca="1">AVERAGE(OFFSET($CX$3,0,0,'Données projet'!$E$13+1,1))-AVERAGE(OFFSET($H$3,0,0,'Données projet'!$E$13+1,1))</f>
        <v>773.15074145293738</v>
      </c>
      <c r="CZ137" s="59">
        <f t="shared" si="150"/>
        <v>248.49577986312505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69.390583518675783</v>
      </c>
      <c r="DG137" s="21">
        <f>EXP(-LN(2)/25)*DG136+(1-EXP(-LN(2)/25))/(LN(2)/25)*Calculateur!DB137*Calculateur!DD137*VLOOKUP('Données projet'!$B$13,Paramètres!$A$1:$I$89,3,0)*0.475*44/12</f>
        <v>29.698727898011523</v>
      </c>
      <c r="DH137" s="21">
        <f>EXP(-LN(2)/2)*DH136+(1-EXP(-LN(2)/2))/(LN(2)/2)*DB137*DE137*VLOOKUP('Données projet'!$B$13,Paramètres!$A$1:$I$89,3,0)*0.475*44/12</f>
        <v>1.6534706223290116E-6</v>
      </c>
      <c r="DI137" s="22">
        <f t="shared" si="123"/>
        <v>99.089313070157928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3.4106051316484809E-13</v>
      </c>
      <c r="DP137" s="17">
        <f>DO137*VLOOKUP('Données projet'!$B$14,Paramètres!$A$1:$I$89,3,0)*VLOOKUP('Données projet'!$B$14,Paramètres!$A$1:$I$89,5,0)</f>
        <v>1.5961632016114892E-13</v>
      </c>
      <c r="DQ137" s="13">
        <f t="shared" si="151"/>
        <v>2.2708641912150958E-12</v>
      </c>
      <c r="DR137" s="20">
        <f t="shared" si="124"/>
        <v>4.2330868906469593E-12</v>
      </c>
      <c r="DS137" s="59">
        <f t="shared" si="125"/>
        <v>293.33333333333752</v>
      </c>
      <c r="DT137" s="59">
        <f ca="1">AVERAGE(OFFSET($DS$3,0,0,'Données projet'!$E$14+1,1))-AVERAGE(OFFSET($H$3,0,0,'Données projet'!$E$14+1,1))</f>
        <v>293.15557501692803</v>
      </c>
      <c r="DU137" s="59">
        <f t="shared" si="152"/>
        <v>237.1930412773068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79.979884022206164</v>
      </c>
      <c r="EB137" s="21">
        <f>EXP(-LN(2)/25)*EB136+(1-EXP(-LN(2)/25))/(LN(2)/25)*Calculateur!DW137*Calculateur!DY137*VLOOKUP('Données projet'!$B$14,Paramètres!$A$1:$I$89,3,0)*0.475*44/12</f>
        <v>20.941709512230528</v>
      </c>
      <c r="EC137" s="21">
        <f>EXP(-LN(2)/2)*EC136+(1-EXP(-LN(2)/2))/(LN(2)/2)*DW137*DZ137*VLOOKUP('Données projet'!$B$14,Paramètres!$A$1:$I$89,3,0)*0.475*44/12</f>
        <v>5.4358659476400877E-3</v>
      </c>
      <c r="ED137" s="22">
        <f t="shared" si="126"/>
        <v>100.92702940038434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-1.7053025658242404E-13</v>
      </c>
      <c r="EK137" s="17">
        <f>EJ137*VLOOKUP('Données projet'!$B$15,Paramètres!$A$1:$I$89,3,0)*VLOOKUP('Données projet'!$B$15,Paramètres!$A$1:$I$89,5,0)</f>
        <v>-1.0197709343628959E-13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225.86663363047296</v>
      </c>
      <c r="EP137" s="59">
        <f t="shared" si="154"/>
        <v>258.08349727304397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24.563248816788587</v>
      </c>
      <c r="EW137" s="21">
        <f>EXP(-LN(2)/25)*EW136+(1-EXP(-LN(2)/25))/(LN(2)/25)*Calculateur!ER137*Calculateur!ET137*VLOOKUP('Données projet'!$B$15,Paramètres!$A$1:$I$89,3,0)*0.475*44/12</f>
        <v>5.0777059137573008</v>
      </c>
      <c r="EX137" s="21">
        <f>EXP(-LN(2)/2)*EX136+(1-EXP(-LN(2)/2))/(LN(2)/2)*ER137*EU137*VLOOKUP('Données projet'!$B$15,Paramètres!$A$1:$I$89,3,0)*0.475*44/12</f>
        <v>6.5074602372491445E-10</v>
      </c>
      <c r="EY137" s="22">
        <f t="shared" si="129"/>
        <v>29.640954731196633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388.12151914648013</v>
      </c>
      <c r="T138" s="59">
        <f t="shared" si="142"/>
        <v>481.43684454382793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37.23944077372321</v>
      </c>
      <c r="AA138" s="21">
        <f>EXP(-LN(2)/25)*AA137+(1-EXP(-LN(2)/25))/(LN(2)/25)*Calculateur!V138*Calculateur!X138*VLOOKUP('Données projet'!$B$9,Paramètres!$A$1:$I$89,3,0)*0.475*44/12</f>
        <v>6.8994117112166835</v>
      </c>
      <c r="AB138" s="21">
        <f>EXP(-LN(2)/2)*AB137+(1-EXP(-LN(2)/2))/(LN(2)/2)*V138*Y138*VLOOKUP('Données projet'!$B$9,Paramètres!$A$1:$I$89,3,0)*0.475*44/12</f>
        <v>9.94303323020854E-11</v>
      </c>
      <c r="AC138" s="22">
        <f t="shared" si="111"/>
        <v>44.13885248503933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-1.3596945791505279E-13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349.71285006949597</v>
      </c>
      <c r="AO138" s="59">
        <f t="shared" si="144"/>
        <v>258.51550516456842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51.570679462930649</v>
      </c>
      <c r="AV138" s="21">
        <f>EXP(-LN(2)/25)*AV137+(1-EXP(-LN(2)/25))/(LN(2)/25)*Calculateur!AQ138*Calculateur!AS138*VLOOKUP('Données projet'!$B$10,Paramètres!$A$1:$I$89,3,0)*0.475*44/12</f>
        <v>11.261523217387975</v>
      </c>
      <c r="AW138" s="21">
        <f>EXP(-LN(2)/2)*AW137+(1-EXP(-LN(2)/2))/(LN(2)/2)*AQ138*AT138*VLOOKUP('Données projet'!$B$10,Paramètres!$A$1:$I$89,3,0)*0.475*44/12</f>
        <v>3.7256045391769355E-7</v>
      </c>
      <c r="AX138" s="21">
        <f t="shared" si="114"/>
        <v>62.83220305287908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8.5265128291212022E-14</v>
      </c>
      <c r="BE138" s="13">
        <f>BD138*VLOOKUP('Données projet'!$B$11,Paramètres!$A$1:$I$89,3,0)*VLOOKUP('Données projet'!$B$11,Paramètres!$A$1:$I$89,5,0)</f>
        <v>8.9119112089974823E-14</v>
      </c>
      <c r="BF138" s="13">
        <f t="shared" si="145"/>
        <v>1.3568952080113142E-12</v>
      </c>
      <c r="BG138" s="20">
        <f t="shared" si="115"/>
        <v>2.5184749408430782E-12</v>
      </c>
      <c r="BH138" s="59">
        <f t="shared" si="116"/>
        <v>293.33333333333582</v>
      </c>
      <c r="BI138" s="59">
        <f ca="1">AVERAGE(OFFSET($BH$3,0,0,'Données projet'!$E$11+1,1))-AVERAGE(OFFSET($H$3,0,0,'Données projet'!$E$11+1,1))</f>
        <v>260.74709892624571</v>
      </c>
      <c r="BJ138" s="59">
        <f t="shared" si="146"/>
        <v>237.17381692184887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8.8996401842055128</v>
      </c>
      <c r="BQ138" s="21">
        <f>EXP(-LN(2)/25)*BQ137+(1-EXP(-LN(2)/25))/(LN(2)/25)*Calculateur!BL138*Calculateur!BN138*VLOOKUP('Données projet'!$B$11,Paramètres!$A$1:$I$89,3,0)*0.475*44/12</f>
        <v>17.221091263449839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26.120731447655352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10.843999999999994</v>
      </c>
      <c r="BY138" s="12">
        <f>IF('Données projet'!$A$114&gt;35,BY137+BX138-CG137,IF(A138&lt;'Données projet'!$A$114,$BV$205^A138,IF(A138='Données projet'!$A$114,'Données projet'!$B$114,BY137+BX138-CG137)))</f>
        <v>584.83000000000015</v>
      </c>
      <c r="BZ138" s="13">
        <f>BY138*VLOOKUP('Données projet'!$B$12,Paramètres!$A$1:$I$89,3,0)*VLOOKUP('Données projet'!$B$12,Paramètres!$A$1:$I$89,5,0)</f>
        <v>529.15418400000021</v>
      </c>
      <c r="CA138" s="13">
        <f t="shared" si="147"/>
        <v>117.51933552372023</v>
      </c>
      <c r="CB138" s="20">
        <f t="shared" si="118"/>
        <v>1126.2897131704797</v>
      </c>
      <c r="CC138" s="59">
        <f t="shared" si="119"/>
        <v>1419.6230465038129</v>
      </c>
      <c r="CD138" s="59">
        <f ca="1">AVERAGE(OFFSET($CC$3,0,0,'Données projet'!$E$12+1,1))-AVERAGE(OFFSET($H$3,0,0,'Données projet'!$E$12+1,1))</f>
        <v>695.0879239758051</v>
      </c>
      <c r="CE138" s="59">
        <f t="shared" si="148"/>
        <v>226.22150997227476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60.703582107648899</v>
      </c>
      <c r="CL138" s="21">
        <f>EXP(-LN(2)/25)*CL137+(1-EXP(-LN(2)/25))/(LN(2)/25)*Calculateur!CG138*Calculateur!CI138*VLOOKUP('Données projet'!$B$12,Paramètres!$A$1:$I$89,3,0)*0.475*44/12</f>
        <v>25.775748431806548</v>
      </c>
      <c r="CM138" s="21">
        <f>EXP(-LN(2)/2)*CM137+(1-EXP(-LN(2)/2))/(LN(2)/2)*CG138*CJ138*VLOOKUP('Données projet'!$B$12,Paramètres!$A$1:$I$89,3,0)*0.475*44/12</f>
        <v>1.0432685660524906E-6</v>
      </c>
      <c r="CN138" s="22">
        <f t="shared" si="120"/>
        <v>86.479331582724015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10.843999999999994</v>
      </c>
      <c r="CT138" s="12">
        <f>IF('Données projet'!$A$140&gt;35,CT137+CS138-DB137,IF(A138&lt;'Données projet'!$A$140,$CQ$205^A138,IF(A138='Données projet'!$A$140,'Données projet'!$B$140,CT137+CS138-DB137)))</f>
        <v>584.83000000000015</v>
      </c>
      <c r="CU138" s="17">
        <f>CT138*VLOOKUP('Données projet'!$B$13,Paramètres!$A$1:$I$89,3,0)*VLOOKUP('Données projet'!$B$13,Paramètres!$A$1:$I$89,5,0)</f>
        <v>593.01762000000019</v>
      </c>
      <c r="CV138" s="13">
        <f t="shared" si="149"/>
        <v>129.96744880001114</v>
      </c>
      <c r="CW138" s="20">
        <f t="shared" si="121"/>
        <v>1259.1989948266862</v>
      </c>
      <c r="CX138" s="59">
        <f t="shared" si="122"/>
        <v>1552.5323281600195</v>
      </c>
      <c r="CY138" s="59">
        <f ca="1">AVERAGE(OFFSET($CX$3,0,0,'Données projet'!$E$13+1,1))-AVERAGE(OFFSET($H$3,0,0,'Données projet'!$E$13+1,1))</f>
        <v>773.15074145293738</v>
      </c>
      <c r="CZ138" s="59">
        <f t="shared" si="150"/>
        <v>248.49577986312505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68.029876499951342</v>
      </c>
      <c r="DG138" s="21">
        <f>EXP(-LN(2)/25)*DG137+(1-EXP(-LN(2)/25))/(LN(2)/25)*Calculateur!DB138*Calculateur!DD138*VLOOKUP('Données projet'!$B$13,Paramètres!$A$1:$I$89,3,0)*0.475*44/12</f>
        <v>28.886614621852175</v>
      </c>
      <c r="DH138" s="21">
        <f>EXP(-LN(2)/2)*DH137+(1-EXP(-LN(2)/2))/(LN(2)/2)*DB138*DE138*VLOOKUP('Données projet'!$B$13,Paramètres!$A$1:$I$89,3,0)*0.475*44/12</f>
        <v>1.169180289541585E-6</v>
      </c>
      <c r="DI138" s="22">
        <f t="shared" si="123"/>
        <v>96.916492290983811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3.4106051316484809E-13</v>
      </c>
      <c r="DP138" s="17">
        <f>DO138*VLOOKUP('Données projet'!$B$14,Paramètres!$A$1:$I$89,3,0)*VLOOKUP('Données projet'!$B$14,Paramètres!$A$1:$I$89,5,0)</f>
        <v>1.5961632016114892E-13</v>
      </c>
      <c r="DQ138" s="13">
        <f t="shared" si="151"/>
        <v>2.2708641912150958E-12</v>
      </c>
      <c r="DR138" s="20">
        <f t="shared" si="124"/>
        <v>4.2330868906469593E-12</v>
      </c>
      <c r="DS138" s="59">
        <f t="shared" si="125"/>
        <v>293.33333333333752</v>
      </c>
      <c r="DT138" s="59">
        <f ca="1">AVERAGE(OFFSET($DS$3,0,0,'Données projet'!$E$14+1,1))-AVERAGE(OFFSET($H$3,0,0,'Données projet'!$E$14+1,1))</f>
        <v>293.15557501692803</v>
      </c>
      <c r="DU138" s="59">
        <f t="shared" si="152"/>
        <v>237.1930412773068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78.411527279443035</v>
      </c>
      <c r="EB138" s="21">
        <f>EXP(-LN(2)/25)*EB137+(1-EXP(-LN(2)/25))/(LN(2)/25)*Calculateur!DW138*Calculateur!DY138*VLOOKUP('Données projet'!$B$14,Paramètres!$A$1:$I$89,3,0)*0.475*44/12</f>
        <v>20.369057364341945</v>
      </c>
      <c r="EC138" s="21">
        <f>EXP(-LN(2)/2)*EC137+(1-EXP(-LN(2)/2))/(LN(2)/2)*DW138*DZ138*VLOOKUP('Données projet'!$B$14,Paramètres!$A$1:$I$89,3,0)*0.475*44/12</f>
        <v>3.8437376731973445E-3</v>
      </c>
      <c r="ED138" s="22">
        <f t="shared" si="126"/>
        <v>98.78442838145817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-1.7053025658242404E-13</v>
      </c>
      <c r="EK138" s="17">
        <f>EJ138*VLOOKUP('Données projet'!$B$15,Paramètres!$A$1:$I$89,3,0)*VLOOKUP('Données projet'!$B$15,Paramètres!$A$1:$I$89,5,0)</f>
        <v>-1.0197709343628959E-13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225.86663363047296</v>
      </c>
      <c r="EP138" s="59">
        <f t="shared" si="154"/>
        <v>258.08349727304397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24.081578489593781</v>
      </c>
      <c r="EW138" s="21">
        <f>EXP(-LN(2)/25)*EW137+(1-EXP(-LN(2)/25))/(LN(2)/25)*Calculateur!ER138*Calculateur!ET138*VLOOKUP('Données projet'!$B$15,Paramètres!$A$1:$I$89,3,0)*0.475*44/12</f>
        <v>4.9388557785206588</v>
      </c>
      <c r="EX138" s="21">
        <f>EXP(-LN(2)/2)*EX137+(1-EXP(-LN(2)/2))/(LN(2)/2)*ER138*EU138*VLOOKUP('Données projet'!$B$15,Paramètres!$A$1:$I$89,3,0)*0.475*44/12</f>
        <v>4.60146926206069E-10</v>
      </c>
      <c r="EY138" s="22">
        <f t="shared" si="129"/>
        <v>29.020434268574586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388.12151914648013</v>
      </c>
      <c r="T139" s="59">
        <f t="shared" si="142"/>
        <v>481.43684454382793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36.509198053966564</v>
      </c>
      <c r="AA139" s="21">
        <f>EXP(-LN(2)/25)*AA138+(1-EXP(-LN(2)/25))/(LN(2)/25)*Calculateur!V139*Calculateur!X139*VLOOKUP('Données projet'!$B$9,Paramètres!$A$1:$I$89,3,0)*0.475*44/12</f>
        <v>6.71074693514917</v>
      </c>
      <c r="AB139" s="21">
        <f>EXP(-LN(2)/2)*AB138+(1-EXP(-LN(2)/2))/(LN(2)/2)*V139*Y139*VLOOKUP('Données projet'!$B$9,Paramètres!$A$1:$I$89,3,0)*0.475*44/12</f>
        <v>7.0307862226436409E-11</v>
      </c>
      <c r="AC139" s="22">
        <f t="shared" si="111"/>
        <v>43.21994498918604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-1.3596945791505279E-13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349.71285006949597</v>
      </c>
      <c r="AO139" s="59">
        <f t="shared" si="144"/>
        <v>258.51550516456842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50.559409893671123</v>
      </c>
      <c r="AV139" s="21">
        <f>EXP(-LN(2)/25)*AV138+(1-EXP(-LN(2)/25))/(LN(2)/25)*Calculateur!AQ139*Calculateur!AS139*VLOOKUP('Données projet'!$B$10,Paramètres!$A$1:$I$89,3,0)*0.475*44/12</f>
        <v>10.953576272790732</v>
      </c>
      <c r="AW139" s="21">
        <f>EXP(-LN(2)/2)*AW138+(1-EXP(-LN(2)/2))/(LN(2)/2)*AQ139*AT139*VLOOKUP('Données projet'!$B$10,Paramètres!$A$1:$I$89,3,0)*0.475*44/12</f>
        <v>2.6344002336713935E-7</v>
      </c>
      <c r="AX139" s="21">
        <f t="shared" si="114"/>
        <v>61.512986429901879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8.5265128291212022E-14</v>
      </c>
      <c r="BE139" s="13">
        <f>BD139*VLOOKUP('Données projet'!$B$11,Paramètres!$A$1:$I$89,3,0)*VLOOKUP('Données projet'!$B$11,Paramètres!$A$1:$I$89,5,0)</f>
        <v>8.9119112089974823E-14</v>
      </c>
      <c r="BF139" s="13">
        <f t="shared" si="145"/>
        <v>1.3568952080113142E-12</v>
      </c>
      <c r="BG139" s="20">
        <f t="shared" si="115"/>
        <v>2.5184749408430782E-12</v>
      </c>
      <c r="BH139" s="59">
        <f t="shared" si="116"/>
        <v>293.33333333333582</v>
      </c>
      <c r="BI139" s="59">
        <f ca="1">AVERAGE(OFFSET($BH$3,0,0,'Données projet'!$E$11+1,1))-AVERAGE(OFFSET($H$3,0,0,'Données projet'!$E$11+1,1))</f>
        <v>260.74709892624571</v>
      </c>
      <c r="BJ139" s="59">
        <f t="shared" si="146"/>
        <v>237.17381692184887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8.7251236684377602</v>
      </c>
      <c r="BQ139" s="21">
        <f>EXP(-LN(2)/25)*BQ138+(1-EXP(-LN(2)/25))/(LN(2)/25)*Calculateur!BL139*Calculateur!BN139*VLOOKUP('Données projet'!$B$11,Paramètres!$A$1:$I$89,3,0)*0.475*44/12</f>
        <v>16.750179617232973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25.475303285670734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10.843999999999994</v>
      </c>
      <c r="BY139" s="12">
        <f>IF('Données projet'!$A$114&gt;35,BY138+BX139-CG138,IF(A139&lt;'Données projet'!$A$114,$BV$205^A139,IF(A139='Données projet'!$A$114,'Données projet'!$B$114,BY138+BX139-CG138)))</f>
        <v>595.67400000000021</v>
      </c>
      <c r="BZ139" s="13">
        <f>BY139*VLOOKUP('Données projet'!$B$12,Paramètres!$A$1:$I$89,3,0)*VLOOKUP('Données projet'!$B$12,Paramètres!$A$1:$I$89,5,0)</f>
        <v>538.96583520000013</v>
      </c>
      <c r="CA139" s="13">
        <f t="shared" si="147"/>
        <v>119.44268934083149</v>
      </c>
      <c r="CB139" s="20">
        <f t="shared" si="118"/>
        <v>1146.7281802419484</v>
      </c>
      <c r="CC139" s="59">
        <f t="shared" si="119"/>
        <v>1440.0615135752817</v>
      </c>
      <c r="CD139" s="59">
        <f ca="1">AVERAGE(OFFSET($CC$3,0,0,'Données projet'!$E$12+1,1))-AVERAGE(OFFSET($H$3,0,0,'Données projet'!$E$12+1,1))</f>
        <v>695.0879239758051</v>
      </c>
      <c r="CE139" s="59">
        <f t="shared" si="148"/>
        <v>226.22150997227476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59.513221888047021</v>
      </c>
      <c r="CL139" s="21">
        <f>EXP(-LN(2)/25)*CL138+(1-EXP(-LN(2)/25))/(LN(2)/25)*Calculateur!CG139*Calculateur!CI139*VLOOKUP('Données projet'!$B$12,Paramètres!$A$1:$I$89,3,0)*0.475*44/12</f>
        <v>25.070909235451101</v>
      </c>
      <c r="CM139" s="21">
        <f>EXP(-LN(2)/2)*CM138+(1-EXP(-LN(2)/2))/(LN(2)/2)*CG139*CJ139*VLOOKUP('Données projet'!$B$12,Paramètres!$A$1:$I$89,3,0)*0.475*44/12</f>
        <v>7.3770227765448166E-7</v>
      </c>
      <c r="CN139" s="22">
        <f t="shared" si="120"/>
        <v>84.584131861200405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10.843999999999994</v>
      </c>
      <c r="CT139" s="12">
        <f>IF('Données projet'!$A$140&gt;35,CT138+CS139-DB138,IF(A139&lt;'Données projet'!$A$140,$CQ$205^A139,IF(A139='Données projet'!$A$140,'Données projet'!$B$140,CT138+CS139-DB138)))</f>
        <v>595.67400000000021</v>
      </c>
      <c r="CU139" s="17">
        <f>CT139*VLOOKUP('Données projet'!$B$13,Paramètres!$A$1:$I$89,3,0)*VLOOKUP('Données projet'!$B$13,Paramètres!$A$1:$I$89,5,0)</f>
        <v>604.01343600000018</v>
      </c>
      <c r="CV139" s="13">
        <f t="shared" si="149"/>
        <v>132.09453186796506</v>
      </c>
      <c r="CW139" s="20">
        <f t="shared" si="121"/>
        <v>1282.0547107033728</v>
      </c>
      <c r="CX139" s="59">
        <f t="shared" si="122"/>
        <v>1575.3880440367061</v>
      </c>
      <c r="CY139" s="59">
        <f ca="1">AVERAGE(OFFSET($CX$3,0,0,'Données projet'!$E$13+1,1))-AVERAGE(OFFSET($H$3,0,0,'Données projet'!$E$13+1,1))</f>
        <v>773.15074145293738</v>
      </c>
      <c r="CZ139" s="59">
        <f t="shared" si="150"/>
        <v>248.49577986312505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66.695852115914761</v>
      </c>
      <c r="DG139" s="21">
        <f>EXP(-LN(2)/25)*DG138+(1-EXP(-LN(2)/25))/(LN(2)/25)*Calculateur!DB139*Calculateur!DD139*VLOOKUP('Données projet'!$B$13,Paramètres!$A$1:$I$89,3,0)*0.475*44/12</f>
        <v>28.096708625936586</v>
      </c>
      <c r="DH139" s="21">
        <f>EXP(-LN(2)/2)*DH138+(1-EXP(-LN(2)/2))/(LN(2)/2)*DB139*DE139*VLOOKUP('Données projet'!$B$13,Paramètres!$A$1:$I$89,3,0)*0.475*44/12</f>
        <v>8.267353111645058E-7</v>
      </c>
      <c r="DI139" s="22">
        <f t="shared" si="123"/>
        <v>94.792561568586663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3.4106051316484809E-13</v>
      </c>
      <c r="DP139" s="17">
        <f>DO139*VLOOKUP('Données projet'!$B$14,Paramètres!$A$1:$I$89,3,0)*VLOOKUP('Données projet'!$B$14,Paramètres!$A$1:$I$89,5,0)</f>
        <v>1.5961632016114892E-13</v>
      </c>
      <c r="DQ139" s="13">
        <f t="shared" si="151"/>
        <v>2.2708641912150958E-12</v>
      </c>
      <c r="DR139" s="20">
        <f t="shared" si="124"/>
        <v>4.2330868906469593E-12</v>
      </c>
      <c r="DS139" s="59">
        <f t="shared" si="125"/>
        <v>293.33333333333752</v>
      </c>
      <c r="DT139" s="59">
        <f ca="1">AVERAGE(OFFSET($DS$3,0,0,'Données projet'!$E$14+1,1))-AVERAGE(OFFSET($H$3,0,0,'Données projet'!$E$14+1,1))</f>
        <v>293.15557501692803</v>
      </c>
      <c r="DU139" s="59">
        <f t="shared" si="152"/>
        <v>237.1930412773068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76.873925055802346</v>
      </c>
      <c r="EB139" s="21">
        <f>EXP(-LN(2)/25)*EB138+(1-EXP(-LN(2)/25))/(LN(2)/25)*Calculateur!DW139*Calculateur!DY139*VLOOKUP('Données projet'!$B$14,Paramètres!$A$1:$I$89,3,0)*0.475*44/12</f>
        <v>19.812064419551842</v>
      </c>
      <c r="EC139" s="21">
        <f>EXP(-LN(2)/2)*EC138+(1-EXP(-LN(2)/2))/(LN(2)/2)*DW139*DZ139*VLOOKUP('Données projet'!$B$14,Paramètres!$A$1:$I$89,3,0)*0.475*44/12</f>
        <v>2.7179329738200443E-3</v>
      </c>
      <c r="ED139" s="22">
        <f t="shared" si="126"/>
        <v>96.688707408328014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-1.7053025658242404E-13</v>
      </c>
      <c r="EK139" s="17">
        <f>EJ139*VLOOKUP('Données projet'!$B$15,Paramètres!$A$1:$I$89,3,0)*VLOOKUP('Données projet'!$B$15,Paramètres!$A$1:$I$89,5,0)</f>
        <v>-1.0197709343628959E-13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225.86663363047296</v>
      </c>
      <c r="EP139" s="59">
        <f t="shared" si="154"/>
        <v>258.08349727304397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23.609353423725373</v>
      </c>
      <c r="EW139" s="21">
        <f>EXP(-LN(2)/25)*EW138+(1-EXP(-LN(2)/25))/(LN(2)/25)*Calculateur!ER139*Calculateur!ET139*VLOOKUP('Données projet'!$B$15,Paramètres!$A$1:$I$89,3,0)*0.475*44/12</f>
        <v>4.8038025075338737</v>
      </c>
      <c r="EX139" s="21">
        <f>EXP(-LN(2)/2)*EX138+(1-EXP(-LN(2)/2))/(LN(2)/2)*ER139*EU139*VLOOKUP('Données projet'!$B$15,Paramètres!$A$1:$I$89,3,0)*0.475*44/12</f>
        <v>3.2537301186245728E-10</v>
      </c>
      <c r="EY139" s="22">
        <f t="shared" si="129"/>
        <v>28.413155931584619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388.12151914648013</v>
      </c>
      <c r="T140" s="59">
        <f t="shared" si="142"/>
        <v>481.43684454382793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35.793274948540272</v>
      </c>
      <c r="AA140" s="21">
        <f>EXP(-LN(2)/25)*AA139+(1-EXP(-LN(2)/25))/(LN(2)/25)*Calculateur!V140*Calculateur!X140*VLOOKUP('Données projet'!$B$9,Paramètres!$A$1:$I$89,3,0)*0.475*44/12</f>
        <v>6.5272412073046722</v>
      </c>
      <c r="AB140" s="21">
        <f>EXP(-LN(2)/2)*AB139+(1-EXP(-LN(2)/2))/(LN(2)/2)*V140*Y140*VLOOKUP('Données projet'!$B$9,Paramètres!$A$1:$I$89,3,0)*0.475*44/12</f>
        <v>4.97151661510427E-11</v>
      </c>
      <c r="AC140" s="22">
        <f t="shared" si="111"/>
        <v>42.320516155894659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-1.3596945791505279E-13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349.71285006949597</v>
      </c>
      <c r="AO140" s="59">
        <f t="shared" si="144"/>
        <v>258.51550516456842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49.567970703851252</v>
      </c>
      <c r="AV140" s="21">
        <f>EXP(-LN(2)/25)*AV139+(1-EXP(-LN(2)/25))/(LN(2)/25)*Calculateur!AQ140*Calculateur!AS140*VLOOKUP('Données projet'!$B$10,Paramètres!$A$1:$I$89,3,0)*0.475*44/12</f>
        <v>10.654050153587729</v>
      </c>
      <c r="AW140" s="21">
        <f>EXP(-LN(2)/2)*AW139+(1-EXP(-LN(2)/2))/(LN(2)/2)*AQ140*AT140*VLOOKUP('Données projet'!$B$10,Paramètres!$A$1:$I$89,3,0)*0.475*44/12</f>
        <v>1.8628022695884677E-7</v>
      </c>
      <c r="AX140" s="21">
        <f t="shared" si="114"/>
        <v>60.222021043719202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8.5265128291212022E-14</v>
      </c>
      <c r="BE140" s="13">
        <f>BD140*VLOOKUP('Données projet'!$B$11,Paramètres!$A$1:$I$89,3,0)*VLOOKUP('Données projet'!$B$11,Paramètres!$A$1:$I$89,5,0)</f>
        <v>8.9119112089974823E-14</v>
      </c>
      <c r="BF140" s="13">
        <f t="shared" si="145"/>
        <v>1.3568952080113142E-12</v>
      </c>
      <c r="BG140" s="20">
        <f t="shared" si="115"/>
        <v>2.5184749408430782E-12</v>
      </c>
      <c r="BH140" s="59">
        <f t="shared" si="116"/>
        <v>293.33333333333582</v>
      </c>
      <c r="BI140" s="59">
        <f ca="1">AVERAGE(OFFSET($BH$3,0,0,'Données projet'!$E$11+1,1))-AVERAGE(OFFSET($H$3,0,0,'Données projet'!$E$11+1,1))</f>
        <v>260.74709892624571</v>
      </c>
      <c r="BJ140" s="59">
        <f t="shared" si="146"/>
        <v>237.17381692184887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8.5540293150996494</v>
      </c>
      <c r="BQ140" s="21">
        <f>EXP(-LN(2)/25)*BQ139+(1-EXP(-LN(2)/25))/(LN(2)/25)*Calculateur!BL140*Calculateur!BN140*VLOOKUP('Données projet'!$B$11,Paramètres!$A$1:$I$89,3,0)*0.475*44/12</f>
        <v>16.292145074746074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24.846174389845721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10.843999999999994</v>
      </c>
      <c r="BY140" s="12">
        <f>IF('Données projet'!$A$114&gt;35,BY139+BX140-CG139,IF(A140&lt;'Données projet'!$A$114,$BV$205^A140,IF(A140='Données projet'!$A$114,'Données projet'!$B$114,BY139+BX140-CG139)))</f>
        <v>606.51800000000026</v>
      </c>
      <c r="BZ140" s="13">
        <f>BY140*VLOOKUP('Données projet'!$B$12,Paramètres!$A$1:$I$89,3,0)*VLOOKUP('Données projet'!$B$12,Paramètres!$A$1:$I$89,5,0)</f>
        <v>548.77748640000016</v>
      </c>
      <c r="CA140" s="13">
        <f t="shared" si="147"/>
        <v>121.36197162144936</v>
      </c>
      <c r="CB140" s="20">
        <f t="shared" si="118"/>
        <v>1167.1595560540247</v>
      </c>
      <c r="CC140" s="59">
        <f t="shared" si="119"/>
        <v>1460.492889387358</v>
      </c>
      <c r="CD140" s="59">
        <f ca="1">AVERAGE(OFFSET($CC$3,0,0,'Données projet'!$E$12+1,1))-AVERAGE(OFFSET($H$3,0,0,'Données projet'!$E$12+1,1))</f>
        <v>695.0879239758051</v>
      </c>
      <c r="CE140" s="59">
        <f t="shared" si="148"/>
        <v>226.22150997227476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58.346203906303494</v>
      </c>
      <c r="CL140" s="21">
        <f>EXP(-LN(2)/25)*CL139+(1-EXP(-LN(2)/25))/(LN(2)/25)*Calculateur!CG140*Calculateur!CI140*VLOOKUP('Données projet'!$B$12,Paramètres!$A$1:$I$89,3,0)*0.475*44/12</f>
        <v>24.385343903985873</v>
      </c>
      <c r="CM140" s="21">
        <f>EXP(-LN(2)/2)*CM139+(1-EXP(-LN(2)/2))/(LN(2)/2)*CG140*CJ140*VLOOKUP('Données projet'!$B$12,Paramètres!$A$1:$I$89,3,0)*0.475*44/12</f>
        <v>5.2163428302624528E-7</v>
      </c>
      <c r="CN140" s="22">
        <f t="shared" si="120"/>
        <v>82.731548331923648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10.843999999999994</v>
      </c>
      <c r="CT140" s="12">
        <f>IF('Données projet'!$A$140&gt;35,CT139+CS140-DB139,IF(A140&lt;'Données projet'!$A$140,$CQ$205^A140,IF(A140='Données projet'!$A$140,'Données projet'!$B$140,CT139+CS140-DB139)))</f>
        <v>606.51800000000026</v>
      </c>
      <c r="CU140" s="17">
        <f>CT140*VLOOKUP('Données projet'!$B$13,Paramètres!$A$1:$I$89,3,0)*VLOOKUP('Données projet'!$B$13,Paramètres!$A$1:$I$89,5,0)</f>
        <v>615.00925200000029</v>
      </c>
      <c r="CV140" s="13">
        <f t="shared" si="149"/>
        <v>134.21711212616125</v>
      </c>
      <c r="CW140" s="20">
        <f t="shared" si="121"/>
        <v>1304.9025841863979</v>
      </c>
      <c r="CX140" s="59">
        <f t="shared" si="122"/>
        <v>1598.2359175197312</v>
      </c>
      <c r="CY140" s="59">
        <f ca="1">AVERAGE(OFFSET($CX$3,0,0,'Données projet'!$E$13+1,1))-AVERAGE(OFFSET($H$3,0,0,'Données projet'!$E$13+1,1))</f>
        <v>773.15074145293738</v>
      </c>
      <c r="CZ140" s="59">
        <f t="shared" si="150"/>
        <v>248.49577986312505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65.387987136374605</v>
      </c>
      <c r="DG140" s="21">
        <f>EXP(-LN(2)/25)*DG139+(1-EXP(-LN(2)/25))/(LN(2)/25)*Calculateur!DB140*Calculateur!DD140*VLOOKUP('Données projet'!$B$13,Paramètres!$A$1:$I$89,3,0)*0.475*44/12</f>
        <v>27.32840265101866</v>
      </c>
      <c r="DH140" s="21">
        <f>EXP(-LN(2)/2)*DH139+(1-EXP(-LN(2)/2))/(LN(2)/2)*DB140*DE140*VLOOKUP('Données projet'!$B$13,Paramètres!$A$1:$I$89,3,0)*0.475*44/12</f>
        <v>5.8459014477079248E-7</v>
      </c>
      <c r="DI140" s="22">
        <f t="shared" si="123"/>
        <v>92.716390371983408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3.4106051316484809E-13</v>
      </c>
      <c r="DP140" s="17">
        <f>DO140*VLOOKUP('Données projet'!$B$14,Paramètres!$A$1:$I$89,3,0)*VLOOKUP('Données projet'!$B$14,Paramètres!$A$1:$I$89,5,0)</f>
        <v>1.5961632016114892E-13</v>
      </c>
      <c r="DQ140" s="13">
        <f t="shared" si="151"/>
        <v>2.2708641912150958E-12</v>
      </c>
      <c r="DR140" s="20">
        <f t="shared" si="124"/>
        <v>4.2330868906469593E-12</v>
      </c>
      <c r="DS140" s="59">
        <f t="shared" si="125"/>
        <v>293.33333333333752</v>
      </c>
      <c r="DT140" s="59">
        <f ca="1">AVERAGE(OFFSET($DS$3,0,0,'Données projet'!$E$14+1,1))-AVERAGE(OFFSET($H$3,0,0,'Données projet'!$E$14+1,1))</f>
        <v>293.15557501692803</v>
      </c>
      <c r="DU140" s="59">
        <f t="shared" si="152"/>
        <v>237.1930412773068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75.366474273922492</v>
      </c>
      <c r="EB140" s="21">
        <f>EXP(-LN(2)/25)*EB139+(1-EXP(-LN(2)/25))/(LN(2)/25)*Calculateur!DW140*Calculateur!DY140*VLOOKUP('Données projet'!$B$14,Paramètres!$A$1:$I$89,3,0)*0.475*44/12</f>
        <v>19.270302476128009</v>
      </c>
      <c r="EC140" s="21">
        <f>EXP(-LN(2)/2)*EC139+(1-EXP(-LN(2)/2))/(LN(2)/2)*DW140*DZ140*VLOOKUP('Données projet'!$B$14,Paramètres!$A$1:$I$89,3,0)*0.475*44/12</f>
        <v>1.9218688365986727E-3</v>
      </c>
      <c r="ED140" s="22">
        <f t="shared" si="126"/>
        <v>94.638698618887105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-1.7053025658242404E-13</v>
      </c>
      <c r="EK140" s="17">
        <f>EJ140*VLOOKUP('Données projet'!$B$15,Paramètres!$A$1:$I$89,3,0)*VLOOKUP('Données projet'!$B$15,Paramètres!$A$1:$I$89,5,0)</f>
        <v>-1.0197709343628959E-13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225.86663363047296</v>
      </c>
      <c r="EP140" s="59">
        <f t="shared" si="154"/>
        <v>258.08349727304397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23.146388403369798</v>
      </c>
      <c r="EW140" s="21">
        <f>EXP(-LN(2)/25)*EW139+(1-EXP(-LN(2)/25))/(LN(2)/25)*Calculateur!ER140*Calculateur!ET140*VLOOKUP('Données projet'!$B$15,Paramètres!$A$1:$I$89,3,0)*0.475*44/12</f>
        <v>4.6724422753443653</v>
      </c>
      <c r="EX140" s="21">
        <f>EXP(-LN(2)/2)*EX139+(1-EXP(-LN(2)/2))/(LN(2)/2)*ER140*EU140*VLOOKUP('Données projet'!$B$15,Paramètres!$A$1:$I$89,3,0)*0.475*44/12</f>
        <v>2.3007346310303452E-10</v>
      </c>
      <c r="EY140" s="22">
        <f t="shared" si="129"/>
        <v>27.818830678944238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388.12151914648013</v>
      </c>
      <c r="T141" s="59">
        <f t="shared" si="142"/>
        <v>481.43684454382793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35.091390658541414</v>
      </c>
      <c r="AA141" s="21">
        <f>EXP(-LN(2)/25)*AA140+(1-EXP(-LN(2)/25))/(LN(2)/25)*Calculateur!V141*Calculateur!X141*VLOOKUP('Données projet'!$B$9,Paramètres!$A$1:$I$89,3,0)*0.475*44/12</f>
        <v>6.3487534532382286</v>
      </c>
      <c r="AB141" s="21">
        <f>EXP(-LN(2)/2)*AB140+(1-EXP(-LN(2)/2))/(LN(2)/2)*V141*Y141*VLOOKUP('Données projet'!$B$9,Paramètres!$A$1:$I$89,3,0)*0.475*44/12</f>
        <v>3.5153931113218204E-11</v>
      </c>
      <c r="AC141" s="22">
        <f t="shared" si="111"/>
        <v>41.440144111814796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-1.3596945791505279E-13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349.71285006949597</v>
      </c>
      <c r="AO141" s="59">
        <f t="shared" si="144"/>
        <v>258.51550516456842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48.595973031825551</v>
      </c>
      <c r="AV141" s="21">
        <f>EXP(-LN(2)/25)*AV140+(1-EXP(-LN(2)/25))/(LN(2)/25)*Calculateur!AQ141*Calculateur!AS141*VLOOKUP('Données projet'!$B$10,Paramètres!$A$1:$I$89,3,0)*0.475*44/12</f>
        <v>10.362714591865725</v>
      </c>
      <c r="AW141" s="21">
        <f>EXP(-LN(2)/2)*AW140+(1-EXP(-LN(2)/2))/(LN(2)/2)*AQ141*AT141*VLOOKUP('Données projet'!$B$10,Paramètres!$A$1:$I$89,3,0)*0.475*44/12</f>
        <v>1.3172001168356967E-7</v>
      </c>
      <c r="AX141" s="21">
        <f t="shared" si="114"/>
        <v>58.95868775541129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8.5265128291212022E-14</v>
      </c>
      <c r="BE141" s="13">
        <f>BD141*VLOOKUP('Données projet'!$B$11,Paramètres!$A$1:$I$89,3,0)*VLOOKUP('Données projet'!$B$11,Paramètres!$A$1:$I$89,5,0)</f>
        <v>8.9119112089974823E-14</v>
      </c>
      <c r="BF141" s="13">
        <f t="shared" si="145"/>
        <v>1.3568952080113142E-12</v>
      </c>
      <c r="BG141" s="20">
        <f t="shared" si="115"/>
        <v>2.5184749408430782E-12</v>
      </c>
      <c r="BH141" s="59">
        <f t="shared" si="116"/>
        <v>293.33333333333582</v>
      </c>
      <c r="BI141" s="59">
        <f ca="1">AVERAGE(OFFSET($BH$3,0,0,'Données projet'!$E$11+1,1))-AVERAGE(OFFSET($H$3,0,0,'Données projet'!$E$11+1,1))</f>
        <v>260.74709892624571</v>
      </c>
      <c r="BJ141" s="59">
        <f t="shared" si="146"/>
        <v>237.17381692184887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8.3862900176732484</v>
      </c>
      <c r="BQ141" s="21">
        <f>EXP(-LN(2)/25)*BQ140+(1-EXP(-LN(2)/25))/(LN(2)/25)*Calculateur!BL141*Calculateur!BN141*VLOOKUP('Données projet'!$B$11,Paramètres!$A$1:$I$89,3,0)*0.475*44/12</f>
        <v>15.846635510910469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24.232925528583717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10.843999999999994</v>
      </c>
      <c r="BY141" s="12">
        <f>IF('Données projet'!$A$114&gt;35,BY140+BX141-CG140,IF(A141&lt;'Données projet'!$A$114,$BV$205^A141,IF(A141='Données projet'!$A$114,'Données projet'!$B$114,BY140+BX141-CG140)))</f>
        <v>617.36200000000031</v>
      </c>
      <c r="BZ141" s="13">
        <f>BY141*VLOOKUP('Données projet'!$B$12,Paramètres!$A$1:$I$89,3,0)*VLOOKUP('Données projet'!$B$12,Paramètres!$A$1:$I$89,5,0)</f>
        <v>558.5891376000003</v>
      </c>
      <c r="CA141" s="13">
        <f t="shared" si="147"/>
        <v>123.27726355861266</v>
      </c>
      <c r="CB141" s="20">
        <f t="shared" si="118"/>
        <v>1187.5839820179174</v>
      </c>
      <c r="CC141" s="59">
        <f t="shared" si="119"/>
        <v>1480.9173153512506</v>
      </c>
      <c r="CD141" s="59">
        <f ca="1">AVERAGE(OFFSET($CC$3,0,0,'Données projet'!$E$12+1,1))-AVERAGE(OFFSET($H$3,0,0,'Données projet'!$E$12+1,1))</f>
        <v>695.0879239758051</v>
      </c>
      <c r="CE141" s="59">
        <f t="shared" si="148"/>
        <v>226.22150997227476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57.202070435371276</v>
      </c>
      <c r="CL141" s="21">
        <f>EXP(-LN(2)/25)*CL140+(1-EXP(-LN(2)/25))/(LN(2)/25)*Calculateur!CG141*Calculateur!CI141*VLOOKUP('Données projet'!$B$12,Paramètres!$A$1:$I$89,3,0)*0.475*44/12</f>
        <v>23.718525392561876</v>
      </c>
      <c r="CM141" s="21">
        <f>EXP(-LN(2)/2)*CM140+(1-EXP(-LN(2)/2))/(LN(2)/2)*CG141*CJ141*VLOOKUP('Données projet'!$B$12,Paramètres!$A$1:$I$89,3,0)*0.475*44/12</f>
        <v>3.6885113882724083E-7</v>
      </c>
      <c r="CN141" s="22">
        <f t="shared" si="120"/>
        <v>80.920596196784288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10.843999999999994</v>
      </c>
      <c r="CT141" s="12">
        <f>IF('Données projet'!$A$140&gt;35,CT140+CS141-DB140,IF(A141&lt;'Données projet'!$A$140,$CQ$205^A141,IF(A141='Données projet'!$A$140,'Données projet'!$B$140,CT140+CS141-DB140)))</f>
        <v>617.36200000000031</v>
      </c>
      <c r="CU141" s="17">
        <f>CT141*VLOOKUP('Données projet'!$B$13,Paramètres!$A$1:$I$89,3,0)*VLOOKUP('Données projet'!$B$13,Paramètres!$A$1:$I$89,5,0)</f>
        <v>626.00506800000039</v>
      </c>
      <c r="CV141" s="13">
        <f t="shared" si="149"/>
        <v>136.33527936792635</v>
      </c>
      <c r="CW141" s="20">
        <f t="shared" si="121"/>
        <v>1327.7427716658058</v>
      </c>
      <c r="CX141" s="59">
        <f t="shared" si="122"/>
        <v>1621.076104999139</v>
      </c>
      <c r="CY141" s="59">
        <f ca="1">AVERAGE(OFFSET($CX$3,0,0,'Données projet'!$E$13+1,1))-AVERAGE(OFFSET($H$3,0,0,'Données projet'!$E$13+1,1))</f>
        <v>773.15074145293738</v>
      </c>
      <c r="CZ141" s="59">
        <f t="shared" si="150"/>
        <v>248.49577986312505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64.105768591364352</v>
      </c>
      <c r="DG141" s="21">
        <f>EXP(-LN(2)/25)*DG140+(1-EXP(-LN(2)/25))/(LN(2)/25)*Calculateur!DB141*Calculateur!DD141*VLOOKUP('Données projet'!$B$13,Paramètres!$A$1:$I$89,3,0)*0.475*44/12</f>
        <v>26.581106043388321</v>
      </c>
      <c r="DH141" s="21">
        <f>EXP(-LN(2)/2)*DH140+(1-EXP(-LN(2)/2))/(LN(2)/2)*DB141*DE141*VLOOKUP('Données projet'!$B$13,Paramètres!$A$1:$I$89,3,0)*0.475*44/12</f>
        <v>4.133676555822529E-7</v>
      </c>
      <c r="DI141" s="22">
        <f t="shared" si="123"/>
        <v>90.686875048120328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3.4106051316484809E-13</v>
      </c>
      <c r="DP141" s="17">
        <f>DO141*VLOOKUP('Données projet'!$B$14,Paramètres!$A$1:$I$89,3,0)*VLOOKUP('Données projet'!$B$14,Paramètres!$A$1:$I$89,5,0)</f>
        <v>1.5961632016114892E-13</v>
      </c>
      <c r="DQ141" s="13">
        <f t="shared" si="151"/>
        <v>2.2708641912150958E-12</v>
      </c>
      <c r="DR141" s="20">
        <f t="shared" si="124"/>
        <v>4.2330868906469593E-12</v>
      </c>
      <c r="DS141" s="59">
        <f t="shared" si="125"/>
        <v>293.33333333333752</v>
      </c>
      <c r="DT141" s="59">
        <f ca="1">AVERAGE(OFFSET($DS$3,0,0,'Données projet'!$E$14+1,1))-AVERAGE(OFFSET($H$3,0,0,'Données projet'!$E$14+1,1))</f>
        <v>293.15557501692803</v>
      </c>
      <c r="DU141" s="59">
        <f t="shared" si="152"/>
        <v>237.1930412773068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73.888583682421114</v>
      </c>
      <c r="EB141" s="21">
        <f>EXP(-LN(2)/25)*EB140+(1-EXP(-LN(2)/25))/(LN(2)/25)*Calculateur!DW141*Calculateur!DY141*VLOOKUP('Données projet'!$B$14,Paramètres!$A$1:$I$89,3,0)*0.475*44/12</f>
        <v>18.743355041537125</v>
      </c>
      <c r="EC141" s="21">
        <f>EXP(-LN(2)/2)*EC140+(1-EXP(-LN(2)/2))/(LN(2)/2)*DW141*DZ141*VLOOKUP('Données projet'!$B$14,Paramètres!$A$1:$I$89,3,0)*0.475*44/12</f>
        <v>1.3589664869100224E-3</v>
      </c>
      <c r="ED141" s="22">
        <f t="shared" si="126"/>
        <v>92.633297690445147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-1.7053025658242404E-13</v>
      </c>
      <c r="EK141" s="17">
        <f>EJ141*VLOOKUP('Données projet'!$B$15,Paramètres!$A$1:$I$89,3,0)*VLOOKUP('Données projet'!$B$15,Paramètres!$A$1:$I$89,5,0)</f>
        <v>-1.0197709343628959E-13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225.86663363047296</v>
      </c>
      <c r="EP141" s="59">
        <f t="shared" si="154"/>
        <v>258.08349727304397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22.692501844682614</v>
      </c>
      <c r="EW141" s="21">
        <f>EXP(-LN(2)/25)*EW140+(1-EXP(-LN(2)/25))/(LN(2)/25)*Calculateur!ER141*Calculateur!ET141*VLOOKUP('Données projet'!$B$15,Paramètres!$A$1:$I$89,3,0)*0.475*44/12</f>
        <v>4.5446740956120131</v>
      </c>
      <c r="EX141" s="21">
        <f>EXP(-LN(2)/2)*EX140+(1-EXP(-LN(2)/2))/(LN(2)/2)*ER141*EU141*VLOOKUP('Données projet'!$B$15,Paramètres!$A$1:$I$89,3,0)*0.475*44/12</f>
        <v>1.6268650593122866E-10</v>
      </c>
      <c r="EY141" s="22">
        <f t="shared" si="129"/>
        <v>27.237175940457313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388.12151914648013</v>
      </c>
      <c r="T142" s="59">
        <f t="shared" si="142"/>
        <v>481.43684454382793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34.403269891362285</v>
      </c>
      <c r="AA142" s="21">
        <f>EXP(-LN(2)/25)*AA141+(1-EXP(-LN(2)/25))/(LN(2)/25)*Calculateur!V142*Calculateur!X142*VLOOKUP('Données projet'!$B$9,Paramètres!$A$1:$I$89,3,0)*0.475*44/12</f>
        <v>6.1751464561929952</v>
      </c>
      <c r="AB142" s="21">
        <f>EXP(-LN(2)/2)*AB141+(1-EXP(-LN(2)/2))/(LN(2)/2)*V142*Y142*VLOOKUP('Données projet'!$B$9,Paramètres!$A$1:$I$89,3,0)*0.475*44/12</f>
        <v>2.485758307552135E-11</v>
      </c>
      <c r="AC142" s="22">
        <f t="shared" si="111"/>
        <v>40.578416347580138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-1.3596945791505279E-13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349.71285006949597</v>
      </c>
      <c r="AO142" s="59">
        <f t="shared" si="144"/>
        <v>258.51550516456842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47.643035641288236</v>
      </c>
      <c r="AV142" s="21">
        <f>EXP(-LN(2)/25)*AV141+(1-EXP(-LN(2)/25))/(LN(2)/25)*Calculateur!AQ142*Calculateur!AS142*VLOOKUP('Données projet'!$B$10,Paramètres!$A$1:$I$89,3,0)*0.475*44/12</f>
        <v>10.07934561639968</v>
      </c>
      <c r="AW142" s="21">
        <f>EXP(-LN(2)/2)*AW141+(1-EXP(-LN(2)/2))/(LN(2)/2)*AQ142*AT142*VLOOKUP('Données projet'!$B$10,Paramètres!$A$1:$I$89,3,0)*0.475*44/12</f>
        <v>9.3140113479423386E-8</v>
      </c>
      <c r="AX142" s="21">
        <f t="shared" si="114"/>
        <v>57.72238135082803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8.5265128291212022E-14</v>
      </c>
      <c r="BE142" s="13">
        <f>BD142*VLOOKUP('Données projet'!$B$11,Paramètres!$A$1:$I$89,3,0)*VLOOKUP('Données projet'!$B$11,Paramètres!$A$1:$I$89,5,0)</f>
        <v>8.9119112089974823E-14</v>
      </c>
      <c r="BF142" s="13">
        <f t="shared" si="145"/>
        <v>1.3568952080113142E-12</v>
      </c>
      <c r="BG142" s="20">
        <f t="shared" si="115"/>
        <v>2.5184749408430782E-12</v>
      </c>
      <c r="BH142" s="59">
        <f t="shared" si="116"/>
        <v>293.33333333333582</v>
      </c>
      <c r="BI142" s="59">
        <f ca="1">AVERAGE(OFFSET($BH$3,0,0,'Données projet'!$E$11+1,1))-AVERAGE(OFFSET($H$3,0,0,'Données projet'!$E$11+1,1))</f>
        <v>260.74709892624571</v>
      </c>
      <c r="BJ142" s="59">
        <f t="shared" si="146"/>
        <v>237.17381692184887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8.2218399855585087</v>
      </c>
      <c r="BQ142" s="21">
        <f>EXP(-LN(2)/25)*BQ141+(1-EXP(-LN(2)/25))/(LN(2)/25)*Calculateur!BL142*Calculateur!BN142*VLOOKUP('Données projet'!$B$11,Paramètres!$A$1:$I$89,3,0)*0.475*44/12</f>
        <v>15.413308429526278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23.635148415084785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10.843999999999994</v>
      </c>
      <c r="BY142" s="12">
        <f>IF('Données projet'!$A$114&gt;35,BY141+BX142-CG141,IF(A142&lt;'Données projet'!$A$114,$BV$205^A142,IF(A142='Données projet'!$A$114,'Données projet'!$B$114,BY141+BX142-CG141)))</f>
        <v>628.20600000000036</v>
      </c>
      <c r="BZ142" s="13">
        <f>BY142*VLOOKUP('Données projet'!$B$12,Paramètres!$A$1:$I$89,3,0)*VLOOKUP('Données projet'!$B$12,Paramètres!$A$1:$I$89,5,0)</f>
        <v>568.40078880000033</v>
      </c>
      <c r="CA142" s="13">
        <f t="shared" si="147"/>
        <v>125.1886433296535</v>
      </c>
      <c r="CB142" s="20">
        <f t="shared" si="118"/>
        <v>1208.0015942924804</v>
      </c>
      <c r="CC142" s="59">
        <f t="shared" si="119"/>
        <v>1501.3349276258136</v>
      </c>
      <c r="CD142" s="59">
        <f ca="1">AVERAGE(OFFSET($CC$3,0,0,'Données projet'!$E$12+1,1))-AVERAGE(OFFSET($H$3,0,0,'Données projet'!$E$12+1,1))</f>
        <v>695.0879239758051</v>
      </c>
      <c r="CE142" s="59">
        <f t="shared" si="148"/>
        <v>226.22150997227476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56.080372723951527</v>
      </c>
      <c r="CL142" s="21">
        <f>EXP(-LN(2)/25)*CL141+(1-EXP(-LN(2)/25))/(LN(2)/25)*Calculateur!CG142*Calculateur!CI142*VLOOKUP('Données projet'!$B$12,Paramètres!$A$1:$I$89,3,0)*0.475*44/12</f>
        <v>23.069941068399231</v>
      </c>
      <c r="CM142" s="21">
        <f>EXP(-LN(2)/2)*CM141+(1-EXP(-LN(2)/2))/(LN(2)/2)*CG142*CJ142*VLOOKUP('Données projet'!$B$12,Paramètres!$A$1:$I$89,3,0)*0.475*44/12</f>
        <v>2.6081714151312264E-7</v>
      </c>
      <c r="CN142" s="22">
        <f t="shared" si="120"/>
        <v>79.150314053167904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10.843999999999994</v>
      </c>
      <c r="CT142" s="12">
        <f>IF('Données projet'!$A$140&gt;35,CT141+CS142-DB141,IF(A142&lt;'Données projet'!$A$140,$CQ$205^A142,IF(A142='Données projet'!$A$140,'Données projet'!$B$140,CT141+CS142-DB141)))</f>
        <v>628.20600000000036</v>
      </c>
      <c r="CU142" s="17">
        <f>CT142*VLOOKUP('Données projet'!$B$13,Paramètres!$A$1:$I$89,3,0)*VLOOKUP('Données projet'!$B$13,Paramètres!$A$1:$I$89,5,0)</f>
        <v>637.00088400000038</v>
      </c>
      <c r="CV142" s="13">
        <f t="shared" si="149"/>
        <v>138.44912005144496</v>
      </c>
      <c r="CW142" s="20">
        <f t="shared" si="121"/>
        <v>1350.5754237229339</v>
      </c>
      <c r="CX142" s="59">
        <f t="shared" si="122"/>
        <v>1643.9087570562672</v>
      </c>
      <c r="CY142" s="59">
        <f ca="1">AVERAGE(OFFSET($CX$3,0,0,'Données projet'!$E$13+1,1))-AVERAGE(OFFSET($H$3,0,0,'Données projet'!$E$13+1,1))</f>
        <v>773.15074145293738</v>
      </c>
      <c r="CZ142" s="59">
        <f t="shared" si="150"/>
        <v>248.49577986312505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62.848693569945667</v>
      </c>
      <c r="DG142" s="21">
        <f>EXP(-LN(2)/25)*DG141+(1-EXP(-LN(2)/25))/(LN(2)/25)*Calculateur!DB142*Calculateur!DD142*VLOOKUP('Données projet'!$B$13,Paramètres!$A$1:$I$89,3,0)*0.475*44/12</f>
        <v>25.854244300792253</v>
      </c>
      <c r="DH142" s="21">
        <f>EXP(-LN(2)/2)*DH141+(1-EXP(-LN(2)/2))/(LN(2)/2)*DB142*DE142*VLOOKUP('Données projet'!$B$13,Paramètres!$A$1:$I$89,3,0)*0.475*44/12</f>
        <v>2.9229507238539624E-7</v>
      </c>
      <c r="DI142" s="22">
        <f t="shared" si="123"/>
        <v>88.702938163032982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3.4106051316484809E-13</v>
      </c>
      <c r="DP142" s="17">
        <f>DO142*VLOOKUP('Données projet'!$B$14,Paramètres!$A$1:$I$89,3,0)*VLOOKUP('Données projet'!$B$14,Paramètres!$A$1:$I$89,5,0)</f>
        <v>1.5961632016114892E-13</v>
      </c>
      <c r="DQ142" s="13">
        <f t="shared" si="151"/>
        <v>2.2708641912150958E-12</v>
      </c>
      <c r="DR142" s="20">
        <f t="shared" si="124"/>
        <v>4.2330868906469593E-12</v>
      </c>
      <c r="DS142" s="59">
        <f t="shared" si="125"/>
        <v>293.33333333333752</v>
      </c>
      <c r="DT142" s="59">
        <f ca="1">AVERAGE(OFFSET($DS$3,0,0,'Données projet'!$E$14+1,1))-AVERAGE(OFFSET($H$3,0,0,'Données projet'!$E$14+1,1))</f>
        <v>293.15557501692803</v>
      </c>
      <c r="DU142" s="59">
        <f t="shared" si="152"/>
        <v>237.1930412773068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72.439673623994821</v>
      </c>
      <c r="EB142" s="21">
        <f>EXP(-LN(2)/25)*EB141+(1-EXP(-LN(2)/25))/(LN(2)/25)*Calculateur!DW142*Calculateur!DY142*VLOOKUP('Données projet'!$B$14,Paramètres!$A$1:$I$89,3,0)*0.475*44/12</f>
        <v>18.23081701225609</v>
      </c>
      <c r="EC142" s="21">
        <f>EXP(-LN(2)/2)*EC141+(1-EXP(-LN(2)/2))/(LN(2)/2)*DW142*DZ142*VLOOKUP('Données projet'!$B$14,Paramètres!$A$1:$I$89,3,0)*0.475*44/12</f>
        <v>9.6093441829933645E-4</v>
      </c>
      <c r="ED142" s="22">
        <f t="shared" si="126"/>
        <v>90.67145157066922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-1.7053025658242404E-13</v>
      </c>
      <c r="EK142" s="17">
        <f>EJ142*VLOOKUP('Données projet'!$B$15,Paramètres!$A$1:$I$89,3,0)*VLOOKUP('Données projet'!$B$15,Paramètres!$A$1:$I$89,5,0)</f>
        <v>-1.0197709343628959E-13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225.86663363047296</v>
      </c>
      <c r="EP142" s="59">
        <f t="shared" si="154"/>
        <v>258.08349727304397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22.247515724567823</v>
      </c>
      <c r="EW142" s="21">
        <f>EXP(-LN(2)/25)*EW141+(1-EXP(-LN(2)/25))/(LN(2)/25)*Calculateur!ER142*Calculateur!ET142*VLOOKUP('Données projet'!$B$15,Paramètres!$A$1:$I$89,3,0)*0.475*44/12</f>
        <v>4.420399743473479</v>
      </c>
      <c r="EX142" s="21">
        <f>EXP(-LN(2)/2)*EX141+(1-EXP(-LN(2)/2))/(LN(2)/2)*ER142*EU142*VLOOKUP('Données projet'!$B$15,Paramètres!$A$1:$I$89,3,0)*0.475*44/12</f>
        <v>1.1503673155151728E-10</v>
      </c>
      <c r="EY142" s="22">
        <f t="shared" si="129"/>
        <v>26.667915468156338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388.12151914648013</v>
      </c>
      <c r="T143" s="59">
        <f t="shared" si="142"/>
        <v>481.43684454382793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33.728642752715317</v>
      </c>
      <c r="AA143" s="21">
        <f>EXP(-LN(2)/25)*AA142+(1-EXP(-LN(2)/25))/(LN(2)/25)*Calculateur!V143*Calculateur!X143*VLOOKUP('Données projet'!$B$9,Paramètres!$A$1:$I$89,3,0)*0.475*44/12</f>
        <v>6.006286751611559</v>
      </c>
      <c r="AB143" s="21">
        <f>EXP(-LN(2)/2)*AB142+(1-EXP(-LN(2)/2))/(LN(2)/2)*V143*Y143*VLOOKUP('Données projet'!$B$9,Paramètres!$A$1:$I$89,3,0)*0.475*44/12</f>
        <v>1.7576965556609102E-11</v>
      </c>
      <c r="AC143" s="22">
        <f t="shared" si="111"/>
        <v>39.734929504344457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-1.3596945791505279E-13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349.71285006949597</v>
      </c>
      <c r="AO143" s="59">
        <f t="shared" si="144"/>
        <v>258.51550516456842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46.708784771744938</v>
      </c>
      <c r="AV143" s="21">
        <f>EXP(-LN(2)/25)*AV142+(1-EXP(-LN(2)/25))/(LN(2)/25)*Calculateur!AQ143*Calculateur!AS143*VLOOKUP('Données projet'!$B$10,Paramètres!$A$1:$I$89,3,0)*0.475*44/12</f>
        <v>9.8037253804694817</v>
      </c>
      <c r="AW143" s="21">
        <f>EXP(-LN(2)/2)*AW142+(1-EXP(-LN(2)/2))/(LN(2)/2)*AQ143*AT143*VLOOKUP('Données projet'!$B$10,Paramètres!$A$1:$I$89,3,0)*0.475*44/12</f>
        <v>6.5860005841784837E-8</v>
      </c>
      <c r="AX143" s="21">
        <f t="shared" si="114"/>
        <v>56.512510218074425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8.5265128291212022E-14</v>
      </c>
      <c r="BE143" s="13">
        <f>BD143*VLOOKUP('Données projet'!$B$11,Paramètres!$A$1:$I$89,3,0)*VLOOKUP('Données projet'!$B$11,Paramètres!$A$1:$I$89,5,0)</f>
        <v>8.9119112089974823E-14</v>
      </c>
      <c r="BF143" s="13">
        <f t="shared" si="145"/>
        <v>1.3568952080113142E-12</v>
      </c>
      <c r="BG143" s="20">
        <f t="shared" si="115"/>
        <v>2.5184749408430782E-12</v>
      </c>
      <c r="BH143" s="59">
        <f t="shared" si="116"/>
        <v>293.33333333333582</v>
      </c>
      <c r="BI143" s="59">
        <f ca="1">AVERAGE(OFFSET($BH$3,0,0,'Données projet'!$E$11+1,1))-AVERAGE(OFFSET($H$3,0,0,'Données projet'!$E$11+1,1))</f>
        <v>260.74709892624571</v>
      </c>
      <c r="BJ143" s="59">
        <f t="shared" si="146"/>
        <v>237.17381692184887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8.0606147182689245</v>
      </c>
      <c r="BQ143" s="21">
        <f>EXP(-LN(2)/25)*BQ142+(1-EXP(-LN(2)/25))/(LN(2)/25)*Calculateur!BL143*Calculateur!BN143*VLOOKUP('Données projet'!$B$11,Paramètres!$A$1:$I$89,3,0)*0.475*44/12</f>
        <v>14.991830699970219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23.052445418239145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639.04999999999995</v>
      </c>
      <c r="BW143" s="12">
        <f>VLOOKUP(A143,'Données projet'!$A$113:$I$133,9,0)</f>
        <v>10.843999999999994</v>
      </c>
      <c r="BX143" s="12">
        <f t="array" ref="BX143">INDEX(BW:BW,MIN(IF(ISNUMBER(BW143:BW339),ROW(BW143:BW339),"")))</f>
        <v>10.843999999999994</v>
      </c>
      <c r="BY143" s="12">
        <f>IF('Données projet'!$A$114&gt;35,BY142+BX143-CG142,IF(A143&lt;'Données projet'!$A$114,$BV$205^A143,IF(A143='Données projet'!$A$114,'Données projet'!$B$114,BY142+BX143-CG142)))</f>
        <v>639.05000000000041</v>
      </c>
      <c r="BZ143" s="13">
        <f>BY143*VLOOKUP('Données projet'!$B$12,Paramètres!$A$1:$I$89,3,0)*VLOOKUP('Données projet'!$B$12,Paramètres!$A$1:$I$89,5,0)</f>
        <v>578.21244000000036</v>
      </c>
      <c r="CA143" s="13">
        <f t="shared" si="147"/>
        <v>127.0961862582958</v>
      </c>
      <c r="CB143" s="20">
        <f t="shared" si="118"/>
        <v>1228.4125240665323</v>
      </c>
      <c r="CC143" s="59">
        <f t="shared" si="119"/>
        <v>1521.7458573998656</v>
      </c>
      <c r="CD143" s="59">
        <f ca="1">AVERAGE(OFFSET($CC$3,0,0,'Données projet'!$E$12+1,1))-AVERAGE(OFFSET($H$3,0,0,'Données projet'!$E$12+1,1))</f>
        <v>695.0879239758051</v>
      </c>
      <c r="CE143" s="59">
        <f t="shared" si="148"/>
        <v>226.22150997227476</v>
      </c>
      <c r="CF143" s="15">
        <f>IF(ISNA(VLOOKUP(A143,'Données projet'!$A$113:$I$133,3,0)),0,VLOOKUP(A143,'Données projet'!$A$113:$I$133,3,0))</f>
        <v>13</v>
      </c>
      <c r="CG143" s="15">
        <f>IF(ISNA(VLOOKUP(A143,'Données projet'!$A$113:$I$133,4,0)),0,VLOOKUP(A143,'Données projet'!$A$113:$I$133,4,0))</f>
        <v>74.669999999999959</v>
      </c>
      <c r="CH143" s="16">
        <f>IF(ISNA(VLOOKUP(A143,'Données projet'!$A$113:$I$133,5,0)),0%,VLOOKUP(A143,'Données projet'!$A$113:$I$133,5,0)*VLOOKUP('Données projet'!$B$12,Paramètres!$A$1:$I$89,7,0))</f>
        <v>0.215</v>
      </c>
      <c r="CI143" s="16">
        <f>IF(ISNA(VLOOKUP(A143,'Données projet'!$A$113:$I$133,6,0)),0%,VLOOKUP(A143,'Données projet'!$A$113:$I$133,6,0)*VLOOKUP('Données projet'!$B$12,Paramètres!$A$1:$I$89,7,0))</f>
        <v>8.6000000000000007E-2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71.038406820754915</v>
      </c>
      <c r="CL143" s="21">
        <f>EXP(-LN(2)/25)*CL142+(1-EXP(-LN(2)/25))/(LN(2)/25)*Calculateur!CG143*Calculateur!CI143*VLOOKUP('Données projet'!$B$12,Paramètres!$A$1:$I$89,3,0)*0.475*44/12</f>
        <v>28.836896546752417</v>
      </c>
      <c r="CM143" s="21">
        <f>EXP(-LN(2)/2)*CM142+(1-EXP(-LN(2)/2))/(LN(2)/2)*CG143*CJ143*VLOOKUP('Données projet'!$B$12,Paramètres!$A$1:$I$89,3,0)*0.475*44/12</f>
        <v>1.8442556941362041E-7</v>
      </c>
      <c r="CN143" s="22">
        <f t="shared" si="120"/>
        <v>99.875303551932902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639.04999999999995</v>
      </c>
      <c r="CR143" s="12">
        <f>VLOOKUP(A143,'Données projet'!$A$139:$I$159,9,0)</f>
        <v>10.843999999999994</v>
      </c>
      <c r="CS143" s="12">
        <f t="array" ref="CS143">INDEX(CR:CR,MIN(IF(ISNUMBER(CR143:CR339),ROW(CR143:CR339),"")))</f>
        <v>10.843999999999994</v>
      </c>
      <c r="CT143" s="12">
        <f>IF('Données projet'!$A$140&gt;35,CT142+CS143-DB142,IF(A143&lt;'Données projet'!$A$140,$CQ$205^A143,IF(A143='Données projet'!$A$140,'Données projet'!$B$140,CT142+CS143-DB142)))</f>
        <v>639.05000000000041</v>
      </c>
      <c r="CU143" s="17">
        <f>CT143*VLOOKUP('Données projet'!$B$13,Paramètres!$A$1:$I$89,3,0)*VLOOKUP('Données projet'!$B$13,Paramètres!$A$1:$I$89,5,0)</f>
        <v>647.99670000000049</v>
      </c>
      <c r="CV143" s="13">
        <f t="shared" si="149"/>
        <v>140.55871747902842</v>
      </c>
      <c r="CW143" s="20">
        <f t="shared" si="121"/>
        <v>1373.4006854426418</v>
      </c>
      <c r="CX143" s="59">
        <f t="shared" si="122"/>
        <v>1666.7340187759751</v>
      </c>
      <c r="CY143" s="59">
        <f ca="1">AVERAGE(OFFSET($CX$3,0,0,'Données projet'!$E$13+1,1))-AVERAGE(OFFSET($H$3,0,0,'Données projet'!$E$13+1,1))</f>
        <v>773.15074145293738</v>
      </c>
      <c r="CZ143" s="59">
        <f t="shared" si="150"/>
        <v>248.49577986312505</v>
      </c>
      <c r="DA143" s="15">
        <f>IF(ISNA(VLOOKUP(A143,'Données projet'!$A$139:$I$159,3,0)),0,VLOOKUP(A143,'Données projet'!$A$139:$I$159,3,0))</f>
        <v>13</v>
      </c>
      <c r="DB143" s="15">
        <f>IF(ISNA(VLOOKUP(A143,'Données projet'!$A$139:$I$159,4,0)),0,VLOOKUP(A143,'Données projet'!$A$139:$I$159,4,0))</f>
        <v>74.669999999999959</v>
      </c>
      <c r="DC143" s="16">
        <f>IF(ISNA(VLOOKUP(A143,'Données projet'!$A$139:$I$159,5,0)),0%,VLOOKUP(A143,'Données projet'!$A$139:$I$159,5,0)*VLOOKUP('Données projet'!$B$13,Paramètres!$A$1:$I$89,7,0))</f>
        <v>0.215</v>
      </c>
      <c r="DD143" s="16">
        <f>IF(ISNA(VLOOKUP(A143,'Données projet'!$A$139:$I$159,6,0)),0%,VLOOKUP(A143,'Données projet'!$A$139:$I$159,6,0)*VLOOKUP('Données projet'!$B$13,Paramètres!$A$1:$I$89,7,0))</f>
        <v>8.6000000000000007E-2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79.612007643949468</v>
      </c>
      <c r="DG143" s="21">
        <f>EXP(-LN(2)/25)*DG142+(1-EXP(-LN(2)/25))/(LN(2)/25)*Calculateur!DB143*Calculateur!DD143*VLOOKUP('Données projet'!$B$13,Paramètres!$A$1:$I$89,3,0)*0.475*44/12</f>
        <v>32.31721164722255</v>
      </c>
      <c r="DH143" s="21">
        <f>EXP(-LN(2)/2)*DH142+(1-EXP(-LN(2)/2))/(LN(2)/2)*DB143*DE143*VLOOKUP('Données projet'!$B$13,Paramètres!$A$1:$I$89,3,0)*0.475*44/12</f>
        <v>2.0668382779112645E-7</v>
      </c>
      <c r="DI143" s="22">
        <f t="shared" si="123"/>
        <v>111.92921949785584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3.4106051316484809E-13</v>
      </c>
      <c r="DP143" s="17">
        <f>DO143*VLOOKUP('Données projet'!$B$14,Paramètres!$A$1:$I$89,3,0)*VLOOKUP('Données projet'!$B$14,Paramètres!$A$1:$I$89,5,0)</f>
        <v>1.5961632016114892E-13</v>
      </c>
      <c r="DQ143" s="13">
        <f t="shared" si="151"/>
        <v>2.2708641912150958E-12</v>
      </c>
      <c r="DR143" s="20">
        <f t="shared" si="124"/>
        <v>4.2330868906469593E-12</v>
      </c>
      <c r="DS143" s="59">
        <f t="shared" si="125"/>
        <v>293.33333333333752</v>
      </c>
      <c r="DT143" s="59">
        <f ca="1">AVERAGE(OFFSET($DS$3,0,0,'Données projet'!$E$14+1,1))-AVERAGE(OFFSET($H$3,0,0,'Données projet'!$E$14+1,1))</f>
        <v>293.15557501692803</v>
      </c>
      <c r="DU143" s="59">
        <f t="shared" si="152"/>
        <v>237.1930412773068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71.019175808066407</v>
      </c>
      <c r="EB143" s="21">
        <f>EXP(-LN(2)/25)*EB142+(1-EXP(-LN(2)/25))/(LN(2)/25)*Calculateur!DW143*Calculateur!DY143*VLOOKUP('Données projet'!$B$14,Paramètres!$A$1:$I$89,3,0)*0.475*44/12</f>
        <v>17.732294362338948</v>
      </c>
      <c r="EC143" s="21">
        <f>EXP(-LN(2)/2)*EC142+(1-EXP(-LN(2)/2))/(LN(2)/2)*DW143*DZ143*VLOOKUP('Données projet'!$B$14,Paramètres!$A$1:$I$89,3,0)*0.475*44/12</f>
        <v>6.7948324345501129E-4</v>
      </c>
      <c r="ED143" s="22">
        <f t="shared" si="126"/>
        <v>88.752149653648814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-1.7053025658242404E-13</v>
      </c>
      <c r="EK143" s="17">
        <f>EJ143*VLOOKUP('Données projet'!$B$15,Paramètres!$A$1:$I$89,3,0)*VLOOKUP('Données projet'!$B$15,Paramètres!$A$1:$I$89,5,0)</f>
        <v>-1.0197709343628959E-13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225.86663363047296</v>
      </c>
      <c r="EP143" s="59">
        <f t="shared" si="154"/>
        <v>258.08349727304397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21.811255510853748</v>
      </c>
      <c r="EW143" s="21">
        <f>EXP(-LN(2)/25)*EW142+(1-EXP(-LN(2)/25))/(LN(2)/25)*Calculateur!ER143*Calculateur!ET143*VLOOKUP('Données projet'!$B$15,Paramètres!$A$1:$I$89,3,0)*0.475*44/12</f>
        <v>4.2995236800294769</v>
      </c>
      <c r="EX143" s="21">
        <f>EXP(-LN(2)/2)*EX142+(1-EXP(-LN(2)/2))/(LN(2)/2)*ER143*EU143*VLOOKUP('Données projet'!$B$15,Paramètres!$A$1:$I$89,3,0)*0.475*44/12</f>
        <v>8.1343252965614345E-11</v>
      </c>
      <c r="EY143" s="22">
        <f t="shared" si="129"/>
        <v>26.110779190964568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388.12151914648013</v>
      </c>
      <c r="T144" s="59">
        <f t="shared" si="142"/>
        <v>481.43684454382793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33.067244640775286</v>
      </c>
      <c r="AA144" s="21">
        <f>EXP(-LN(2)/25)*AA143+(1-EXP(-LN(2)/25))/(LN(2)/25)*Calculateur!V144*Calculateur!X144*VLOOKUP('Données projet'!$B$9,Paramètres!$A$1:$I$89,3,0)*0.475*44/12</f>
        <v>5.8420445245318486</v>
      </c>
      <c r="AB144" s="21">
        <f>EXP(-LN(2)/2)*AB143+(1-EXP(-LN(2)/2))/(LN(2)/2)*V144*Y144*VLOOKUP('Données projet'!$B$9,Paramètres!$A$1:$I$89,3,0)*0.475*44/12</f>
        <v>1.2428791537760675E-11</v>
      </c>
      <c r="AC144" s="22">
        <f t="shared" si="111"/>
        <v>38.909289165319564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-1.3596945791505279E-13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349.71285006949597</v>
      </c>
      <c r="AO144" s="59">
        <f t="shared" si="144"/>
        <v>258.51550516456842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45.792853991916623</v>
      </c>
      <c r="AV144" s="21">
        <f>EXP(-LN(2)/25)*AV143+(1-EXP(-LN(2)/25))/(LN(2)/25)*Calculateur!AQ144*Calculateur!AS144*VLOOKUP('Données projet'!$B$10,Paramètres!$A$1:$I$89,3,0)*0.475*44/12</f>
        <v>9.535641994385033</v>
      </c>
      <c r="AW144" s="21">
        <f>EXP(-LN(2)/2)*AW143+(1-EXP(-LN(2)/2))/(LN(2)/2)*AQ144*AT144*VLOOKUP('Données projet'!$B$10,Paramètres!$A$1:$I$89,3,0)*0.475*44/12</f>
        <v>4.6570056739711693E-8</v>
      </c>
      <c r="AX144" s="21">
        <f t="shared" si="114"/>
        <v>55.328496032871712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8.5265128291212022E-14</v>
      </c>
      <c r="BE144" s="13">
        <f>BD144*VLOOKUP('Données projet'!$B$11,Paramètres!$A$1:$I$89,3,0)*VLOOKUP('Données projet'!$B$11,Paramètres!$A$1:$I$89,5,0)</f>
        <v>8.9119112089974823E-14</v>
      </c>
      <c r="BF144" s="13">
        <f t="shared" si="145"/>
        <v>1.3568952080113142E-12</v>
      </c>
      <c r="BG144" s="20">
        <f t="shared" si="115"/>
        <v>2.5184749408430782E-12</v>
      </c>
      <c r="BH144" s="59">
        <f t="shared" si="116"/>
        <v>293.33333333333582</v>
      </c>
      <c r="BI144" s="59">
        <f ca="1">AVERAGE(OFFSET($BH$3,0,0,'Données projet'!$E$11+1,1))-AVERAGE(OFFSET($H$3,0,0,'Données projet'!$E$11+1,1))</f>
        <v>260.74709892624571</v>
      </c>
      <c r="BJ144" s="59">
        <f t="shared" si="146"/>
        <v>237.17381692184887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7.9025509801331859</v>
      </c>
      <c r="BQ144" s="21">
        <f>EXP(-LN(2)/25)*BQ143+(1-EXP(-LN(2)/25))/(LN(2)/25)*Calculateur!BL144*Calculateur!BN144*VLOOKUP('Données projet'!$B$11,Paramètres!$A$1:$I$89,3,0)*0.475*44/12</f>
        <v>14.581878301093422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22.484429281226607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10.875</v>
      </c>
      <c r="BY144" s="12">
        <f>IF('Données projet'!$A$114&gt;35,BY143+BX144-CG143,IF(A144&lt;'Données projet'!$A$114,$BV$205^A144,IF(A144='Données projet'!$A$114,'Données projet'!$B$114,BY143+BX144-CG143)))</f>
        <v>575.25500000000045</v>
      </c>
      <c r="BZ144" s="13">
        <f>BY144*VLOOKUP('Données projet'!$B$12,Paramètres!$A$1:$I$89,3,0)*VLOOKUP('Données projet'!$B$12,Paramètres!$A$1:$I$89,5,0)</f>
        <v>520.49072400000034</v>
      </c>
      <c r="CA144" s="13">
        <f t="shared" si="147"/>
        <v>115.81760674620399</v>
      </c>
      <c r="CB144" s="20">
        <f t="shared" si="118"/>
        <v>1108.2370093829725</v>
      </c>
      <c r="CC144" s="59">
        <f t="shared" si="119"/>
        <v>1401.5703427163057</v>
      </c>
      <c r="CD144" s="59">
        <f ca="1">AVERAGE(OFFSET($CC$3,0,0,'Données projet'!$E$12+1,1))-AVERAGE(OFFSET($H$3,0,0,'Données projet'!$E$12+1,1))</f>
        <v>695.0879239758051</v>
      </c>
      <c r="CE144" s="59">
        <f t="shared" si="148"/>
        <v>226.22150997227476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69.645386992149668</v>
      </c>
      <c r="CL144" s="21">
        <f>EXP(-LN(2)/25)*CL143+(1-EXP(-LN(2)/25))/(LN(2)/25)*Calculateur!CG144*Calculateur!CI144*VLOOKUP('Données projet'!$B$12,Paramètres!$A$1:$I$89,3,0)*0.475*44/12</f>
        <v>28.048350094214989</v>
      </c>
      <c r="CM144" s="21">
        <f>EXP(-LN(2)/2)*CM143+(1-EXP(-LN(2)/2))/(LN(2)/2)*CG144*CJ144*VLOOKUP('Données projet'!$B$12,Paramètres!$A$1:$I$89,3,0)*0.475*44/12</f>
        <v>1.3040857075656132E-7</v>
      </c>
      <c r="CN144" s="22">
        <f t="shared" si="120"/>
        <v>97.693737216773215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10.875</v>
      </c>
      <c r="CT144" s="12">
        <f>IF('Données projet'!$A$140&gt;35,CT143+CS144-DB143,IF(A144&lt;'Données projet'!$A$140,$CQ$205^A144,IF(A144='Données projet'!$A$140,'Données projet'!$B$140,CT143+CS144-DB143)))</f>
        <v>575.25500000000045</v>
      </c>
      <c r="CU144" s="17">
        <f>CT144*VLOOKUP('Données projet'!$B$13,Paramètres!$A$1:$I$89,3,0)*VLOOKUP('Données projet'!$B$13,Paramètres!$A$1:$I$89,5,0)</f>
        <v>583.30857000000049</v>
      </c>
      <c r="CV144" s="13">
        <f t="shared" si="149"/>
        <v>128.08546617325678</v>
      </c>
      <c r="CW144" s="20">
        <f t="shared" si="121"/>
        <v>1239.0112796684232</v>
      </c>
      <c r="CX144" s="59">
        <f t="shared" si="122"/>
        <v>1532.3446130017564</v>
      </c>
      <c r="CY144" s="59">
        <f ca="1">AVERAGE(OFFSET($CX$3,0,0,'Données projet'!$E$13+1,1))-AVERAGE(OFFSET($H$3,0,0,'Données projet'!$E$13+1,1))</f>
        <v>773.15074145293738</v>
      </c>
      <c r="CZ144" s="59">
        <f t="shared" si="150"/>
        <v>248.49577986312505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78.05086473258153</v>
      </c>
      <c r="DG144" s="21">
        <f>EXP(-LN(2)/25)*DG143+(1-EXP(-LN(2)/25))/(LN(2)/25)*Calculateur!DB144*Calculateur!DD144*VLOOKUP('Données projet'!$B$13,Paramètres!$A$1:$I$89,3,0)*0.475*44/12</f>
        <v>31.433495795240951</v>
      </c>
      <c r="DH144" s="21">
        <f>EXP(-LN(2)/2)*DH143+(1-EXP(-LN(2)/2))/(LN(2)/2)*DB144*DE144*VLOOKUP('Données projet'!$B$13,Paramètres!$A$1:$I$89,3,0)*0.475*44/12</f>
        <v>1.4614753619269812E-7</v>
      </c>
      <c r="DI144" s="22">
        <f t="shared" si="123"/>
        <v>109.48436067397002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3.4106051316484809E-13</v>
      </c>
      <c r="DP144" s="17">
        <f>DO144*VLOOKUP('Données projet'!$B$14,Paramètres!$A$1:$I$89,3,0)*VLOOKUP('Données projet'!$B$14,Paramètres!$A$1:$I$89,5,0)</f>
        <v>1.5961632016114892E-13</v>
      </c>
      <c r="DQ144" s="13">
        <f t="shared" si="151"/>
        <v>2.2708641912150958E-12</v>
      </c>
      <c r="DR144" s="20">
        <f t="shared" si="124"/>
        <v>4.2330868906469593E-12</v>
      </c>
      <c r="DS144" s="59">
        <f t="shared" si="125"/>
        <v>293.33333333333752</v>
      </c>
      <c r="DT144" s="59">
        <f ca="1">AVERAGE(OFFSET($DS$3,0,0,'Données projet'!$E$14+1,1))-AVERAGE(OFFSET($H$3,0,0,'Données projet'!$E$14+1,1))</f>
        <v>293.15557501692803</v>
      </c>
      <c r="DU144" s="59">
        <f t="shared" si="152"/>
        <v>237.1930412773068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69.626533087890223</v>
      </c>
      <c r="EB144" s="21">
        <f>EXP(-LN(2)/25)*EB143+(1-EXP(-LN(2)/25))/(LN(2)/25)*Calculateur!DW144*Calculateur!DY144*VLOOKUP('Données projet'!$B$14,Paramètres!$A$1:$I$89,3,0)*0.475*44/12</f>
        <v>17.247403840499956</v>
      </c>
      <c r="EC144" s="21">
        <f>EXP(-LN(2)/2)*EC143+(1-EXP(-LN(2)/2))/(LN(2)/2)*DW144*DZ144*VLOOKUP('Données projet'!$B$14,Paramètres!$A$1:$I$89,3,0)*0.475*44/12</f>
        <v>4.8046720914966828E-4</v>
      </c>
      <c r="ED144" s="22">
        <f t="shared" si="126"/>
        <v>86.874417395599323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-1.7053025658242404E-13</v>
      </c>
      <c r="EK144" s="17">
        <f>EJ144*VLOOKUP('Données projet'!$B$15,Paramètres!$A$1:$I$89,3,0)*VLOOKUP('Données projet'!$B$15,Paramètres!$A$1:$I$89,5,0)</f>
        <v>-1.0197709343628959E-13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225.86663363047296</v>
      </c>
      <c r="EP144" s="59">
        <f t="shared" si="154"/>
        <v>258.08349727304397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21.383550093838149</v>
      </c>
      <c r="EW144" s="21">
        <f>EXP(-LN(2)/25)*EW143+(1-EXP(-LN(2)/25))/(LN(2)/25)*Calculateur!ER144*Calculateur!ET144*VLOOKUP('Données projet'!$B$15,Paramètres!$A$1:$I$89,3,0)*0.475*44/12</f>
        <v>4.1819529788969474</v>
      </c>
      <c r="EX144" s="21">
        <f>EXP(-LN(2)/2)*EX143+(1-EXP(-LN(2)/2))/(LN(2)/2)*ER144*EU144*VLOOKUP('Données projet'!$B$15,Paramètres!$A$1:$I$89,3,0)*0.475*44/12</f>
        <v>5.751836577575865E-11</v>
      </c>
      <c r="EY144" s="22">
        <f t="shared" si="129"/>
        <v>25.565503072792616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388.12151914648013</v>
      </c>
      <c r="T145" s="59">
        <f t="shared" si="142"/>
        <v>481.43684454382793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32.41881614239739</v>
      </c>
      <c r="AA145" s="21">
        <f>EXP(-LN(2)/25)*AA144+(1-EXP(-LN(2)/25))/(LN(2)/25)*Calculateur!V145*Calculateur!X145*VLOOKUP('Données projet'!$B$9,Paramètres!$A$1:$I$89,3,0)*0.475*44/12</f>
        <v>5.6822935097887557</v>
      </c>
      <c r="AB145" s="21">
        <f>EXP(-LN(2)/2)*AB144+(1-EXP(-LN(2)/2))/(LN(2)/2)*V145*Y145*VLOOKUP('Données projet'!$B$9,Paramètres!$A$1:$I$89,3,0)*0.475*44/12</f>
        <v>8.7884827783045511E-12</v>
      </c>
      <c r="AC145" s="22">
        <f t="shared" si="111"/>
        <v>38.101109652194936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-1.3596945791505279E-13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349.71285006949597</v>
      </c>
      <c r="AO145" s="59">
        <f t="shared" si="144"/>
        <v>258.51550516456842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44.894884056018128</v>
      </c>
      <c r="AV145" s="21">
        <f>EXP(-LN(2)/25)*AV144+(1-EXP(-LN(2)/25))/(LN(2)/25)*Calculateur!AQ145*Calculateur!AS145*VLOOKUP('Données projet'!$B$10,Paramètres!$A$1:$I$89,3,0)*0.475*44/12</f>
        <v>9.2748893625909563</v>
      </c>
      <c r="AW145" s="21">
        <f>EXP(-LN(2)/2)*AW144+(1-EXP(-LN(2)/2))/(LN(2)/2)*AQ145*AT145*VLOOKUP('Données projet'!$B$10,Paramètres!$A$1:$I$89,3,0)*0.475*44/12</f>
        <v>3.2930002920892419E-8</v>
      </c>
      <c r="AX145" s="21">
        <f t="shared" si="114"/>
        <v>54.169773451539086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8.5265128291212022E-14</v>
      </c>
      <c r="BE145" s="13">
        <f>BD145*VLOOKUP('Données projet'!$B$11,Paramètres!$A$1:$I$89,3,0)*VLOOKUP('Données projet'!$B$11,Paramètres!$A$1:$I$89,5,0)</f>
        <v>8.9119112089974823E-14</v>
      </c>
      <c r="BF145" s="13">
        <f t="shared" si="145"/>
        <v>1.3568952080113142E-12</v>
      </c>
      <c r="BG145" s="20">
        <f t="shared" si="115"/>
        <v>2.5184749408430782E-12</v>
      </c>
      <c r="BH145" s="59">
        <f t="shared" si="116"/>
        <v>293.33333333333582</v>
      </c>
      <c r="BI145" s="59">
        <f ca="1">AVERAGE(OFFSET($BH$3,0,0,'Données projet'!$E$11+1,1))-AVERAGE(OFFSET($H$3,0,0,'Données projet'!$E$11+1,1))</f>
        <v>260.74709892624571</v>
      </c>
      <c r="BJ145" s="59">
        <f t="shared" si="146"/>
        <v>237.17381692184887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7.7475867754929286</v>
      </c>
      <c r="BQ145" s="21">
        <f>EXP(-LN(2)/25)*BQ144+(1-EXP(-LN(2)/25))/(LN(2)/25)*Calculateur!BL145*Calculateur!BN145*VLOOKUP('Données projet'!$B$11,Paramètres!$A$1:$I$89,3,0)*0.475*44/12</f>
        <v>14.18313607212237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21.9307228476153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10.875</v>
      </c>
      <c r="BY145" s="12">
        <f>IF('Données projet'!$A$114&gt;35,BY144+BX145-CG144,IF(A145&lt;'Données projet'!$A$114,$BV$205^A145,IF(A145='Données projet'!$A$114,'Données projet'!$B$114,BY144+BX145-CG144)))</f>
        <v>586.13000000000045</v>
      </c>
      <c r="BZ145" s="13">
        <f>BY145*VLOOKUP('Données projet'!$B$12,Paramètres!$A$1:$I$89,3,0)*VLOOKUP('Données projet'!$B$12,Paramètres!$A$1:$I$89,5,0)</f>
        <v>530.33042400000033</v>
      </c>
      <c r="CA145" s="13">
        <f t="shared" si="147"/>
        <v>117.75012850750038</v>
      </c>
      <c r="CB145" s="20">
        <f t="shared" si="118"/>
        <v>1128.7402956172302</v>
      </c>
      <c r="CC145" s="59">
        <f t="shared" si="119"/>
        <v>1422.0736289505635</v>
      </c>
      <c r="CD145" s="59">
        <f ca="1">AVERAGE(OFFSET($CC$3,0,0,'Données projet'!$E$12+1,1))-AVERAGE(OFFSET($H$3,0,0,'Données projet'!$E$12+1,1))</f>
        <v>695.0879239758051</v>
      </c>
      <c r="CE145" s="59">
        <f t="shared" si="148"/>
        <v>226.22150997227476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68.279683432725179</v>
      </c>
      <c r="CL145" s="21">
        <f>EXP(-LN(2)/25)*CL144+(1-EXP(-LN(2)/25))/(LN(2)/25)*Calculateur!CG145*Calculateur!CI145*VLOOKUP('Données projet'!$B$12,Paramètres!$A$1:$I$89,3,0)*0.475*44/12</f>
        <v>27.281366485890054</v>
      </c>
      <c r="CM145" s="21">
        <f>EXP(-LN(2)/2)*CM144+(1-EXP(-LN(2)/2))/(LN(2)/2)*CG145*CJ145*VLOOKUP('Données projet'!$B$12,Paramètres!$A$1:$I$89,3,0)*0.475*44/12</f>
        <v>9.2212784706810207E-8</v>
      </c>
      <c r="CN145" s="22">
        <f t="shared" si="120"/>
        <v>95.561050010828012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10.875</v>
      </c>
      <c r="CT145" s="12">
        <f>IF('Données projet'!$A$140&gt;35,CT144+CS145-DB144,IF(A145&lt;'Données projet'!$A$140,$CQ$205^A145,IF(A145='Données projet'!$A$140,'Données projet'!$B$140,CT144+CS145-DB144)))</f>
        <v>586.13000000000045</v>
      </c>
      <c r="CU145" s="17">
        <f>CT145*VLOOKUP('Données projet'!$B$13,Paramètres!$A$1:$I$89,3,0)*VLOOKUP('Données projet'!$B$13,Paramètres!$A$1:$I$89,5,0)</f>
        <v>594.33582000000047</v>
      </c>
      <c r="CV145" s="13">
        <f t="shared" si="149"/>
        <v>130.2226882903399</v>
      </c>
      <c r="CW145" s="20">
        <f t="shared" si="121"/>
        <v>1261.9394019390095</v>
      </c>
      <c r="CX145" s="59">
        <f t="shared" si="122"/>
        <v>1555.2727352723427</v>
      </c>
      <c r="CY145" s="59">
        <f ca="1">AVERAGE(OFFSET($CX$3,0,0,'Données projet'!$E$13+1,1))-AVERAGE(OFFSET($H$3,0,0,'Données projet'!$E$13+1,1))</f>
        <v>773.15074145293738</v>
      </c>
      <c r="CZ145" s="59">
        <f t="shared" si="150"/>
        <v>248.49577986312505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76.520334881502365</v>
      </c>
      <c r="DG145" s="21">
        <f>EXP(-LN(2)/25)*DG144+(1-EXP(-LN(2)/25))/(LN(2)/25)*Calculateur!DB145*Calculateur!DD145*VLOOKUP('Données projet'!$B$13,Paramètres!$A$1:$I$89,3,0)*0.475*44/12</f>
        <v>30.573945199704387</v>
      </c>
      <c r="DH145" s="21">
        <f>EXP(-LN(2)/2)*DH144+(1-EXP(-LN(2)/2))/(LN(2)/2)*DB145*DE145*VLOOKUP('Données projet'!$B$13,Paramètres!$A$1:$I$89,3,0)*0.475*44/12</f>
        <v>1.0334191389556323E-7</v>
      </c>
      <c r="DI145" s="22">
        <f t="shared" si="123"/>
        <v>107.09428018454867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3.4106051316484809E-13</v>
      </c>
      <c r="DP145" s="17">
        <f>DO145*VLOOKUP('Données projet'!$B$14,Paramètres!$A$1:$I$89,3,0)*VLOOKUP('Données projet'!$B$14,Paramètres!$A$1:$I$89,5,0)</f>
        <v>1.5961632016114892E-13</v>
      </c>
      <c r="DQ145" s="13">
        <f t="shared" si="151"/>
        <v>2.2708641912150958E-12</v>
      </c>
      <c r="DR145" s="20">
        <f t="shared" si="124"/>
        <v>4.2330868906469593E-12</v>
      </c>
      <c r="DS145" s="59">
        <f t="shared" si="125"/>
        <v>293.33333333333752</v>
      </c>
      <c r="DT145" s="59">
        <f ca="1">AVERAGE(OFFSET($DS$3,0,0,'Données projet'!$E$14+1,1))-AVERAGE(OFFSET($H$3,0,0,'Données projet'!$E$14+1,1))</f>
        <v>293.15557501692803</v>
      </c>
      <c r="DU145" s="59">
        <f t="shared" si="152"/>
        <v>237.1930412773068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68.261199242028511</v>
      </c>
      <c r="EB145" s="21">
        <f>EXP(-LN(2)/25)*EB144+(1-EXP(-LN(2)/25))/(LN(2)/25)*Calculateur!DW145*Calculateur!DY145*VLOOKUP('Données projet'!$B$14,Paramètres!$A$1:$I$89,3,0)*0.475*44/12</f>
        <v>16.775772675479935</v>
      </c>
      <c r="EC145" s="21">
        <f>EXP(-LN(2)/2)*EC144+(1-EXP(-LN(2)/2))/(LN(2)/2)*DW145*DZ145*VLOOKUP('Données projet'!$B$14,Paramètres!$A$1:$I$89,3,0)*0.475*44/12</f>
        <v>3.397416217275057E-4</v>
      </c>
      <c r="ED145" s="22">
        <f t="shared" si="126"/>
        <v>85.037311659130182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-1.7053025658242404E-13</v>
      </c>
      <c r="EK145" s="17">
        <f>EJ145*VLOOKUP('Données projet'!$B$15,Paramètres!$A$1:$I$89,3,0)*VLOOKUP('Données projet'!$B$15,Paramètres!$A$1:$I$89,5,0)</f>
        <v>-1.0197709343628959E-13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225.86663363047296</v>
      </c>
      <c r="EP145" s="59">
        <f t="shared" si="154"/>
        <v>258.08349727304397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20.964231719175682</v>
      </c>
      <c r="EW145" s="21">
        <f>EXP(-LN(2)/25)*EW144+(1-EXP(-LN(2)/25))/(LN(2)/25)*Calculateur!ER145*Calculateur!ET145*VLOOKUP('Données projet'!$B$15,Paramètres!$A$1:$I$89,3,0)*0.475*44/12</f>
        <v>4.0675972547696615</v>
      </c>
      <c r="EX145" s="21">
        <f>EXP(-LN(2)/2)*EX144+(1-EXP(-LN(2)/2))/(LN(2)/2)*ER145*EU145*VLOOKUP('Données projet'!$B$15,Paramètres!$A$1:$I$89,3,0)*0.475*44/12</f>
        <v>4.0671626482807179E-11</v>
      </c>
      <c r="EY145" s="22">
        <f t="shared" si="129"/>
        <v>25.031828973986016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388.12151914648013</v>
      </c>
      <c r="T146" s="59">
        <f t="shared" si="142"/>
        <v>481.43684454382793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31.783102931370351</v>
      </c>
      <c r="AA146" s="21">
        <f>EXP(-LN(2)/25)*AA145+(1-EXP(-LN(2)/25))/(LN(2)/25)*Calculateur!V146*Calculateur!X146*VLOOKUP('Données projet'!$B$9,Paramètres!$A$1:$I$89,3,0)*0.475*44/12</f>
        <v>5.5269108949447538</v>
      </c>
      <c r="AB146" s="21">
        <f>EXP(-LN(2)/2)*AB145+(1-EXP(-LN(2)/2))/(LN(2)/2)*V146*Y146*VLOOKUP('Données projet'!$B$9,Paramètres!$A$1:$I$89,3,0)*0.475*44/12</f>
        <v>6.2143957688803375E-12</v>
      </c>
      <c r="AC146" s="22">
        <f t="shared" si="111"/>
        <v>37.310013826321324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-1.3596945791505279E-13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349.71285006949597</v>
      </c>
      <c r="AO146" s="59">
        <f t="shared" si="144"/>
        <v>258.51550516456842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44.014522762855023</v>
      </c>
      <c r="AV146" s="21">
        <f>EXP(-LN(2)/25)*AV145+(1-EXP(-LN(2)/25))/(LN(2)/25)*Calculateur!AQ146*Calculateur!AS146*VLOOKUP('Données projet'!$B$10,Paramètres!$A$1:$I$89,3,0)*0.475*44/12</f>
        <v>9.0212670252256739</v>
      </c>
      <c r="AW146" s="21">
        <f>EXP(-LN(2)/2)*AW145+(1-EXP(-LN(2)/2))/(LN(2)/2)*AQ146*AT146*VLOOKUP('Données projet'!$B$10,Paramètres!$A$1:$I$89,3,0)*0.475*44/12</f>
        <v>2.3285028369855847E-8</v>
      </c>
      <c r="AX146" s="21">
        <f t="shared" si="114"/>
        <v>53.035789811365724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8.5265128291212022E-14</v>
      </c>
      <c r="BE146" s="13">
        <f>BD146*VLOOKUP('Données projet'!$B$11,Paramètres!$A$1:$I$89,3,0)*VLOOKUP('Données projet'!$B$11,Paramètres!$A$1:$I$89,5,0)</f>
        <v>8.9119112089974823E-14</v>
      </c>
      <c r="BF146" s="13">
        <f t="shared" si="145"/>
        <v>1.3568952080113142E-12</v>
      </c>
      <c r="BG146" s="20">
        <f t="shared" si="115"/>
        <v>2.5184749408430782E-12</v>
      </c>
      <c r="BH146" s="59">
        <f t="shared" si="116"/>
        <v>293.33333333333582</v>
      </c>
      <c r="BI146" s="59">
        <f ca="1">AVERAGE(OFFSET($BH$3,0,0,'Données projet'!$E$11+1,1))-AVERAGE(OFFSET($H$3,0,0,'Données projet'!$E$11+1,1))</f>
        <v>260.74709892624571</v>
      </c>
      <c r="BJ146" s="59">
        <f t="shared" si="146"/>
        <v>237.17381692184887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7.5956613243868345</v>
      </c>
      <c r="BQ146" s="21">
        <f>EXP(-LN(2)/25)*BQ145+(1-EXP(-LN(2)/25))/(LN(2)/25)*Calculateur!BL146*Calculateur!BN146*VLOOKUP('Données projet'!$B$11,Paramètres!$A$1:$I$89,3,0)*0.475*44/12</f>
        <v>13.795297470371473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21.390958794758308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10.875</v>
      </c>
      <c r="BY146" s="12">
        <f>IF('Données projet'!$A$114&gt;35,BY145+BX146-CG145,IF(A146&lt;'Données projet'!$A$114,$BV$205^A146,IF(A146='Données projet'!$A$114,'Données projet'!$B$114,BY145+BX146-CG145)))</f>
        <v>597.00500000000045</v>
      </c>
      <c r="BZ146" s="13">
        <f>BY146*VLOOKUP('Données projet'!$B$12,Paramètres!$A$1:$I$89,3,0)*VLOOKUP('Données projet'!$B$12,Paramètres!$A$1:$I$89,5,0)</f>
        <v>540.17012400000033</v>
      </c>
      <c r="CA146" s="13">
        <f t="shared" si="147"/>
        <v>119.67848090157619</v>
      </c>
      <c r="CB146" s="20">
        <f t="shared" si="118"/>
        <v>1149.2363202035792</v>
      </c>
      <c r="CC146" s="59">
        <f t="shared" si="119"/>
        <v>1442.5696535369125</v>
      </c>
      <c r="CD146" s="59">
        <f ca="1">AVERAGE(OFFSET($CC$3,0,0,'Données projet'!$E$12+1,1))-AVERAGE(OFFSET($H$3,0,0,'Données projet'!$E$12+1,1))</f>
        <v>695.0879239758051</v>
      </c>
      <c r="CE146" s="59">
        <f t="shared" si="148"/>
        <v>226.22150997227476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66.940760487104086</v>
      </c>
      <c r="CL146" s="21">
        <f>EXP(-LN(2)/25)*CL145+(1-EXP(-LN(2)/25))/(LN(2)/25)*Calculateur!CG146*Calculateur!CI146*VLOOKUP('Données projet'!$B$12,Paramètres!$A$1:$I$89,3,0)*0.475*44/12</f>
        <v>26.535356084668678</v>
      </c>
      <c r="CM146" s="21">
        <f>EXP(-LN(2)/2)*CM145+(1-EXP(-LN(2)/2))/(LN(2)/2)*CG146*CJ146*VLOOKUP('Données projet'!$B$12,Paramètres!$A$1:$I$89,3,0)*0.475*44/12</f>
        <v>6.520428537828066E-8</v>
      </c>
      <c r="CN146" s="22">
        <f t="shared" si="120"/>
        <v>93.476116636977054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10.875</v>
      </c>
      <c r="CT146" s="12">
        <f>IF('Données projet'!$A$140&gt;35,CT145+CS146-DB145,IF(A146&lt;'Données projet'!$A$140,$CQ$205^A146,IF(A146='Données projet'!$A$140,'Données projet'!$B$140,CT145+CS146-DB145)))</f>
        <v>597.00500000000045</v>
      </c>
      <c r="CU146" s="17">
        <f>CT146*VLOOKUP('Données projet'!$B$13,Paramètres!$A$1:$I$89,3,0)*VLOOKUP('Données projet'!$B$13,Paramètres!$A$1:$I$89,5,0)</f>
        <v>605.36307000000056</v>
      </c>
      <c r="CV146" s="13">
        <f t="shared" si="149"/>
        <v>132.35529940431988</v>
      </c>
      <c r="CW146" s="20">
        <f t="shared" si="121"/>
        <v>1284.8594933791912</v>
      </c>
      <c r="CX146" s="59">
        <f t="shared" si="122"/>
        <v>1578.1928267125245</v>
      </c>
      <c r="CY146" s="59">
        <f ca="1">AVERAGE(OFFSET($CX$3,0,0,'Données projet'!$E$13+1,1))-AVERAGE(OFFSET($H$3,0,0,'Données projet'!$E$13+1,1))</f>
        <v>773.15074145293738</v>
      </c>
      <c r="CZ146" s="59">
        <f t="shared" si="150"/>
        <v>248.49577986312505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75.019817787271819</v>
      </c>
      <c r="DG146" s="21">
        <f>EXP(-LN(2)/25)*DG145+(1-EXP(-LN(2)/25))/(LN(2)/25)*Calculateur!DB146*Calculateur!DD146*VLOOKUP('Données projet'!$B$13,Paramètres!$A$1:$I$89,3,0)*0.475*44/12</f>
        <v>29.737899060404569</v>
      </c>
      <c r="DH146" s="21">
        <f>EXP(-LN(2)/2)*DH145+(1-EXP(-LN(2)/2))/(LN(2)/2)*DB146*DE146*VLOOKUP('Données projet'!$B$13,Paramètres!$A$1:$I$89,3,0)*0.475*44/12</f>
        <v>7.307376809634906E-8</v>
      </c>
      <c r="DI146" s="22">
        <f t="shared" si="123"/>
        <v>104.75771692075016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3.4106051316484809E-13</v>
      </c>
      <c r="DP146" s="17">
        <f>DO146*VLOOKUP('Données projet'!$B$14,Paramètres!$A$1:$I$89,3,0)*VLOOKUP('Données projet'!$B$14,Paramètres!$A$1:$I$89,5,0)</f>
        <v>1.5961632016114892E-13</v>
      </c>
      <c r="DQ146" s="13">
        <f t="shared" si="151"/>
        <v>2.2708641912150958E-12</v>
      </c>
      <c r="DR146" s="20">
        <f t="shared" si="124"/>
        <v>4.2330868906469593E-12</v>
      </c>
      <c r="DS146" s="59">
        <f t="shared" si="125"/>
        <v>293.33333333333752</v>
      </c>
      <c r="DT146" s="59">
        <f ca="1">AVERAGE(OFFSET($DS$3,0,0,'Données projet'!$E$14+1,1))-AVERAGE(OFFSET($H$3,0,0,'Données projet'!$E$14+1,1))</f>
        <v>293.15557501692803</v>
      </c>
      <c r="DU146" s="59">
        <f t="shared" si="152"/>
        <v>237.1930412773068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66.922638760112733</v>
      </c>
      <c r="EB146" s="21">
        <f>EXP(-LN(2)/25)*EB145+(1-EXP(-LN(2)/25))/(LN(2)/25)*Calculateur!DW146*Calculateur!DY146*VLOOKUP('Données projet'!$B$14,Paramètres!$A$1:$I$89,3,0)*0.475*44/12</f>
        <v>16.317038289469394</v>
      </c>
      <c r="EC146" s="21">
        <f>EXP(-LN(2)/2)*EC145+(1-EXP(-LN(2)/2))/(LN(2)/2)*DW146*DZ146*VLOOKUP('Données projet'!$B$14,Paramètres!$A$1:$I$89,3,0)*0.475*44/12</f>
        <v>2.4023360457483419E-4</v>
      </c>
      <c r="ED146" s="22">
        <f t="shared" si="126"/>
        <v>83.239917283186699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-1.7053025658242404E-13</v>
      </c>
      <c r="EK146" s="17">
        <f>EJ146*VLOOKUP('Données projet'!$B$15,Paramètres!$A$1:$I$89,3,0)*VLOOKUP('Données projet'!$B$15,Paramètres!$A$1:$I$89,5,0)</f>
        <v>-1.0197709343628959E-13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225.86663363047296</v>
      </c>
      <c r="EP146" s="59">
        <f t="shared" si="154"/>
        <v>258.08349727304397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20.553135922081392</v>
      </c>
      <c r="EW146" s="21">
        <f>EXP(-LN(2)/25)*EW145+(1-EXP(-LN(2)/25))/(LN(2)/25)*Calculateur!ER146*Calculateur!ET146*VLOOKUP('Données projet'!$B$15,Paramètres!$A$1:$I$89,3,0)*0.475*44/12</f>
        <v>3.9563685939323423</v>
      </c>
      <c r="EX146" s="21">
        <f>EXP(-LN(2)/2)*EX145+(1-EXP(-LN(2)/2))/(LN(2)/2)*ER146*EU146*VLOOKUP('Données projet'!$B$15,Paramètres!$A$1:$I$89,3,0)*0.475*44/12</f>
        <v>2.8759182887879328E-11</v>
      </c>
      <c r="EY146" s="22">
        <f t="shared" si="129"/>
        <v>24.509504516042494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388.12151914648013</v>
      </c>
      <c r="T147" s="59">
        <f t="shared" si="142"/>
        <v>481.43684454382793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31.159855668664779</v>
      </c>
      <c r="AA147" s="21">
        <f>EXP(-LN(2)/25)*AA146+(1-EXP(-LN(2)/25))/(LN(2)/25)*Calculateur!V147*Calculateur!X147*VLOOKUP('Données projet'!$B$9,Paramètres!$A$1:$I$89,3,0)*0.475*44/12</f>
        <v>5.3757772258748773</v>
      </c>
      <c r="AB147" s="21">
        <f>EXP(-LN(2)/2)*AB146+(1-EXP(-LN(2)/2))/(LN(2)/2)*V147*Y147*VLOOKUP('Données projet'!$B$9,Paramètres!$A$1:$I$89,3,0)*0.475*44/12</f>
        <v>4.3942413891522756E-12</v>
      </c>
      <c r="AC147" s="22">
        <f t="shared" si="111"/>
        <v>36.535632894544051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-1.3596945791505279E-13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349.71285006949597</v>
      </c>
      <c r="AO147" s="59">
        <f t="shared" si="144"/>
        <v>258.51550516456842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43.151424817683477</v>
      </c>
      <c r="AV147" s="21">
        <f>EXP(-LN(2)/25)*AV146+(1-EXP(-LN(2)/25))/(LN(2)/25)*Calculateur!AQ147*Calculateur!AS147*VLOOKUP('Données projet'!$B$10,Paramètres!$A$1:$I$89,3,0)*0.475*44/12</f>
        <v>8.7745800040130639</v>
      </c>
      <c r="AW147" s="21">
        <f>EXP(-LN(2)/2)*AW146+(1-EXP(-LN(2)/2))/(LN(2)/2)*AQ147*AT147*VLOOKUP('Données projet'!$B$10,Paramètres!$A$1:$I$89,3,0)*0.475*44/12</f>
        <v>1.6465001460446209E-8</v>
      </c>
      <c r="AX147" s="21">
        <f t="shared" si="114"/>
        <v>51.926004838161539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8.5265128291212022E-14</v>
      </c>
      <c r="BE147" s="13">
        <f>BD147*VLOOKUP('Données projet'!$B$11,Paramètres!$A$1:$I$89,3,0)*VLOOKUP('Données projet'!$B$11,Paramètres!$A$1:$I$89,5,0)</f>
        <v>8.9119112089974823E-14</v>
      </c>
      <c r="BF147" s="13">
        <f t="shared" si="145"/>
        <v>1.3568952080113142E-12</v>
      </c>
      <c r="BG147" s="20">
        <f t="shared" si="115"/>
        <v>2.5184749408430782E-12</v>
      </c>
      <c r="BH147" s="59">
        <f t="shared" si="116"/>
        <v>293.33333333333582</v>
      </c>
      <c r="BI147" s="59">
        <f ca="1">AVERAGE(OFFSET($BH$3,0,0,'Données projet'!$E$11+1,1))-AVERAGE(OFFSET($H$3,0,0,'Données projet'!$E$11+1,1))</f>
        <v>260.74709892624571</v>
      </c>
      <c r="BJ147" s="59">
        <f t="shared" si="146"/>
        <v>237.17381692184887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7.4467150387115559</v>
      </c>
      <c r="BQ147" s="21">
        <f>EXP(-LN(2)/25)*BQ146+(1-EXP(-LN(2)/25))/(LN(2)/25)*Calculateur!BL147*Calculateur!BN147*VLOOKUP('Données projet'!$B$11,Paramètres!$A$1:$I$89,3,0)*0.475*44/12</f>
        <v>13.418064335581001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20.864779374292556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10.875</v>
      </c>
      <c r="BY147" s="12">
        <f>IF('Données projet'!$A$114&gt;35,BY146+BX147-CG146,IF(A147&lt;'Données projet'!$A$114,$BV$205^A147,IF(A147='Données projet'!$A$114,'Données projet'!$B$114,BY146+BX147-CG146)))</f>
        <v>607.88000000000045</v>
      </c>
      <c r="BZ147" s="13">
        <f>BY147*VLOOKUP('Données projet'!$B$12,Paramètres!$A$1:$I$89,3,0)*VLOOKUP('Données projet'!$B$12,Paramètres!$A$1:$I$89,5,0)</f>
        <v>550.00982400000044</v>
      </c>
      <c r="CA147" s="13">
        <f t="shared" si="147"/>
        <v>121.60274863739461</v>
      </c>
      <c r="CB147" s="20">
        <f t="shared" si="118"/>
        <v>1169.7252306767962</v>
      </c>
      <c r="CC147" s="59">
        <f t="shared" si="119"/>
        <v>1463.0585640101294</v>
      </c>
      <c r="CD147" s="59">
        <f ca="1">AVERAGE(OFFSET($CC$3,0,0,'Données projet'!$E$12+1,1))-AVERAGE(OFFSET($H$3,0,0,'Données projet'!$E$12+1,1))</f>
        <v>695.0879239758051</v>
      </c>
      <c r="CE147" s="59">
        <f t="shared" si="148"/>
        <v>226.22150997227476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65.628093003784258</v>
      </c>
      <c r="CL147" s="21">
        <f>EXP(-LN(2)/25)*CL146+(1-EXP(-LN(2)/25))/(LN(2)/25)*Calculateur!CG147*Calculateur!CI147*VLOOKUP('Données projet'!$B$12,Paramètres!$A$1:$I$89,3,0)*0.475*44/12</f>
        <v>25.809745377099684</v>
      </c>
      <c r="CM147" s="21">
        <f>EXP(-LN(2)/2)*CM146+(1-EXP(-LN(2)/2))/(LN(2)/2)*CG147*CJ147*VLOOKUP('Données projet'!$B$12,Paramètres!$A$1:$I$89,3,0)*0.475*44/12</f>
        <v>4.6106392353405103E-8</v>
      </c>
      <c r="CN147" s="22">
        <f t="shared" si="120"/>
        <v>91.437838426990339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10.875</v>
      </c>
      <c r="CT147" s="12">
        <f>IF('Données projet'!$A$140&gt;35,CT146+CS147-DB146,IF(A147&lt;'Données projet'!$A$140,$CQ$205^A147,IF(A147='Données projet'!$A$140,'Données projet'!$B$140,CT146+CS147-DB146)))</f>
        <v>607.88000000000045</v>
      </c>
      <c r="CU147" s="17">
        <f>CT147*VLOOKUP('Données projet'!$B$13,Paramètres!$A$1:$I$89,3,0)*VLOOKUP('Données projet'!$B$13,Paramètres!$A$1:$I$89,5,0)</f>
        <v>616.39032000000054</v>
      </c>
      <c r="CV147" s="13">
        <f t="shared" si="149"/>
        <v>134.48339319686872</v>
      </c>
      <c r="CW147" s="20">
        <f t="shared" si="121"/>
        <v>1307.7717171512138</v>
      </c>
      <c r="CX147" s="59">
        <f t="shared" si="122"/>
        <v>1601.1050504845471</v>
      </c>
      <c r="CY147" s="59">
        <f ca="1">AVERAGE(OFFSET($CX$3,0,0,'Données projet'!$E$13+1,1))-AVERAGE(OFFSET($H$3,0,0,'Données projet'!$E$13+1,1))</f>
        <v>773.15074145293738</v>
      </c>
      <c r="CZ147" s="59">
        <f t="shared" si="150"/>
        <v>248.49577986312505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73.548724918034083</v>
      </c>
      <c r="DG147" s="21">
        <f>EXP(-LN(2)/25)*DG146+(1-EXP(-LN(2)/25))/(LN(2)/25)*Calculateur!DB147*Calculateur!DD147*VLOOKUP('Données projet'!$B$13,Paramètres!$A$1:$I$89,3,0)*0.475*44/12</f>
        <v>28.92471464674966</v>
      </c>
      <c r="DH147" s="21">
        <f>EXP(-LN(2)/2)*DH146+(1-EXP(-LN(2)/2))/(LN(2)/2)*DB147*DE147*VLOOKUP('Données projet'!$B$13,Paramètres!$A$1:$I$89,3,0)*0.475*44/12</f>
        <v>5.1670956947781613E-8</v>
      </c>
      <c r="DI147" s="22">
        <f t="shared" si="123"/>
        <v>102.4734396164547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3.4106051316484809E-13</v>
      </c>
      <c r="DP147" s="17">
        <f>DO147*VLOOKUP('Données projet'!$B$14,Paramètres!$A$1:$I$89,3,0)*VLOOKUP('Données projet'!$B$14,Paramètres!$A$1:$I$89,5,0)</f>
        <v>1.5961632016114892E-13</v>
      </c>
      <c r="DQ147" s="13">
        <f t="shared" si="151"/>
        <v>2.2708641912150958E-12</v>
      </c>
      <c r="DR147" s="20">
        <f t="shared" si="124"/>
        <v>4.2330868906469593E-12</v>
      </c>
      <c r="DS147" s="59">
        <f t="shared" si="125"/>
        <v>293.33333333333752</v>
      </c>
      <c r="DT147" s="59">
        <f ca="1">AVERAGE(OFFSET($DS$3,0,0,'Données projet'!$E$14+1,1))-AVERAGE(OFFSET($H$3,0,0,'Données projet'!$E$14+1,1))</f>
        <v>293.15557501692803</v>
      </c>
      <c r="DU147" s="59">
        <f t="shared" si="152"/>
        <v>237.1930412773068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65.61032663280605</v>
      </c>
      <c r="EB147" s="21">
        <f>EXP(-LN(2)/25)*EB146+(1-EXP(-LN(2)/25))/(LN(2)/25)*Calculateur!DW147*Calculateur!DY147*VLOOKUP('Données projet'!$B$14,Paramètres!$A$1:$I$89,3,0)*0.475*44/12</f>
        <v>15.870848019368104</v>
      </c>
      <c r="EC147" s="21">
        <f>EXP(-LN(2)/2)*EC146+(1-EXP(-LN(2)/2))/(LN(2)/2)*DW147*DZ147*VLOOKUP('Données projet'!$B$14,Paramètres!$A$1:$I$89,3,0)*0.475*44/12</f>
        <v>1.6987081086375288E-4</v>
      </c>
      <c r="ED147" s="22">
        <f t="shared" si="126"/>
        <v>81.481344522985026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-1.7053025658242404E-13</v>
      </c>
      <c r="EK147" s="17">
        <f>EJ147*VLOOKUP('Données projet'!$B$15,Paramètres!$A$1:$I$89,3,0)*VLOOKUP('Données projet'!$B$15,Paramètres!$A$1:$I$89,5,0)</f>
        <v>-1.0197709343628959E-13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225.86663363047296</v>
      </c>
      <c r="EP147" s="59">
        <f t="shared" si="154"/>
        <v>258.08349727304397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20.150101462824445</v>
      </c>
      <c r="EW147" s="21">
        <f>EXP(-LN(2)/25)*EW146+(1-EXP(-LN(2)/25))/(LN(2)/25)*Calculateur!ER147*Calculateur!ET147*VLOOKUP('Données projet'!$B$15,Paramètres!$A$1:$I$89,3,0)*0.475*44/12</f>
        <v>3.8481814866748802</v>
      </c>
      <c r="EX147" s="21">
        <f>EXP(-LN(2)/2)*EX146+(1-EXP(-LN(2)/2))/(LN(2)/2)*ER147*EU147*VLOOKUP('Données projet'!$B$15,Paramètres!$A$1:$I$89,3,0)*0.475*44/12</f>
        <v>2.0335813241403593E-11</v>
      </c>
      <c r="EY147" s="22">
        <f t="shared" si="129"/>
        <v>23.998282949519663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388.12151914648013</v>
      </c>
      <c r="T148" s="59">
        <f t="shared" si="142"/>
        <v>481.43684454382793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30.548829904637572</v>
      </c>
      <c r="AA148" s="21">
        <f>EXP(-LN(2)/25)*AA147+(1-EXP(-LN(2)/25))/(LN(2)/25)*Calculateur!V148*Calculateur!X148*VLOOKUP('Données projet'!$B$9,Paramètres!$A$1:$I$89,3,0)*0.475*44/12</f>
        <v>5.2287763149334907</v>
      </c>
      <c r="AB148" s="21">
        <f>EXP(-LN(2)/2)*AB147+(1-EXP(-LN(2)/2))/(LN(2)/2)*V148*Y148*VLOOKUP('Données projet'!$B$9,Paramètres!$A$1:$I$89,3,0)*0.475*44/12</f>
        <v>3.1071978844401688E-12</v>
      </c>
      <c r="AC148" s="22">
        <f t="shared" si="111"/>
        <v>35.777606219574167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-1.3596945791505279E-13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349.71285006949597</v>
      </c>
      <c r="AO148" s="59">
        <f t="shared" si="144"/>
        <v>258.51550516456842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42.305251696778981</v>
      </c>
      <c r="AV148" s="21">
        <f>EXP(-LN(2)/25)*AV147+(1-EXP(-LN(2)/25))/(LN(2)/25)*Calculateur!AQ148*Calculateur!AS148*VLOOKUP('Données projet'!$B$10,Paramètres!$A$1:$I$89,3,0)*0.475*44/12</f>
        <v>8.5346386523682192</v>
      </c>
      <c r="AW148" s="21">
        <f>EXP(-LN(2)/2)*AW147+(1-EXP(-LN(2)/2))/(LN(2)/2)*AQ148*AT148*VLOOKUP('Données projet'!$B$10,Paramètres!$A$1:$I$89,3,0)*0.475*44/12</f>
        <v>1.1642514184927923E-8</v>
      </c>
      <c r="AX148" s="21">
        <f t="shared" si="114"/>
        <v>50.83989036078971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8.5265128291212022E-14</v>
      </c>
      <c r="BE148" s="13">
        <f>BD148*VLOOKUP('Données projet'!$B$11,Paramètres!$A$1:$I$89,3,0)*VLOOKUP('Données projet'!$B$11,Paramètres!$A$1:$I$89,5,0)</f>
        <v>8.9119112089974823E-14</v>
      </c>
      <c r="BF148" s="13">
        <f t="shared" si="145"/>
        <v>1.3568952080113142E-12</v>
      </c>
      <c r="BG148" s="20">
        <f t="shared" si="115"/>
        <v>2.5184749408430782E-12</v>
      </c>
      <c r="BH148" s="59">
        <f t="shared" si="116"/>
        <v>293.33333333333582</v>
      </c>
      <c r="BI148" s="59">
        <f ca="1">AVERAGE(OFFSET($BH$3,0,0,'Données projet'!$E$11+1,1))-AVERAGE(OFFSET($H$3,0,0,'Données projet'!$E$11+1,1))</f>
        <v>260.74709892624571</v>
      </c>
      <c r="BJ148" s="59">
        <f t="shared" si="146"/>
        <v>237.17381692184887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7.3006894988501063</v>
      </c>
      <c r="BQ148" s="21">
        <f>EXP(-LN(2)/25)*BQ147+(1-EXP(-LN(2)/25))/(LN(2)/25)*Calculateur!BL148*Calculateur!BN148*VLOOKUP('Données projet'!$B$11,Paramètres!$A$1:$I$89,3,0)*0.475*44/12</f>
        <v>13.051146660699201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20.351836159549308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10.875</v>
      </c>
      <c r="BY148" s="12">
        <f>IF('Données projet'!$A$114&gt;35,BY147+BX148-CG147,IF(A148&lt;'Données projet'!$A$114,$BV$205^A148,IF(A148='Données projet'!$A$114,'Données projet'!$B$114,BY147+BX148-CG147)))</f>
        <v>618.75500000000045</v>
      </c>
      <c r="BZ148" s="13">
        <f>BY148*VLOOKUP('Données projet'!$B$12,Paramètres!$A$1:$I$89,3,0)*VLOOKUP('Données projet'!$B$12,Paramètres!$A$1:$I$89,5,0)</f>
        <v>559.84952400000043</v>
      </c>
      <c r="CA148" s="13">
        <f t="shared" si="147"/>
        <v>123.52301321945187</v>
      </c>
      <c r="CB148" s="20">
        <f t="shared" si="118"/>
        <v>1190.2071689905461</v>
      </c>
      <c r="CC148" s="59">
        <f t="shared" si="119"/>
        <v>1483.5405023238793</v>
      </c>
      <c r="CD148" s="59">
        <f ca="1">AVERAGE(OFFSET($CC$3,0,0,'Données projet'!$E$12+1,1))-AVERAGE(OFFSET($H$3,0,0,'Données projet'!$E$12+1,1))</f>
        <v>695.0879239758051</v>
      </c>
      <c r="CE148" s="59">
        <f t="shared" si="148"/>
        <v>226.22150997227476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64.341166129164222</v>
      </c>
      <c r="CL148" s="21">
        <f>EXP(-LN(2)/25)*CL147+(1-EXP(-LN(2)/25))/(LN(2)/25)*Calculateur!CG148*Calculateur!CI148*VLOOKUP('Données projet'!$B$12,Paramètres!$A$1:$I$89,3,0)*0.475*44/12</f>
        <v>25.103976532487373</v>
      </c>
      <c r="CM148" s="21">
        <f>EXP(-LN(2)/2)*CM147+(1-EXP(-LN(2)/2))/(LN(2)/2)*CG148*CJ148*VLOOKUP('Données projet'!$B$12,Paramètres!$A$1:$I$89,3,0)*0.475*44/12</f>
        <v>3.260214268914033E-8</v>
      </c>
      <c r="CN148" s="22">
        <f t="shared" si="120"/>
        <v>89.445142694253747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10.875</v>
      </c>
      <c r="CT148" s="12">
        <f>IF('Données projet'!$A$140&gt;35,CT147+CS148-DB147,IF(A148&lt;'Données projet'!$A$140,$CQ$205^A148,IF(A148='Données projet'!$A$140,'Données projet'!$B$140,CT147+CS148-DB147)))</f>
        <v>618.75500000000045</v>
      </c>
      <c r="CU148" s="17">
        <f>CT148*VLOOKUP('Données projet'!$B$13,Paramètres!$A$1:$I$89,3,0)*VLOOKUP('Données projet'!$B$13,Paramètres!$A$1:$I$89,5,0)</f>
        <v>627.41757000000052</v>
      </c>
      <c r="CV148" s="13">
        <f t="shared" si="149"/>
        <v>136.60705980576157</v>
      </c>
      <c r="CW148" s="20">
        <f t="shared" si="121"/>
        <v>1330.6762302450354</v>
      </c>
      <c r="CX148" s="59">
        <f t="shared" si="122"/>
        <v>1624.0095635783687</v>
      </c>
      <c r="CY148" s="59">
        <f ca="1">AVERAGE(OFFSET($CX$3,0,0,'Données projet'!$E$13+1,1))-AVERAGE(OFFSET($H$3,0,0,'Données projet'!$E$13+1,1))</f>
        <v>773.15074145293738</v>
      </c>
      <c r="CZ148" s="59">
        <f t="shared" si="150"/>
        <v>248.49577986312505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72.106479282684049</v>
      </c>
      <c r="DG148" s="21">
        <f>EXP(-LN(2)/25)*DG147+(1-EXP(-LN(2)/25))/(LN(2)/25)*Calculateur!DB148*Calculateur!DD148*VLOOKUP('Données projet'!$B$13,Paramètres!$A$1:$I$89,3,0)*0.475*44/12</f>
        <v>28.133766803649657</v>
      </c>
      <c r="DH148" s="21">
        <f>EXP(-LN(2)/2)*DH147+(1-EXP(-LN(2)/2))/(LN(2)/2)*DB148*DE148*VLOOKUP('Données projet'!$B$13,Paramètres!$A$1:$I$89,3,0)*0.475*44/12</f>
        <v>3.653688404817453E-8</v>
      </c>
      <c r="DI148" s="22">
        <f t="shared" si="123"/>
        <v>100.2402461228706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3.4106051316484809E-13</v>
      </c>
      <c r="DP148" s="17">
        <f>DO148*VLOOKUP('Données projet'!$B$14,Paramètres!$A$1:$I$89,3,0)*VLOOKUP('Données projet'!$B$14,Paramètres!$A$1:$I$89,5,0)</f>
        <v>1.5961632016114892E-13</v>
      </c>
      <c r="DQ148" s="13">
        <f t="shared" si="151"/>
        <v>2.2708641912150958E-12</v>
      </c>
      <c r="DR148" s="20">
        <f t="shared" si="124"/>
        <v>4.2330868906469593E-12</v>
      </c>
      <c r="DS148" s="59">
        <f t="shared" si="125"/>
        <v>293.33333333333752</v>
      </c>
      <c r="DT148" s="59">
        <f ca="1">AVERAGE(OFFSET($DS$3,0,0,'Données projet'!$E$14+1,1))-AVERAGE(OFFSET($H$3,0,0,'Données projet'!$E$14+1,1))</f>
        <v>293.15557501692803</v>
      </c>
      <c r="DU148" s="59">
        <f t="shared" si="152"/>
        <v>237.1930412773068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64.32374814588448</v>
      </c>
      <c r="EB148" s="21">
        <f>EXP(-LN(2)/25)*EB147+(1-EXP(-LN(2)/25))/(LN(2)/25)*Calculateur!DW148*Calculateur!DY148*VLOOKUP('Données projet'!$B$14,Paramètres!$A$1:$I$89,3,0)*0.475*44/12</f>
        <v>15.43685884566686</v>
      </c>
      <c r="EC148" s="21">
        <f>EXP(-LN(2)/2)*EC147+(1-EXP(-LN(2)/2))/(LN(2)/2)*DW148*DZ148*VLOOKUP('Données projet'!$B$14,Paramètres!$A$1:$I$89,3,0)*0.475*44/12</f>
        <v>1.2011680228741711E-4</v>
      </c>
      <c r="ED148" s="22">
        <f t="shared" si="126"/>
        <v>79.760727108353635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-1.7053025658242404E-13</v>
      </c>
      <c r="EK148" s="17">
        <f>EJ148*VLOOKUP('Données projet'!$B$15,Paramètres!$A$1:$I$89,3,0)*VLOOKUP('Données projet'!$B$15,Paramètres!$A$1:$I$89,5,0)</f>
        <v>-1.0197709343628959E-13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225.86663363047296</v>
      </c>
      <c r="EP148" s="59">
        <f t="shared" si="154"/>
        <v>258.08349727304397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19.754970263486779</v>
      </c>
      <c r="EW148" s="21">
        <f>EXP(-LN(2)/25)*EW147+(1-EXP(-LN(2)/25))/(LN(2)/25)*Calculateur!ER148*Calculateur!ET148*VLOOKUP('Données projet'!$B$15,Paramètres!$A$1:$I$89,3,0)*0.475*44/12</f>
        <v>3.7429527615546863</v>
      </c>
      <c r="EX148" s="21">
        <f>EXP(-LN(2)/2)*EX147+(1-EXP(-LN(2)/2))/(LN(2)/2)*ER148*EU148*VLOOKUP('Données projet'!$B$15,Paramètres!$A$1:$I$89,3,0)*0.475*44/12</f>
        <v>1.4379591443939667E-11</v>
      </c>
      <c r="EY148" s="22">
        <f t="shared" si="129"/>
        <v>23.497923025055844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388.12151914648013</v>
      </c>
      <c r="T149" s="59">
        <f t="shared" si="142"/>
        <v>481.43684454382793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29.949785983154019</v>
      </c>
      <c r="AA149" s="21">
        <f>EXP(-LN(2)/25)*AA148+(1-EXP(-LN(2)/25))/(LN(2)/25)*Calculateur!V149*Calculateur!X149*VLOOKUP('Données projet'!$B$9,Paramètres!$A$1:$I$89,3,0)*0.475*44/12</f>
        <v>5.0857951516322384</v>
      </c>
      <c r="AB149" s="21">
        <f>EXP(-LN(2)/2)*AB148+(1-EXP(-LN(2)/2))/(LN(2)/2)*V149*Y149*VLOOKUP('Données projet'!$B$9,Paramètres!$A$1:$I$89,3,0)*0.475*44/12</f>
        <v>2.1971206945761378E-12</v>
      </c>
      <c r="AC149" s="22">
        <f t="shared" si="111"/>
        <v>35.035581134788451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-1.3596945791505279E-13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349.71285006949597</v>
      </c>
      <c r="AO149" s="59">
        <f t="shared" si="144"/>
        <v>258.51550516456842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41.475671514660782</v>
      </c>
      <c r="AV149" s="21">
        <f>EXP(-LN(2)/25)*AV148+(1-EXP(-LN(2)/25))/(LN(2)/25)*Calculateur!AQ149*Calculateur!AS149*VLOOKUP('Données projet'!$B$10,Paramètres!$A$1:$I$89,3,0)*0.475*44/12</f>
        <v>8.3012585096020697</v>
      </c>
      <c r="AW149" s="21">
        <f>EXP(-LN(2)/2)*AW148+(1-EXP(-LN(2)/2))/(LN(2)/2)*AQ149*AT149*VLOOKUP('Données projet'!$B$10,Paramètres!$A$1:$I$89,3,0)*0.475*44/12</f>
        <v>8.2325007302231047E-9</v>
      </c>
      <c r="AX149" s="21">
        <f t="shared" si="114"/>
        <v>49.776930032495351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8.5265128291212022E-14</v>
      </c>
      <c r="BE149" s="13">
        <f>BD149*VLOOKUP('Données projet'!$B$11,Paramètres!$A$1:$I$89,3,0)*VLOOKUP('Données projet'!$B$11,Paramètres!$A$1:$I$89,5,0)</f>
        <v>8.9119112089974823E-14</v>
      </c>
      <c r="BF149" s="13">
        <f t="shared" si="145"/>
        <v>1.3568952080113142E-12</v>
      </c>
      <c r="BG149" s="20">
        <f t="shared" si="115"/>
        <v>2.5184749408430782E-12</v>
      </c>
      <c r="BH149" s="59">
        <f t="shared" si="116"/>
        <v>293.33333333333582</v>
      </c>
      <c r="BI149" s="59">
        <f ca="1">AVERAGE(OFFSET($BH$3,0,0,'Données projet'!$E$11+1,1))-AVERAGE(OFFSET($H$3,0,0,'Données projet'!$E$11+1,1))</f>
        <v>260.74709892624571</v>
      </c>
      <c r="BJ149" s="59">
        <f t="shared" si="146"/>
        <v>237.17381692184887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7.157527430758555</v>
      </c>
      <c r="BQ149" s="21">
        <f>EXP(-LN(2)/25)*BQ148+(1-EXP(-LN(2)/25))/(LN(2)/25)*Calculateur!BL149*Calculateur!BN149*VLOOKUP('Données projet'!$B$11,Paramètres!$A$1:$I$89,3,0)*0.475*44/12</f>
        <v>12.694262368932408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19.851789799690962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10.875</v>
      </c>
      <c r="BY149" s="12">
        <f>IF('Données projet'!$A$114&gt;35,BY148+BX149-CG148,IF(A149&lt;'Données projet'!$A$114,$BV$205^A149,IF(A149='Données projet'!$A$114,'Données projet'!$B$114,BY148+BX149-CG148)))</f>
        <v>629.63000000000045</v>
      </c>
      <c r="BZ149" s="13">
        <f>BY149*VLOOKUP('Données projet'!$B$12,Paramètres!$A$1:$I$89,3,0)*VLOOKUP('Données projet'!$B$12,Paramètres!$A$1:$I$89,5,0)</f>
        <v>569.68922400000042</v>
      </c>
      <c r="CA149" s="13">
        <f t="shared" si="147"/>
        <v>125.43935312315148</v>
      </c>
      <c r="CB149" s="20">
        <f t="shared" si="118"/>
        <v>1210.6822718228229</v>
      </c>
      <c r="CC149" s="59">
        <f t="shared" si="119"/>
        <v>1504.0156051561562</v>
      </c>
      <c r="CD149" s="59">
        <f ca="1">AVERAGE(OFFSET($CC$3,0,0,'Données projet'!$E$12+1,1))-AVERAGE(OFFSET($H$3,0,0,'Données projet'!$E$12+1,1))</f>
        <v>695.0879239758051</v>
      </c>
      <c r="CE149" s="59">
        <f t="shared" si="148"/>
        <v>226.22150997227476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63.079475105607607</v>
      </c>
      <c r="CL149" s="21">
        <f>EXP(-LN(2)/25)*CL148+(1-EXP(-LN(2)/25))/(LN(2)/25)*Calculateur!CG149*Calculateur!CI149*VLOOKUP('Données projet'!$B$12,Paramètres!$A$1:$I$89,3,0)*0.475*44/12</f>
        <v>24.417506974045757</v>
      </c>
      <c r="CM149" s="21">
        <f>EXP(-LN(2)/2)*CM148+(1-EXP(-LN(2)/2))/(LN(2)/2)*CG149*CJ149*VLOOKUP('Données projet'!$B$12,Paramètres!$A$1:$I$89,3,0)*0.475*44/12</f>
        <v>2.3053196176702552E-8</v>
      </c>
      <c r="CN149" s="22">
        <f t="shared" si="120"/>
        <v>87.496982102706554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10.875</v>
      </c>
      <c r="CT149" s="12">
        <f>IF('Données projet'!$A$140&gt;35,CT148+CS149-DB148,IF(A149&lt;'Données projet'!$A$140,$CQ$205^A149,IF(A149='Données projet'!$A$140,'Données projet'!$B$140,CT148+CS149-DB148)))</f>
        <v>629.63000000000045</v>
      </c>
      <c r="CU149" s="17">
        <f>CT149*VLOOKUP('Données projet'!$B$13,Paramètres!$A$1:$I$89,3,0)*VLOOKUP('Données projet'!$B$13,Paramètres!$A$1:$I$89,5,0)</f>
        <v>638.4448200000005</v>
      </c>
      <c r="CV149" s="13">
        <f t="shared" si="149"/>
        <v>138.72638601882727</v>
      </c>
      <c r="CW149" s="20">
        <f t="shared" si="121"/>
        <v>1353.5731838161248</v>
      </c>
      <c r="CX149" s="59">
        <f t="shared" si="122"/>
        <v>1646.9065171494581</v>
      </c>
      <c r="CY149" s="59">
        <f ca="1">AVERAGE(OFFSET($CX$3,0,0,'Données projet'!$E$13+1,1))-AVERAGE(OFFSET($H$3,0,0,'Données projet'!$E$13+1,1))</f>
        <v>773.15074145293738</v>
      </c>
      <c r="CZ149" s="59">
        <f t="shared" si="150"/>
        <v>248.49577986312505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70.692515204560252</v>
      </c>
      <c r="DG149" s="21">
        <f>EXP(-LN(2)/25)*DG148+(1-EXP(-LN(2)/25))/(LN(2)/25)*Calculateur!DB149*Calculateur!DD149*VLOOKUP('Données projet'!$B$13,Paramètres!$A$1:$I$89,3,0)*0.475*44/12</f>
        <v>27.364447470913362</v>
      </c>
      <c r="DH149" s="21">
        <f>EXP(-LN(2)/2)*DH148+(1-EXP(-LN(2)/2))/(LN(2)/2)*DB149*DE149*VLOOKUP('Données projet'!$B$13,Paramètres!$A$1:$I$89,3,0)*0.475*44/12</f>
        <v>2.5835478473890806E-8</v>
      </c>
      <c r="DI149" s="22">
        <f t="shared" si="123"/>
        <v>98.056962701309089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3.4106051316484809E-13</v>
      </c>
      <c r="DP149" s="17">
        <f>DO149*VLOOKUP('Données projet'!$B$14,Paramètres!$A$1:$I$89,3,0)*VLOOKUP('Données projet'!$B$14,Paramètres!$A$1:$I$89,5,0)</f>
        <v>1.5961632016114892E-13</v>
      </c>
      <c r="DQ149" s="13">
        <f t="shared" si="151"/>
        <v>2.2708641912150958E-12</v>
      </c>
      <c r="DR149" s="20">
        <f t="shared" si="124"/>
        <v>4.2330868906469593E-12</v>
      </c>
      <c r="DS149" s="59">
        <f t="shared" si="125"/>
        <v>293.33333333333752</v>
      </c>
      <c r="DT149" s="59">
        <f ca="1">AVERAGE(OFFSET($DS$3,0,0,'Données projet'!$E$14+1,1))-AVERAGE(OFFSET($H$3,0,0,'Données projet'!$E$14+1,1))</f>
        <v>293.15557501692803</v>
      </c>
      <c r="DU149" s="59">
        <f t="shared" si="152"/>
        <v>237.1930412773068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63.062398678356054</v>
      </c>
      <c r="EB149" s="21">
        <f>EXP(-LN(2)/25)*EB148+(1-EXP(-LN(2)/25))/(LN(2)/25)*Calculateur!DW149*Calculateur!DY149*VLOOKUP('Données projet'!$B$14,Paramètres!$A$1:$I$89,3,0)*0.475*44/12</f>
        <v>15.014737128742974</v>
      </c>
      <c r="EC149" s="21">
        <f>EXP(-LN(2)/2)*EC148+(1-EXP(-LN(2)/2))/(LN(2)/2)*DW149*DZ149*VLOOKUP('Données projet'!$B$14,Paramètres!$A$1:$I$89,3,0)*0.475*44/12</f>
        <v>8.4935405431876452E-5</v>
      </c>
      <c r="ED149" s="22">
        <f t="shared" si="126"/>
        <v>78.077220742504451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-1.7053025658242404E-13</v>
      </c>
      <c r="EK149" s="17">
        <f>EJ149*VLOOKUP('Données projet'!$B$15,Paramètres!$A$1:$I$89,3,0)*VLOOKUP('Données projet'!$B$15,Paramètres!$A$1:$I$89,5,0)</f>
        <v>-1.0197709343628959E-13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225.86663363047296</v>
      </c>
      <c r="EP149" s="59">
        <f t="shared" si="154"/>
        <v>258.08349727304397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19.367587345961891</v>
      </c>
      <c r="EW149" s="21">
        <f>EXP(-LN(2)/25)*EW148+(1-EXP(-LN(2)/25))/(LN(2)/25)*Calculateur!ER149*Calculateur!ET149*VLOOKUP('Données projet'!$B$15,Paramètres!$A$1:$I$89,3,0)*0.475*44/12</f>
        <v>3.6406015214566421</v>
      </c>
      <c r="EX149" s="21">
        <f>EXP(-LN(2)/2)*EX148+(1-EXP(-LN(2)/2))/(LN(2)/2)*ER149*EU149*VLOOKUP('Données projet'!$B$15,Paramètres!$A$1:$I$89,3,0)*0.475*44/12</f>
        <v>1.0167906620701798E-11</v>
      </c>
      <c r="EY149" s="22">
        <f t="shared" si="129"/>
        <v>23.0081888674287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388.12151914648013</v>
      </c>
      <c r="T150" s="59">
        <f t="shared" si="142"/>
        <v>481.43684454382793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29.362488947590045</v>
      </c>
      <c r="AA150" s="21">
        <f>EXP(-LN(2)/25)*AA149+(1-EXP(-LN(2)/25))/(LN(2)/25)*Calculateur!V150*Calculateur!X150*VLOOKUP('Données projet'!$B$9,Paramètres!$A$1:$I$89,3,0)*0.475*44/12</f>
        <v>4.9467238157605111</v>
      </c>
      <c r="AB150" s="21">
        <f>EXP(-LN(2)/2)*AB149+(1-EXP(-LN(2)/2))/(LN(2)/2)*V150*Y150*VLOOKUP('Données projet'!$B$9,Paramètres!$A$1:$I$89,3,0)*0.475*44/12</f>
        <v>1.5535989422200844E-12</v>
      </c>
      <c r="AC150" s="22">
        <f t="shared" si="111"/>
        <v>34.309212763352114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-1.3596945791505279E-13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349.71285006949597</v>
      </c>
      <c r="AO150" s="59">
        <f t="shared" si="144"/>
        <v>258.51550516456842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40.662358893919972</v>
      </c>
      <c r="AV150" s="21">
        <f>EXP(-LN(2)/25)*AV149+(1-EXP(-LN(2)/25))/(LN(2)/25)*Calculateur!AQ150*Calculateur!AS150*VLOOKUP('Données projet'!$B$10,Paramètres!$A$1:$I$89,3,0)*0.475*44/12</f>
        <v>8.0742601591127894</v>
      </c>
      <c r="AW150" s="21">
        <f>EXP(-LN(2)/2)*AW149+(1-EXP(-LN(2)/2))/(LN(2)/2)*AQ150*AT150*VLOOKUP('Données projet'!$B$10,Paramètres!$A$1:$I$89,3,0)*0.475*44/12</f>
        <v>5.8212570924639616E-9</v>
      </c>
      <c r="AX150" s="21">
        <f t="shared" si="114"/>
        <v>48.736619058854018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8.5265128291212022E-14</v>
      </c>
      <c r="BE150" s="13">
        <f>BD150*VLOOKUP('Données projet'!$B$11,Paramètres!$A$1:$I$89,3,0)*VLOOKUP('Données projet'!$B$11,Paramètres!$A$1:$I$89,5,0)</f>
        <v>8.9119112089974823E-14</v>
      </c>
      <c r="BF150" s="13">
        <f t="shared" si="145"/>
        <v>1.3568952080113142E-12</v>
      </c>
      <c r="BG150" s="20">
        <f t="shared" si="115"/>
        <v>2.5184749408430782E-12</v>
      </c>
      <c r="BH150" s="59">
        <f t="shared" si="116"/>
        <v>293.33333333333582</v>
      </c>
      <c r="BI150" s="59">
        <f ca="1">AVERAGE(OFFSET($BH$3,0,0,'Données projet'!$E$11+1,1))-AVERAGE(OFFSET($H$3,0,0,'Données projet'!$E$11+1,1))</f>
        <v>260.74709892624571</v>
      </c>
      <c r="BJ150" s="59">
        <f t="shared" si="146"/>
        <v>237.17381692184887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7.0171726835020394</v>
      </c>
      <c r="BQ150" s="21">
        <f>EXP(-LN(2)/25)*BQ149+(1-EXP(-LN(2)/25))/(LN(2)/25)*Calculateur!BL150*Calculateur!BN150*VLOOKUP('Données projet'!$B$11,Paramètres!$A$1:$I$89,3,0)*0.475*44/12</f>
        <v>12.347137096891707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19.364309780393747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10.875</v>
      </c>
      <c r="BY150" s="12">
        <f>IF('Données projet'!$A$114&gt;35,BY149+BX150-CG149,IF(A150&lt;'Données projet'!$A$114,$BV$205^A150,IF(A150='Données projet'!$A$114,'Données projet'!$B$114,BY149+BX150-CG149)))</f>
        <v>640.50500000000045</v>
      </c>
      <c r="BZ150" s="13">
        <f>BY150*VLOOKUP('Données projet'!$B$12,Paramètres!$A$1:$I$89,3,0)*VLOOKUP('Données projet'!$B$12,Paramètres!$A$1:$I$89,5,0)</f>
        <v>579.52892400000042</v>
      </c>
      <c r="CA150" s="13">
        <f t="shared" si="147"/>
        <v>127.35184395771817</v>
      </c>
      <c r="CB150" s="20">
        <f t="shared" si="118"/>
        <v>1231.1506708596933</v>
      </c>
      <c r="CC150" s="59">
        <f t="shared" si="119"/>
        <v>1524.4840041930265</v>
      </c>
      <c r="CD150" s="59">
        <f ca="1">AVERAGE(OFFSET($CC$3,0,0,'Données projet'!$E$12+1,1))-AVERAGE(OFFSET($H$3,0,0,'Données projet'!$E$12+1,1))</f>
        <v>695.0879239758051</v>
      </c>
      <c r="CE150" s="59">
        <f t="shared" si="148"/>
        <v>226.22150997227476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61.842525073467399</v>
      </c>
      <c r="CL150" s="21">
        <f>EXP(-LN(2)/25)*CL149+(1-EXP(-LN(2)/25))/(LN(2)/25)*Calculateur!CG150*Calculateur!CI150*VLOOKUP('Données projet'!$B$12,Paramètres!$A$1:$I$89,3,0)*0.475*44/12</f>
        <v>23.749808961779593</v>
      </c>
      <c r="CM150" s="21">
        <f>EXP(-LN(2)/2)*CM149+(1-EXP(-LN(2)/2))/(LN(2)/2)*CG150*CJ150*VLOOKUP('Données projet'!$B$12,Paramètres!$A$1:$I$89,3,0)*0.475*44/12</f>
        <v>1.6301071344570165E-8</v>
      </c>
      <c r="CN150" s="22">
        <f t="shared" si="120"/>
        <v>85.592334051548065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10.875</v>
      </c>
      <c r="CT150" s="12">
        <f>IF('Données projet'!$A$140&gt;35,CT149+CS150-DB149,IF(A150&lt;'Données projet'!$A$140,$CQ$205^A150,IF(A150='Données projet'!$A$140,'Données projet'!$B$140,CT149+CS150-DB149)))</f>
        <v>640.50500000000045</v>
      </c>
      <c r="CU150" s="17">
        <f>CT150*VLOOKUP('Données projet'!$B$13,Paramètres!$A$1:$I$89,3,0)*VLOOKUP('Données projet'!$B$13,Paramètres!$A$1:$I$89,5,0)</f>
        <v>649.47207000000049</v>
      </c>
      <c r="CV150" s="13">
        <f t="shared" si="149"/>
        <v>140.8414554541192</v>
      </c>
      <c r="CW150" s="20">
        <f t="shared" si="121"/>
        <v>1376.4627234992583</v>
      </c>
      <c r="CX150" s="59">
        <f t="shared" si="122"/>
        <v>1669.7960568325916</v>
      </c>
      <c r="CY150" s="59">
        <f ca="1">AVERAGE(OFFSET($CX$3,0,0,'Données projet'!$E$13+1,1))-AVERAGE(OFFSET($H$3,0,0,'Données projet'!$E$13+1,1))</f>
        <v>773.15074145293738</v>
      </c>
      <c r="CZ150" s="59">
        <f t="shared" si="150"/>
        <v>248.49577986312505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69.306278099575536</v>
      </c>
      <c r="DG150" s="21">
        <f>EXP(-LN(2)/25)*DG149+(1-EXP(-LN(2)/25))/(LN(2)/25)*Calculateur!DB150*Calculateur!DD150*VLOOKUP('Données projet'!$B$13,Paramètres!$A$1:$I$89,3,0)*0.475*44/12</f>
        <v>26.616165215787486</v>
      </c>
      <c r="DH150" s="21">
        <f>EXP(-LN(2)/2)*DH149+(1-EXP(-LN(2)/2))/(LN(2)/2)*DB150*DE150*VLOOKUP('Données projet'!$B$13,Paramètres!$A$1:$I$89,3,0)*0.475*44/12</f>
        <v>1.8268442024087265E-8</v>
      </c>
      <c r="DI150" s="22">
        <f t="shared" si="123"/>
        <v>95.922443333631463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3.4106051316484809E-13</v>
      </c>
      <c r="DP150" s="17">
        <f>DO150*VLOOKUP('Données projet'!$B$14,Paramètres!$A$1:$I$89,3,0)*VLOOKUP('Données projet'!$B$14,Paramètres!$A$1:$I$89,5,0)</f>
        <v>1.5961632016114892E-13</v>
      </c>
      <c r="DQ150" s="13">
        <f t="shared" si="151"/>
        <v>2.2708641912150958E-12</v>
      </c>
      <c r="DR150" s="20">
        <f t="shared" si="124"/>
        <v>4.2330868906469593E-12</v>
      </c>
      <c r="DS150" s="59">
        <f t="shared" si="125"/>
        <v>293.33333333333752</v>
      </c>
      <c r="DT150" s="59">
        <f ca="1">AVERAGE(OFFSET($DS$3,0,0,'Données projet'!$E$14+1,1))-AVERAGE(OFFSET($H$3,0,0,'Données projet'!$E$14+1,1))</f>
        <v>293.15557501692803</v>
      </c>
      <c r="DU150" s="59">
        <f t="shared" si="152"/>
        <v>237.1930412773068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61.825783504538656</v>
      </c>
      <c r="EB150" s="21">
        <f>EXP(-LN(2)/25)*EB149+(1-EXP(-LN(2)/25))/(LN(2)/25)*Calculateur!DW150*Calculateur!DY150*VLOOKUP('Données projet'!$B$14,Paramètres!$A$1:$I$89,3,0)*0.475*44/12</f>
        <v>14.604158352366788</v>
      </c>
      <c r="EC150" s="21">
        <f>EXP(-LN(2)/2)*EC149+(1-EXP(-LN(2)/2))/(LN(2)/2)*DW150*DZ150*VLOOKUP('Données projet'!$B$14,Paramètres!$A$1:$I$89,3,0)*0.475*44/12</f>
        <v>6.0058401143708569E-5</v>
      </c>
      <c r="ED150" s="22">
        <f t="shared" si="126"/>
        <v>76.43000191530659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-1.7053025658242404E-13</v>
      </c>
      <c r="EK150" s="17">
        <f>EJ150*VLOOKUP('Données projet'!$B$15,Paramètres!$A$1:$I$89,3,0)*VLOOKUP('Données projet'!$B$15,Paramètres!$A$1:$I$89,5,0)</f>
        <v>-1.0197709343628959E-13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225.86663363047296</v>
      </c>
      <c r="EP150" s="59">
        <f t="shared" si="154"/>
        <v>258.08349727304397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18.987800771169415</v>
      </c>
      <c r="EW150" s="21">
        <f>EXP(-LN(2)/25)*EW149+(1-EXP(-LN(2)/25))/(LN(2)/25)*Calculateur!ER150*Calculateur!ET150*VLOOKUP('Données projet'!$B$15,Paramètres!$A$1:$I$89,3,0)*0.475*44/12</f>
        <v>3.5410490814014968</v>
      </c>
      <c r="EX150" s="21">
        <f>EXP(-LN(2)/2)*EX149+(1-EXP(-LN(2)/2))/(LN(2)/2)*ER150*EU150*VLOOKUP('Données projet'!$B$15,Paramètres!$A$1:$I$89,3,0)*0.475*44/12</f>
        <v>7.1897957219698345E-12</v>
      </c>
      <c r="EY150" s="22">
        <f t="shared" si="129"/>
        <v>22.528849852578102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388.12151914648013</v>
      </c>
      <c r="T151" s="59">
        <f t="shared" si="142"/>
        <v>481.43684454382793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28.786708448677661</v>
      </c>
      <c r="AA151" s="21">
        <f>EXP(-LN(2)/25)*AA150+(1-EXP(-LN(2)/25))/(LN(2)/25)*Calculateur!V151*Calculateur!X151*VLOOKUP('Données projet'!$B$9,Paramètres!$A$1:$I$89,3,0)*0.475*44/12</f>
        <v>4.8114553928816406</v>
      </c>
      <c r="AB151" s="21">
        <f>EXP(-LN(2)/2)*AB150+(1-EXP(-LN(2)/2))/(LN(2)/2)*V151*Y151*VLOOKUP('Données projet'!$B$9,Paramètres!$A$1:$I$89,3,0)*0.475*44/12</f>
        <v>1.0985603472880689E-12</v>
      </c>
      <c r="AC151" s="22">
        <f t="shared" si="111"/>
        <v>33.5981638415604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-1.3596945791505279E-13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349.71285006949597</v>
      </c>
      <c r="AO151" s="59">
        <f t="shared" si="144"/>
        <v>258.51550516456842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39.864994837600172</v>
      </c>
      <c r="AV151" s="21">
        <f>EXP(-LN(2)/25)*AV150+(1-EXP(-LN(2)/25))/(LN(2)/25)*Calculateur!AQ151*Calculateur!AS151*VLOOKUP('Données projet'!$B$10,Paramètres!$A$1:$I$89,3,0)*0.475*44/12</f>
        <v>7.8534690904549622</v>
      </c>
      <c r="AW151" s="21">
        <f>EXP(-LN(2)/2)*AW150+(1-EXP(-LN(2)/2))/(LN(2)/2)*AQ151*AT151*VLOOKUP('Données projet'!$B$10,Paramètres!$A$1:$I$89,3,0)*0.475*44/12</f>
        <v>4.1162503651115523E-9</v>
      </c>
      <c r="AX151" s="21">
        <f t="shared" si="114"/>
        <v>47.718463932171389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8.5265128291212022E-14</v>
      </c>
      <c r="BE151" s="13">
        <f>BD151*VLOOKUP('Données projet'!$B$11,Paramètres!$A$1:$I$89,3,0)*VLOOKUP('Données projet'!$B$11,Paramètres!$A$1:$I$89,5,0)</f>
        <v>8.9119112089974823E-14</v>
      </c>
      <c r="BF151" s="13">
        <f t="shared" si="145"/>
        <v>1.3568952080113142E-12</v>
      </c>
      <c r="BG151" s="20">
        <f t="shared" si="115"/>
        <v>2.5184749408430782E-12</v>
      </c>
      <c r="BH151" s="59">
        <f t="shared" si="116"/>
        <v>293.33333333333582</v>
      </c>
      <c r="BI151" s="59">
        <f ca="1">AVERAGE(OFFSET($BH$3,0,0,'Données projet'!$E$11+1,1))-AVERAGE(OFFSET($H$3,0,0,'Données projet'!$E$11+1,1))</f>
        <v>260.74709892624571</v>
      </c>
      <c r="BJ151" s="59">
        <f t="shared" si="146"/>
        <v>237.17381692184887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6.8795702072312812</v>
      </c>
      <c r="BQ151" s="21">
        <f>EXP(-LN(2)/25)*BQ150+(1-EXP(-LN(2)/25))/(LN(2)/25)*Calculateur!BL151*Calculateur!BN151*VLOOKUP('Données projet'!$B$11,Paramètres!$A$1:$I$89,3,0)*0.475*44/12</f>
        <v>12.009503983669482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18.889074190900764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10.875</v>
      </c>
      <c r="BY151" s="12">
        <f>IF('Données projet'!$A$114&gt;35,BY150+BX151-CG150,IF(A151&lt;'Données projet'!$A$114,$BV$205^A151,IF(A151='Données projet'!$A$114,'Données projet'!$B$114,BY150+BX151-CG150)))</f>
        <v>651.38000000000045</v>
      </c>
      <c r="BZ151" s="13">
        <f>BY151*VLOOKUP('Données projet'!$B$12,Paramètres!$A$1:$I$89,3,0)*VLOOKUP('Données projet'!$B$12,Paramètres!$A$1:$I$89,5,0)</f>
        <v>589.36862400000041</v>
      </c>
      <c r="CA151" s="13">
        <f t="shared" si="147"/>
        <v>129.26055861773426</v>
      </c>
      <c r="CB151" s="20">
        <f t="shared" si="118"/>
        <v>1251.6124930592212</v>
      </c>
      <c r="CC151" s="59">
        <f t="shared" si="119"/>
        <v>1544.9458263925544</v>
      </c>
      <c r="CD151" s="59">
        <f ca="1">AVERAGE(OFFSET($CC$3,0,0,'Données projet'!$E$12+1,1))-AVERAGE(OFFSET($H$3,0,0,'Données projet'!$E$12+1,1))</f>
        <v>695.0879239758051</v>
      </c>
      <c r="CE151" s="59">
        <f t="shared" si="148"/>
        <v>226.22150997227476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60.629830876992436</v>
      </c>
      <c r="CL151" s="21">
        <f>EXP(-LN(2)/25)*CL150+(1-EXP(-LN(2)/25))/(LN(2)/25)*Calculateur!CG151*Calculateur!CI151*VLOOKUP('Données projet'!$B$12,Paramètres!$A$1:$I$89,3,0)*0.475*44/12</f>
        <v>23.100369186771559</v>
      </c>
      <c r="CM151" s="21">
        <f>EXP(-LN(2)/2)*CM150+(1-EXP(-LN(2)/2))/(LN(2)/2)*CG151*CJ151*VLOOKUP('Données projet'!$B$12,Paramètres!$A$1:$I$89,3,0)*0.475*44/12</f>
        <v>1.1526598088351276E-8</v>
      </c>
      <c r="CN151" s="22">
        <f t="shared" si="120"/>
        <v>83.730200075290583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10.875</v>
      </c>
      <c r="CT151" s="12">
        <f>IF('Données projet'!$A$140&gt;35,CT150+CS151-DB150,IF(A151&lt;'Données projet'!$A$140,$CQ$205^A151,IF(A151='Données projet'!$A$140,'Données projet'!$B$140,CT150+CS151-DB150)))</f>
        <v>651.38000000000045</v>
      </c>
      <c r="CU151" s="17">
        <f>CT151*VLOOKUP('Données projet'!$B$13,Paramètres!$A$1:$I$89,3,0)*VLOOKUP('Données projet'!$B$13,Paramètres!$A$1:$I$89,5,0)</f>
        <v>660.49932000000058</v>
      </c>
      <c r="CV151" s="13">
        <f t="shared" si="149"/>
        <v>142.95234872750228</v>
      </c>
      <c r="CW151" s="20">
        <f t="shared" si="121"/>
        <v>1399.3449897004009</v>
      </c>
      <c r="CX151" s="59">
        <f t="shared" si="122"/>
        <v>1692.6783230337342</v>
      </c>
      <c r="CY151" s="59">
        <f ca="1">AVERAGE(OFFSET($CX$3,0,0,'Données projet'!$E$13+1,1))-AVERAGE(OFFSET($H$3,0,0,'Données projet'!$E$13+1,1))</f>
        <v>773.15074145293738</v>
      </c>
      <c r="CZ151" s="59">
        <f t="shared" si="150"/>
        <v>248.49577986312505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67.947224258698427</v>
      </c>
      <c r="DG151" s="21">
        <f>EXP(-LN(2)/25)*DG150+(1-EXP(-LN(2)/25))/(LN(2)/25)*Calculateur!DB151*Calculateur!DD151*VLOOKUP('Données projet'!$B$13,Paramètres!$A$1:$I$89,3,0)*0.475*44/12</f>
        <v>25.88834477827848</v>
      </c>
      <c r="DH151" s="21">
        <f>EXP(-LN(2)/2)*DH150+(1-EXP(-LN(2)/2))/(LN(2)/2)*DB151*DE151*VLOOKUP('Données projet'!$B$13,Paramètres!$A$1:$I$89,3,0)*0.475*44/12</f>
        <v>1.2917739236945403E-8</v>
      </c>
      <c r="DI151" s="22">
        <f t="shared" si="123"/>
        <v>93.835569049894644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3.4106051316484809E-13</v>
      </c>
      <c r="DP151" s="17">
        <f>DO151*VLOOKUP('Données projet'!$B$14,Paramètres!$A$1:$I$89,3,0)*VLOOKUP('Données projet'!$B$14,Paramètres!$A$1:$I$89,5,0)</f>
        <v>1.5961632016114892E-13</v>
      </c>
      <c r="DQ151" s="13">
        <f t="shared" si="151"/>
        <v>2.2708641912150958E-12</v>
      </c>
      <c r="DR151" s="20">
        <f t="shared" si="124"/>
        <v>4.2330868906469593E-12</v>
      </c>
      <c r="DS151" s="59">
        <f t="shared" si="125"/>
        <v>293.33333333333752</v>
      </c>
      <c r="DT151" s="59">
        <f ca="1">AVERAGE(OFFSET($DS$3,0,0,'Données projet'!$E$14+1,1))-AVERAGE(OFFSET($H$3,0,0,'Données projet'!$E$14+1,1))</f>
        <v>293.15557501692803</v>
      </c>
      <c r="DU151" s="59">
        <f t="shared" si="152"/>
        <v>237.1930412773068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60.613417600019034</v>
      </c>
      <c r="EB151" s="21">
        <f>EXP(-LN(2)/25)*EB150+(1-EXP(-LN(2)/25))/(LN(2)/25)*Calculateur!DW151*Calculateur!DY151*VLOOKUP('Données projet'!$B$14,Paramètres!$A$1:$I$89,3,0)*0.475*44/12</f>
        <v>14.204806874222008</v>
      </c>
      <c r="EC151" s="21">
        <f>EXP(-LN(2)/2)*EC150+(1-EXP(-LN(2)/2))/(LN(2)/2)*DW151*DZ151*VLOOKUP('Données projet'!$B$14,Paramètres!$A$1:$I$89,3,0)*0.475*44/12</f>
        <v>4.2467702715938233E-5</v>
      </c>
      <c r="ED151" s="22">
        <f t="shared" si="126"/>
        <v>74.818266941943762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-1.7053025658242404E-13</v>
      </c>
      <c r="EK151" s="17">
        <f>EJ151*VLOOKUP('Données projet'!$B$15,Paramètres!$A$1:$I$89,3,0)*VLOOKUP('Données projet'!$B$15,Paramètres!$A$1:$I$89,5,0)</f>
        <v>-1.0197709343628959E-13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225.86663363047296</v>
      </c>
      <c r="EP151" s="59">
        <f t="shared" si="154"/>
        <v>258.08349727304397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18.615461579461684</v>
      </c>
      <c r="EW151" s="21">
        <f>EXP(-LN(2)/25)*EW150+(1-EXP(-LN(2)/25))/(LN(2)/25)*Calculateur!ER151*Calculateur!ET151*VLOOKUP('Données projet'!$B$15,Paramètres!$A$1:$I$89,3,0)*0.475*44/12</f>
        <v>3.4442189080548946</v>
      </c>
      <c r="EX151" s="21">
        <f>EXP(-LN(2)/2)*EX150+(1-EXP(-LN(2)/2))/(LN(2)/2)*ER151*EU151*VLOOKUP('Données projet'!$B$15,Paramètres!$A$1:$I$89,3,0)*0.475*44/12</f>
        <v>5.0839533103508998E-12</v>
      </c>
      <c r="EY151" s="22">
        <f t="shared" si="129"/>
        <v>22.059680487521664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388.12151914648013</v>
      </c>
      <c r="T152" s="59">
        <f t="shared" si="142"/>
        <v>481.43684454382793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28.222218654157523</v>
      </c>
      <c r="AA152" s="21">
        <f>EXP(-LN(2)/25)*AA151+(1-EXP(-LN(2)/25))/(LN(2)/25)*Calculateur!V152*Calculateur!X152*VLOOKUP('Données projet'!$B$9,Paramètres!$A$1:$I$89,3,0)*0.475*44/12</f>
        <v>4.6798858921398496</v>
      </c>
      <c r="AB152" s="21">
        <f>EXP(-LN(2)/2)*AB151+(1-EXP(-LN(2)/2))/(LN(2)/2)*V152*Y152*VLOOKUP('Données projet'!$B$9,Paramètres!$A$1:$I$89,3,0)*0.475*44/12</f>
        <v>7.7679947111004219E-13</v>
      </c>
      <c r="AC152" s="22">
        <f t="shared" si="111"/>
        <v>32.902104546298148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-1.3596945791505279E-13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349.71285006949597</v>
      </c>
      <c r="AO152" s="59">
        <f t="shared" si="144"/>
        <v>258.51550516456842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39.083266604080755</v>
      </c>
      <c r="AV152" s="21">
        <f>EXP(-LN(2)/25)*AV151+(1-EXP(-LN(2)/25))/(LN(2)/25)*Calculateur!AQ152*Calculateur!AS152*VLOOKUP('Données projet'!$B$10,Paramètres!$A$1:$I$89,3,0)*0.475*44/12</f>
        <v>7.6387155651804814</v>
      </c>
      <c r="AW152" s="21">
        <f>EXP(-LN(2)/2)*AW151+(1-EXP(-LN(2)/2))/(LN(2)/2)*AQ152*AT152*VLOOKUP('Données projet'!$B$10,Paramètres!$A$1:$I$89,3,0)*0.475*44/12</f>
        <v>2.9106285462319808E-9</v>
      </c>
      <c r="AX152" s="21">
        <f t="shared" si="114"/>
        <v>46.72198217217187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8.5265128291212022E-14</v>
      </c>
      <c r="BE152" s="13">
        <f>BD152*VLOOKUP('Données projet'!$B$11,Paramètres!$A$1:$I$89,3,0)*VLOOKUP('Données projet'!$B$11,Paramètres!$A$1:$I$89,5,0)</f>
        <v>8.9119112089974823E-14</v>
      </c>
      <c r="BF152" s="13">
        <f t="shared" si="145"/>
        <v>1.3568952080113142E-12</v>
      </c>
      <c r="BG152" s="20">
        <f t="shared" si="115"/>
        <v>2.5184749408430782E-12</v>
      </c>
      <c r="BH152" s="59">
        <f t="shared" si="116"/>
        <v>293.33333333333582</v>
      </c>
      <c r="BI152" s="59">
        <f ca="1">AVERAGE(OFFSET($BH$3,0,0,'Données projet'!$E$11+1,1))-AVERAGE(OFFSET($H$3,0,0,'Données projet'!$E$11+1,1))</f>
        <v>260.74709892624571</v>
      </c>
      <c r="BJ152" s="59">
        <f t="shared" si="146"/>
        <v>237.17381692184887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6.7446660315909694</v>
      </c>
      <c r="BQ152" s="21">
        <f>EXP(-LN(2)/25)*BQ151+(1-EXP(-LN(2)/25))/(LN(2)/25)*Calculateur!BL152*Calculateur!BN152*VLOOKUP('Données projet'!$B$11,Paramètres!$A$1:$I$89,3,0)*0.475*44/12</f>
        <v>11.681103465683673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18.425769497274644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10.875</v>
      </c>
      <c r="BY152" s="12">
        <f>IF('Données projet'!$A$114&gt;35,BY151+BX152-CG151,IF(A152&lt;'Données projet'!$A$114,$BV$205^A152,IF(A152='Données projet'!$A$114,'Données projet'!$B$114,BY151+BX152-CG151)))</f>
        <v>662.25500000000045</v>
      </c>
      <c r="BZ152" s="13">
        <f>BY152*VLOOKUP('Données projet'!$B$12,Paramètres!$A$1:$I$89,3,0)*VLOOKUP('Données projet'!$B$12,Paramètres!$A$1:$I$89,5,0)</f>
        <v>599.2083240000004</v>
      </c>
      <c r="CA152" s="13">
        <f t="shared" si="147"/>
        <v>131.16556742426994</v>
      </c>
      <c r="CB152" s="20">
        <f t="shared" si="118"/>
        <v>1272.0678608972707</v>
      </c>
      <c r="CC152" s="59">
        <f t="shared" si="119"/>
        <v>1565.401194230604</v>
      </c>
      <c r="CD152" s="59">
        <f ca="1">AVERAGE(OFFSET($CC$3,0,0,'Données projet'!$E$12+1,1))-AVERAGE(OFFSET($H$3,0,0,'Données projet'!$E$12+1,1))</f>
        <v>695.0879239758051</v>
      </c>
      <c r="CE152" s="59">
        <f t="shared" si="148"/>
        <v>226.22150997227476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59.440916874039921</v>
      </c>
      <c r="CL152" s="21">
        <f>EXP(-LN(2)/25)*CL151+(1-EXP(-LN(2)/25))/(LN(2)/25)*Calculateur!CG152*Calculateur!CI152*VLOOKUP('Données projet'!$B$12,Paramètres!$A$1:$I$89,3,0)*0.475*44/12</f>
        <v>22.468688376563673</v>
      </c>
      <c r="CM152" s="21">
        <f>EXP(-LN(2)/2)*CM151+(1-EXP(-LN(2)/2))/(LN(2)/2)*CG152*CJ152*VLOOKUP('Données projet'!$B$12,Paramètres!$A$1:$I$89,3,0)*0.475*44/12</f>
        <v>8.1505356722850825E-9</v>
      </c>
      <c r="CN152" s="22">
        <f t="shared" si="120"/>
        <v>81.909605258754127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10.875</v>
      </c>
      <c r="CT152" s="12">
        <f>IF('Données projet'!$A$140&gt;35,CT151+CS152-DB151,IF(A152&lt;'Données projet'!$A$140,$CQ$205^A152,IF(A152='Données projet'!$A$140,'Données projet'!$B$140,CT151+CS152-DB151)))</f>
        <v>662.25500000000045</v>
      </c>
      <c r="CU152" s="17">
        <f>CT152*VLOOKUP('Données projet'!$B$13,Paramètres!$A$1:$I$89,3,0)*VLOOKUP('Données projet'!$B$13,Paramètres!$A$1:$I$89,5,0)</f>
        <v>671.52657000000045</v>
      </c>
      <c r="CV152" s="13">
        <f t="shared" si="149"/>
        <v>145.05914360873288</v>
      </c>
      <c r="CW152" s="20">
        <f t="shared" si="121"/>
        <v>1422.2201178685439</v>
      </c>
      <c r="CX152" s="59">
        <f t="shared" si="122"/>
        <v>1715.5534512018771</v>
      </c>
      <c r="CY152" s="59">
        <f ca="1">AVERAGE(OFFSET($CX$3,0,0,'Données projet'!$E$13+1,1))-AVERAGE(OFFSET($H$3,0,0,'Données projet'!$E$13+1,1))</f>
        <v>773.15074145293738</v>
      </c>
      <c r="CZ152" s="59">
        <f t="shared" si="150"/>
        <v>248.49577986312505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66.614820634699925</v>
      </c>
      <c r="DG152" s="21">
        <f>EXP(-LN(2)/25)*DG151+(1-EXP(-LN(2)/25))/(LN(2)/25)*Calculateur!DB152*Calculateur!DD152*VLOOKUP('Données projet'!$B$13,Paramètres!$A$1:$I$89,3,0)*0.475*44/12</f>
        <v>25.180426628907572</v>
      </c>
      <c r="DH152" s="21">
        <f>EXP(-LN(2)/2)*DH151+(1-EXP(-LN(2)/2))/(LN(2)/2)*DB152*DE152*VLOOKUP('Données projet'!$B$13,Paramètres!$A$1:$I$89,3,0)*0.475*44/12</f>
        <v>9.1342210120436325E-9</v>
      </c>
      <c r="DI152" s="22">
        <f t="shared" si="123"/>
        <v>91.795247272741719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3.4106051316484809E-13</v>
      </c>
      <c r="DP152" s="17">
        <f>DO152*VLOOKUP('Données projet'!$B$14,Paramètres!$A$1:$I$89,3,0)*VLOOKUP('Données projet'!$B$14,Paramètres!$A$1:$I$89,5,0)</f>
        <v>1.5961632016114892E-13</v>
      </c>
      <c r="DQ152" s="13">
        <f t="shared" si="151"/>
        <v>2.2708641912150958E-12</v>
      </c>
      <c r="DR152" s="20">
        <f t="shared" si="124"/>
        <v>4.2330868906469593E-12</v>
      </c>
      <c r="DS152" s="59">
        <f t="shared" si="125"/>
        <v>293.33333333333752</v>
      </c>
      <c r="DT152" s="59">
        <f ca="1">AVERAGE(OFFSET($DS$3,0,0,'Données projet'!$E$14+1,1))-AVERAGE(OFFSET($H$3,0,0,'Données projet'!$E$14+1,1))</f>
        <v>293.15557501692803</v>
      </c>
      <c r="DU152" s="59">
        <f t="shared" si="152"/>
        <v>237.1930412773068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59.424825451416858</v>
      </c>
      <c r="EB152" s="21">
        <f>EXP(-LN(2)/25)*EB151+(1-EXP(-LN(2)/25))/(LN(2)/25)*Calculateur!DW152*Calculateur!DY152*VLOOKUP('Données projet'!$B$14,Paramètres!$A$1:$I$89,3,0)*0.475*44/12</f>
        <v>13.816375683248079</v>
      </c>
      <c r="EC152" s="21">
        <f>EXP(-LN(2)/2)*EC151+(1-EXP(-LN(2)/2))/(LN(2)/2)*DW152*DZ152*VLOOKUP('Données projet'!$B$14,Paramètres!$A$1:$I$89,3,0)*0.475*44/12</f>
        <v>3.0029200571854288E-5</v>
      </c>
      <c r="ED152" s="22">
        <f t="shared" si="126"/>
        <v>73.241231163865507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-1.7053025658242404E-13</v>
      </c>
      <c r="EK152" s="17">
        <f>EJ152*VLOOKUP('Données projet'!$B$15,Paramètres!$A$1:$I$89,3,0)*VLOOKUP('Données projet'!$B$15,Paramètres!$A$1:$I$89,5,0)</f>
        <v>-1.0197709343628959E-13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225.86663363047296</v>
      </c>
      <c r="EP152" s="59">
        <f t="shared" si="154"/>
        <v>258.08349727304397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18.250423732198858</v>
      </c>
      <c r="EW152" s="21">
        <f>EXP(-LN(2)/25)*EW151+(1-EXP(-LN(2)/25))/(LN(2)/25)*Calculateur!ER152*Calculateur!ET152*VLOOKUP('Données projet'!$B$15,Paramètres!$A$1:$I$89,3,0)*0.475*44/12</f>
        <v>3.3500365608905329</v>
      </c>
      <c r="EX152" s="21">
        <f>EXP(-LN(2)/2)*EX151+(1-EXP(-LN(2)/2))/(LN(2)/2)*ER152*EU152*VLOOKUP('Données projet'!$B$15,Paramètres!$A$1:$I$89,3,0)*0.475*44/12</f>
        <v>3.5948978609849181E-12</v>
      </c>
      <c r="EY152" s="22">
        <f t="shared" si="129"/>
        <v>21.600460293092986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388.12151914648013</v>
      </c>
      <c r="T153" s="59">
        <f t="shared" si="142"/>
        <v>481.43684454382793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27.668798160203146</v>
      </c>
      <c r="AA153" s="21">
        <f>EXP(-LN(2)/25)*AA152+(1-EXP(-LN(2)/25))/(LN(2)/25)*Calculateur!V153*Calculateur!X153*VLOOKUP('Données projet'!$B$9,Paramètres!$A$1:$I$89,3,0)*0.475*44/12</f>
        <v>4.5519141663147824</v>
      </c>
      <c r="AB153" s="21">
        <f>EXP(-LN(2)/2)*AB152+(1-EXP(-LN(2)/2))/(LN(2)/2)*V153*Y153*VLOOKUP('Données projet'!$B$9,Paramètres!$A$1:$I$89,3,0)*0.475*44/12</f>
        <v>5.4928017364403445E-13</v>
      </c>
      <c r="AC153" s="22">
        <f t="shared" si="111"/>
        <v>32.220712326518473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-1.3596945791505279E-13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349.71285006949597</v>
      </c>
      <c r="AO153" s="59">
        <f t="shared" si="144"/>
        <v>258.51550516456842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38.316867584413508</v>
      </c>
      <c r="AV153" s="21">
        <f>EXP(-LN(2)/25)*AV152+(1-EXP(-LN(2)/25))/(LN(2)/25)*Calculateur!AQ153*Calculateur!AS153*VLOOKUP('Données projet'!$B$10,Paramètres!$A$1:$I$89,3,0)*0.475*44/12</f>
        <v>7.4298344863480281</v>
      </c>
      <c r="AW153" s="21">
        <f>EXP(-LN(2)/2)*AW152+(1-EXP(-LN(2)/2))/(LN(2)/2)*AQ153*AT153*VLOOKUP('Données projet'!$B$10,Paramètres!$A$1:$I$89,3,0)*0.475*44/12</f>
        <v>2.0581251825557762E-9</v>
      </c>
      <c r="AX153" s="21">
        <f t="shared" si="114"/>
        <v>45.746702072819659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8.5265128291212022E-14</v>
      </c>
      <c r="BE153" s="13">
        <f>BD153*VLOOKUP('Données projet'!$B$11,Paramètres!$A$1:$I$89,3,0)*VLOOKUP('Données projet'!$B$11,Paramètres!$A$1:$I$89,5,0)</f>
        <v>8.9119112089974823E-14</v>
      </c>
      <c r="BF153" s="13">
        <f t="shared" si="145"/>
        <v>1.3568952080113142E-12</v>
      </c>
      <c r="BG153" s="20">
        <f t="shared" si="115"/>
        <v>2.5184749408430782E-12</v>
      </c>
      <c r="BH153" s="59">
        <f t="shared" si="116"/>
        <v>293.33333333333582</v>
      </c>
      <c r="BI153" s="59">
        <f ca="1">AVERAGE(OFFSET($BH$3,0,0,'Données projet'!$E$11+1,1))-AVERAGE(OFFSET($H$3,0,0,'Données projet'!$E$11+1,1))</f>
        <v>260.74709892624571</v>
      </c>
      <c r="BJ153" s="59">
        <f t="shared" si="146"/>
        <v>237.17381692184887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6.6124072445515418</v>
      </c>
      <c r="BQ153" s="21">
        <f>EXP(-LN(2)/25)*BQ152+(1-EXP(-LN(2)/25))/(LN(2)/25)*Calculateur!BL153*Calculateur!BN153*VLOOKUP('Données projet'!$B$11,Paramètres!$A$1:$I$89,3,0)*0.475*44/12</f>
        <v>11.361683077132019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17.974090321683562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673.13</v>
      </c>
      <c r="BW153" s="12">
        <f>VLOOKUP(A153,'Données projet'!$A$113:$I$133,9,0)</f>
        <v>10.875</v>
      </c>
      <c r="BX153" s="12">
        <f t="array" ref="BX153">INDEX(BW:BW,MIN(IF(ISNUMBER(BW153:BW349),ROW(BW153:BW349),"")))</f>
        <v>10.875</v>
      </c>
      <c r="BY153" s="12">
        <f>IF('Données projet'!$A$114&gt;35,BY152+BX153-CG152,IF(A153&lt;'Données projet'!$A$114,$BV$205^A153,IF(A153='Données projet'!$A$114,'Données projet'!$B$114,BY152+BX153-CG152)))</f>
        <v>673.13000000000045</v>
      </c>
      <c r="BZ153" s="13">
        <f>BY153*VLOOKUP('Données projet'!$B$12,Paramètres!$A$1:$I$89,3,0)*VLOOKUP('Données projet'!$B$12,Paramètres!$A$1:$I$89,5,0)</f>
        <v>609.0480240000004</v>
      </c>
      <c r="CA153" s="13">
        <f t="shared" si="147"/>
        <v>133.06693825648006</v>
      </c>
      <c r="CB153" s="20">
        <f t="shared" si="118"/>
        <v>1292.5168925967034</v>
      </c>
      <c r="CC153" s="59">
        <f t="shared" si="119"/>
        <v>1585.8502259300367</v>
      </c>
      <c r="CD153" s="59">
        <f ca="1">AVERAGE(OFFSET($CC$3,0,0,'Données projet'!$E$12+1,1))-AVERAGE(OFFSET($H$3,0,0,'Données projet'!$E$12+1,1))</f>
        <v>695.0879239758051</v>
      </c>
      <c r="CE153" s="59">
        <f t="shared" si="148"/>
        <v>226.22150997227476</v>
      </c>
      <c r="CF153" s="15">
        <f>IF(ISNA(VLOOKUP(A153,'Données projet'!$A$113:$I$133,3,0)),0,VLOOKUP(A153,'Données projet'!$A$113:$I$133,3,0))</f>
        <v>14</v>
      </c>
      <c r="CG153" s="15">
        <f>IF(ISNA(VLOOKUP(A153,'Données projet'!$A$113:$I$133,4,0)),0,VLOOKUP(A153,'Données projet'!$A$113:$I$133,4,0))</f>
        <v>259.52</v>
      </c>
      <c r="CH153" s="16">
        <f>IF(ISNA(VLOOKUP(A153,'Données projet'!$A$113:$I$133,5,0)),0%,VLOOKUP(A153,'Données projet'!$A$113:$I$133,5,0)*VLOOKUP('Données projet'!$B$12,Paramètres!$A$1:$I$89,7,0))</f>
        <v>0.19350000000000001</v>
      </c>
      <c r="CI153" s="16">
        <f>IF(ISNA(VLOOKUP(A153,'Données projet'!$A$113:$I$133,6,0)),0%,VLOOKUP(A153,'Données projet'!$A$113:$I$133,6,0)*VLOOKUP('Données projet'!$B$12,Paramètres!$A$1:$I$89,7,0))</f>
        <v>2.1500000000000002E-2</v>
      </c>
      <c r="CJ153" s="16">
        <f>IF(ISNA(VLOOKUP(A153,'Données projet'!$A$113:$I$133,7,0)),0%,VLOOKUP(A153,'Données projet'!$A$113:$I$133,7,0))</f>
        <v>0.05</v>
      </c>
      <c r="CK153" s="21">
        <f>EXP(-LN(2)/35)*CK152+(1-EXP(-LN(2)/35))/(LN(2)/35)*CG153*CH153*VLOOKUP('Données projet'!$B$12,Paramètres!$A$1:$I$89,3,0)*0.475*44/12</f>
        <v>108.50396657021207</v>
      </c>
      <c r="CL153" s="21">
        <f>EXP(-LN(2)/25)*CL152+(1-EXP(-LN(2)/25))/(LN(2)/25)*Calculateur!CG153*Calculateur!CI153*VLOOKUP('Données projet'!$B$12,Paramètres!$A$1:$I$89,3,0)*0.475*44/12</f>
        <v>27.413267632188749</v>
      </c>
      <c r="CM153" s="21">
        <f>EXP(-LN(2)/2)*CM152+(1-EXP(-LN(2)/2))/(LN(2)/2)*CG153*CJ153*VLOOKUP('Données projet'!$B$12,Paramètres!$A$1:$I$89,3,0)*0.475*44/12</f>
        <v>11.077652110461678</v>
      </c>
      <c r="CN153" s="22">
        <f t="shared" si="120"/>
        <v>146.99488631286252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673.13</v>
      </c>
      <c r="CR153" s="12">
        <f>VLOOKUP(A153,'Données projet'!$A$139:$I$159,9,0)</f>
        <v>10.875</v>
      </c>
      <c r="CS153" s="12">
        <f t="array" ref="CS153">INDEX(CR:CR,MIN(IF(ISNUMBER(CR153:CR349),ROW(CR153:CR349),"")))</f>
        <v>10.875</v>
      </c>
      <c r="CT153" s="12">
        <f>IF('Données projet'!$A$140&gt;35,CT152+CS153-DB152,IF(A153&lt;'Données projet'!$A$140,$CQ$205^A153,IF(A153='Données projet'!$A$140,'Données projet'!$B$140,CT152+CS153-DB152)))</f>
        <v>673.13000000000045</v>
      </c>
      <c r="CU153" s="17">
        <f>CT153*VLOOKUP('Données projet'!$B$13,Paramètres!$A$1:$I$89,3,0)*VLOOKUP('Données projet'!$B$13,Paramètres!$A$1:$I$89,5,0)</f>
        <v>682.55382000000054</v>
      </c>
      <c r="CV153" s="13">
        <f t="shared" si="149"/>
        <v>147.16191516699467</v>
      </c>
      <c r="CW153" s="20">
        <f t="shared" si="121"/>
        <v>1445.0882387491831</v>
      </c>
      <c r="CX153" s="59">
        <f t="shared" si="122"/>
        <v>1738.4215720825164</v>
      </c>
      <c r="CY153" s="59">
        <f ca="1">AVERAGE(OFFSET($CX$3,0,0,'Données projet'!$E$13+1,1))-AVERAGE(OFFSET($H$3,0,0,'Données projet'!$E$13+1,1))</f>
        <v>773.15074145293738</v>
      </c>
      <c r="CZ153" s="59">
        <f t="shared" si="150"/>
        <v>248.49577986312505</v>
      </c>
      <c r="DA153" s="15">
        <f>IF(ISNA(VLOOKUP(A153,'Données projet'!$A$139:$I$159,3,0)),0,VLOOKUP(A153,'Données projet'!$A$139:$I$159,3,0))</f>
        <v>14</v>
      </c>
      <c r="DB153" s="15">
        <f>IF(ISNA(VLOOKUP(A153,'Données projet'!$A$139:$I$159,4,0)),0,VLOOKUP(A153,'Données projet'!$A$139:$I$159,4,0))</f>
        <v>259.52</v>
      </c>
      <c r="DC153" s="16">
        <f>IF(ISNA(VLOOKUP(A153,'Données projet'!$A$139:$I$159,5,0)),0%,VLOOKUP(A153,'Données projet'!$A$139:$I$159,5,0)*VLOOKUP('Données projet'!$B$13,Paramètres!$A$1:$I$89,7,0))</f>
        <v>0.19350000000000001</v>
      </c>
      <c r="DD153" s="16">
        <f>IF(ISNA(VLOOKUP(A153,'Données projet'!$A$139:$I$159,6,0)),0%,VLOOKUP(A153,'Données projet'!$A$139:$I$159,6,0)*VLOOKUP('Données projet'!$B$13,Paramètres!$A$1:$I$89,7,0))</f>
        <v>2.1500000000000002E-2</v>
      </c>
      <c r="DE153" s="16">
        <f>IF(ISNA(VLOOKUP(A153,'Données projet'!$A$139:$I$159,7,0)),0%,VLOOKUP(A153,'Données projet'!$A$139:$I$159,7,0))</f>
        <v>0.05</v>
      </c>
      <c r="DF153" s="21">
        <f>EXP(-LN(2)/35)*DF152+(1-EXP(-LN(2)/35))/(LN(2)/35)*DB153*DC153*VLOOKUP('Données projet'!$B$13,Paramètres!$A$1:$I$89,3,0)*0.475*44/12</f>
        <v>121.5992728804101</v>
      </c>
      <c r="DG153" s="21">
        <f>EXP(-LN(2)/25)*DG152+(1-EXP(-LN(2)/25))/(LN(2)/25)*Calculateur!DB153*Calculateur!DD153*VLOOKUP('Données projet'!$B$13,Paramètres!$A$1:$I$89,3,0)*0.475*44/12</f>
        <v>30.721765449866709</v>
      </c>
      <c r="DH153" s="21">
        <f>EXP(-LN(2)/2)*DH152+(1-EXP(-LN(2)/2))/(LN(2)/2)*DB153*DE153*VLOOKUP('Données projet'!$B$13,Paramètres!$A$1:$I$89,3,0)*0.475*44/12</f>
        <v>12.41461012379326</v>
      </c>
      <c r="DI153" s="22">
        <f t="shared" si="123"/>
        <v>164.73564845407006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3.4106051316484809E-13</v>
      </c>
      <c r="DP153" s="17">
        <f>DO153*VLOOKUP('Données projet'!$B$14,Paramètres!$A$1:$I$89,3,0)*VLOOKUP('Données projet'!$B$14,Paramètres!$A$1:$I$89,5,0)</f>
        <v>1.5961632016114892E-13</v>
      </c>
      <c r="DQ153" s="13">
        <f t="shared" si="151"/>
        <v>2.2708641912150958E-12</v>
      </c>
      <c r="DR153" s="20">
        <f t="shared" si="124"/>
        <v>4.2330868906469593E-12</v>
      </c>
      <c r="DS153" s="59">
        <f t="shared" si="125"/>
        <v>293.33333333333752</v>
      </c>
      <c r="DT153" s="59">
        <f ca="1">AVERAGE(OFFSET($DS$3,0,0,'Données projet'!$E$14+1,1))-AVERAGE(OFFSET($H$3,0,0,'Données projet'!$E$14+1,1))</f>
        <v>293.15557501692803</v>
      </c>
      <c r="DU153" s="59">
        <f t="shared" si="152"/>
        <v>237.1930412773068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58.259540869879146</v>
      </c>
      <c r="EB153" s="21">
        <f>EXP(-LN(2)/25)*EB152+(1-EXP(-LN(2)/25))/(LN(2)/25)*Calculateur!DW153*Calculateur!DY153*VLOOKUP('Données projet'!$B$14,Paramètres!$A$1:$I$89,3,0)*0.475*44/12</f>
        <v>13.438566163618042</v>
      </c>
      <c r="EC153" s="21">
        <f>EXP(-LN(2)/2)*EC152+(1-EXP(-LN(2)/2))/(LN(2)/2)*DW153*DZ153*VLOOKUP('Données projet'!$B$14,Paramètres!$A$1:$I$89,3,0)*0.475*44/12</f>
        <v>2.123385135796912E-5</v>
      </c>
      <c r="ED153" s="22">
        <f t="shared" si="126"/>
        <v>71.698128267348551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-1.7053025658242404E-13</v>
      </c>
      <c r="EK153" s="17">
        <f>EJ153*VLOOKUP('Données projet'!$B$15,Paramètres!$A$1:$I$89,3,0)*VLOOKUP('Données projet'!$B$15,Paramètres!$A$1:$I$89,5,0)</f>
        <v>-1.0197709343628959E-13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225.86663363047296</v>
      </c>
      <c r="EP153" s="59">
        <f t="shared" si="154"/>
        <v>258.08349727304397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17.892544054469756</v>
      </c>
      <c r="EW153" s="21">
        <f>EXP(-LN(2)/25)*EW152+(1-EXP(-LN(2)/25))/(LN(2)/25)*Calculateur!ER153*Calculateur!ET153*VLOOKUP('Données projet'!$B$15,Paramètres!$A$1:$I$89,3,0)*0.475*44/12</f>
        <v>3.2584296349622153</v>
      </c>
      <c r="EX153" s="21">
        <f>EXP(-LN(2)/2)*EX152+(1-EXP(-LN(2)/2))/(LN(2)/2)*ER153*EU153*VLOOKUP('Données projet'!$B$15,Paramètres!$A$1:$I$89,3,0)*0.475*44/12</f>
        <v>2.5419766551754503E-12</v>
      </c>
      <c r="EY153" s="22">
        <f t="shared" si="129"/>
        <v>21.150973689434515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388.12151914648013</v>
      </c>
      <c r="T154" s="59">
        <f t="shared" si="142"/>
        <v>481.43684454382793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27.126229904582043</v>
      </c>
      <c r="AA154" s="21">
        <f>EXP(-LN(2)/25)*AA153+(1-EXP(-LN(2)/25))/(LN(2)/25)*Calculateur!V154*Calculateur!X154*VLOOKUP('Données projet'!$B$9,Paramètres!$A$1:$I$89,3,0)*0.475*44/12</f>
        <v>4.427441834062142</v>
      </c>
      <c r="AB154" s="21">
        <f>EXP(-LN(2)/2)*AB153+(1-EXP(-LN(2)/2))/(LN(2)/2)*V154*Y154*VLOOKUP('Données projet'!$B$9,Paramètres!$A$1:$I$89,3,0)*0.475*44/12</f>
        <v>3.883997355550211E-13</v>
      </c>
      <c r="AC154" s="22">
        <f t="shared" ref="AC154:AC203" si="163">SUM(Z154:AB154)</f>
        <v>31.553671738644571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-1.3596945791505279E-13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349.71285006949597</v>
      </c>
      <c r="AO154" s="59">
        <f t="shared" si="144"/>
        <v>258.51550516456842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37.565497182064696</v>
      </c>
      <c r="AV154" s="21">
        <f>EXP(-LN(2)/25)*AV153+(1-EXP(-LN(2)/25))/(LN(2)/25)*Calculateur!AQ154*Calculateur!AS154*VLOOKUP('Données projet'!$B$10,Paramètres!$A$1:$I$89,3,0)*0.475*44/12</f>
        <v>7.2266652716008268</v>
      </c>
      <c r="AW154" s="21">
        <f>EXP(-LN(2)/2)*AW153+(1-EXP(-LN(2)/2))/(LN(2)/2)*AQ154*AT154*VLOOKUP('Données projet'!$B$10,Paramètres!$A$1:$I$89,3,0)*0.475*44/12</f>
        <v>1.4553142731159904E-9</v>
      </c>
      <c r="AX154" s="21">
        <f t="shared" ref="AX154:AX203" si="166">SUM(AU154:AW154)</f>
        <v>44.792162455120838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8.5265128291212022E-14</v>
      </c>
      <c r="BE154" s="13">
        <f>BD154*VLOOKUP('Données projet'!$B$11,Paramètres!$A$1:$I$89,3,0)*VLOOKUP('Données projet'!$B$11,Paramètres!$A$1:$I$89,5,0)</f>
        <v>8.9119112089974823E-14</v>
      </c>
      <c r="BF154" s="13">
        <f t="shared" ref="BF154:BF203" si="167">EXP(-1.0587+0.8836*LN(BE154)+0.284)</f>
        <v>1.3568952080113142E-12</v>
      </c>
      <c r="BG154" s="20">
        <f t="shared" ref="BG154:BG203" si="168">(BE154+BF154)*0.475*44/12</f>
        <v>2.5184749408430782E-12</v>
      </c>
      <c r="BH154" s="59">
        <f t="shared" si="116"/>
        <v>293.33333333333582</v>
      </c>
      <c r="BI154" s="59">
        <f ca="1">AVERAGE(OFFSET($BH$3,0,0,'Données projet'!$E$11+1,1))-AVERAGE(OFFSET($H$3,0,0,'Données projet'!$E$11+1,1))</f>
        <v>260.74709892624571</v>
      </c>
      <c r="BJ154" s="59">
        <f t="shared" si="146"/>
        <v>237.17381692184887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6.482741971656063</v>
      </c>
      <c r="BQ154" s="21">
        <f>EXP(-LN(2)/25)*BQ153+(1-EXP(-LN(2)/25))/(LN(2)/25)*Calculateur!BL154*Calculateur!BN154*VLOOKUP('Données projet'!$B$11,Paramètres!$A$1:$I$89,3,0)*0.475*44/12</f>
        <v>11.050997255902898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17.533739227558961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7.1200000000000045</v>
      </c>
      <c r="BY154" s="12">
        <f>IF('Données projet'!$A$114&gt;35,BY153+BX154-CG153,IF(A154&lt;'Données projet'!$A$114,$BV$205^A154,IF(A154='Données projet'!$A$114,'Données projet'!$B$114,BY153+BX154-CG153)))</f>
        <v>420.73000000000047</v>
      </c>
      <c r="BZ154" s="13">
        <f>BY154*VLOOKUP('Données projet'!$B$12,Paramètres!$A$1:$I$89,3,0)*VLOOKUP('Données projet'!$B$12,Paramètres!$A$1:$I$89,5,0)</f>
        <v>380.67650400000042</v>
      </c>
      <c r="CA154" s="13">
        <f t="shared" ref="CA154:CA203" si="170">EXP(-1.0587+0.8836*LN(BZ154)+0.284)</f>
        <v>87.847905288115243</v>
      </c>
      <c r="CB154" s="20">
        <f t="shared" ref="CB154:CB203" si="171">(BZ154+CA154)*0.475*44/12</f>
        <v>816.01334617680141</v>
      </c>
      <c r="CC154" s="59">
        <f t="shared" si="119"/>
        <v>1109.3466795101347</v>
      </c>
      <c r="CD154" s="59">
        <f ca="1">AVERAGE(OFFSET($CC$3,0,0,'Données projet'!$E$12+1,1))-AVERAGE(OFFSET($H$3,0,0,'Données projet'!$E$12+1,1))</f>
        <v>695.0879239758051</v>
      </c>
      <c r="CE154" s="59">
        <f t="shared" si="148"/>
        <v>226.22150997227476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106.376269966655</v>
      </c>
      <c r="CL154" s="21">
        <f>EXP(-LN(2)/25)*CL153+(1-EXP(-LN(2)/25))/(LN(2)/25)*Calculateur!CG154*Calculateur!CI154*VLOOKUP('Données projet'!$B$12,Paramètres!$A$1:$I$89,3,0)*0.475*44/12</f>
        <v>26.663650387185456</v>
      </c>
      <c r="CM154" s="21">
        <f>EXP(-LN(2)/2)*CM153+(1-EXP(-LN(2)/2))/(LN(2)/2)*CG154*CJ154*VLOOKUP('Données projet'!$B$12,Paramètres!$A$1:$I$89,3,0)*0.475*44/12</f>
        <v>7.8330829269329225</v>
      </c>
      <c r="CN154" s="22">
        <f t="shared" ref="CN154:CN203" si="172">SUM(CK154:CM154)</f>
        <v>140.87300328077336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7.1200000000000045</v>
      </c>
      <c r="CT154" s="12">
        <f>IF('Données projet'!$A$140&gt;35,CT153+CS154-DB153,IF(A154&lt;'Données projet'!$A$140,$CQ$205^A154,IF(A154='Données projet'!$A$140,'Données projet'!$B$140,CT153+CS154-DB153)))</f>
        <v>420.73000000000047</v>
      </c>
      <c r="CU154" s="17">
        <f>CT154*VLOOKUP('Données projet'!$B$13,Paramètres!$A$1:$I$89,3,0)*VLOOKUP('Données projet'!$B$13,Paramètres!$A$1:$I$89,5,0)</f>
        <v>426.62022000000053</v>
      </c>
      <c r="CV154" s="13">
        <f t="shared" ref="CV154:CV203" si="173">EXP(-1.0587+0.8836*LN(CU154)+0.284)</f>
        <v>97.153103205019846</v>
      </c>
      <c r="CW154" s="20">
        <f t="shared" ref="CW154:CW203" si="174">(CU154+CV154)*0.475*44/12</f>
        <v>912.23853791541035</v>
      </c>
      <c r="CX154" s="59">
        <f t="shared" si="122"/>
        <v>1205.5718712487437</v>
      </c>
      <c r="CY154" s="59">
        <f ca="1">AVERAGE(OFFSET($CX$3,0,0,'Données projet'!$E$13+1,1))-AVERAGE(OFFSET($H$3,0,0,'Données projet'!$E$13+1,1))</f>
        <v>773.15074145293738</v>
      </c>
      <c r="CZ154" s="59">
        <f t="shared" si="150"/>
        <v>248.49577986312505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119.21478530745821</v>
      </c>
      <c r="DG154" s="21">
        <f>EXP(-LN(2)/25)*DG153+(1-EXP(-LN(2)/25))/(LN(2)/25)*Calculateur!DB154*Calculateur!DD154*VLOOKUP('Données projet'!$B$13,Paramètres!$A$1:$I$89,3,0)*0.475*44/12</f>
        <v>29.881677158052675</v>
      </c>
      <c r="DH154" s="21">
        <f>EXP(-LN(2)/2)*DH153+(1-EXP(-LN(2)/2))/(LN(2)/2)*DB154*DE154*VLOOKUP('Données projet'!$B$13,Paramètres!$A$1:$I$89,3,0)*0.475*44/12</f>
        <v>8.778455004321378</v>
      </c>
      <c r="DI154" s="22">
        <f t="shared" ref="DI154:DI203" si="175">SUM(DF154:DH154)</f>
        <v>157.87491746983227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3.4106051316484809E-13</v>
      </c>
      <c r="DP154" s="17">
        <f>DO154*VLOOKUP('Données projet'!$B$14,Paramètres!$A$1:$I$89,3,0)*VLOOKUP('Données projet'!$B$14,Paramètres!$A$1:$I$89,5,0)</f>
        <v>1.5961632016114892E-13</v>
      </c>
      <c r="DQ154" s="13">
        <f t="shared" ref="DQ154:DQ203" si="176">EXP(-1.0587+0.8836*LN(DP154)+0.284)</f>
        <v>2.2708641912150958E-12</v>
      </c>
      <c r="DR154" s="20">
        <f t="shared" ref="DR154:DR203" si="177">(DP154+DQ154)*0.475*44/12</f>
        <v>4.2330868906469593E-12</v>
      </c>
      <c r="DS154" s="59">
        <f t="shared" si="125"/>
        <v>293.33333333333752</v>
      </c>
      <c r="DT154" s="59">
        <f ca="1">AVERAGE(OFFSET($DS$3,0,0,'Données projet'!$E$14+1,1))-AVERAGE(OFFSET($H$3,0,0,'Données projet'!$E$14+1,1))</f>
        <v>293.15557501692803</v>
      </c>
      <c r="DU154" s="59">
        <f t="shared" si="152"/>
        <v>237.1930412773068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57.117106808231974</v>
      </c>
      <c r="EB154" s="21">
        <f>EXP(-LN(2)/25)*EB153+(1-EXP(-LN(2)/25))/(LN(2)/25)*Calculateur!DW154*Calculateur!DY154*VLOOKUP('Données projet'!$B$14,Paramètres!$A$1:$I$89,3,0)*0.475*44/12</f>
        <v>13.071087865170426</v>
      </c>
      <c r="EC154" s="21">
        <f>EXP(-LN(2)/2)*EC153+(1-EXP(-LN(2)/2))/(LN(2)/2)*DW154*DZ154*VLOOKUP('Données projet'!$B$14,Paramètres!$A$1:$I$89,3,0)*0.475*44/12</f>
        <v>1.5014600285927146E-5</v>
      </c>
      <c r="ED154" s="22">
        <f t="shared" ref="ED154:ED203" si="178">SUM(EA154:EC154)</f>
        <v>70.188209688002672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-1.7053025658242404E-13</v>
      </c>
      <c r="EK154" s="17">
        <f>EJ154*VLOOKUP('Données projet'!$B$15,Paramètres!$A$1:$I$89,3,0)*VLOOKUP('Données projet'!$B$15,Paramètres!$A$1:$I$89,5,0)</f>
        <v>-1.0197709343628959E-13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225.86663363047296</v>
      </c>
      <c r="EP154" s="59">
        <f t="shared" si="154"/>
        <v>258.08349727304397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17.541682178935872</v>
      </c>
      <c r="EW154" s="21">
        <f>EXP(-LN(2)/25)*EW153+(1-EXP(-LN(2)/25))/(LN(2)/25)*Calculateur!ER154*Calculateur!ET154*VLOOKUP('Données projet'!$B$15,Paramètres!$A$1:$I$89,3,0)*0.475*44/12</f>
        <v>3.1693277052408062</v>
      </c>
      <c r="EX154" s="21">
        <f>EXP(-LN(2)/2)*EX153+(1-EXP(-LN(2)/2))/(LN(2)/2)*ER154*EU154*VLOOKUP('Données projet'!$B$15,Paramètres!$A$1:$I$89,3,0)*0.475*44/12</f>
        <v>1.7974489304924592E-12</v>
      </c>
      <c r="EY154" s="22">
        <f t="shared" ref="EY154:EY203" si="181">SUM(EV154:EX154)</f>
        <v>20.711009884178477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388.12151914648013</v>
      </c>
      <c r="T155" s="59">
        <f t="shared" si="142"/>
        <v>481.43684454382793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26.594301081519713</v>
      </c>
      <c r="AA155" s="21">
        <f>EXP(-LN(2)/25)*AA154+(1-EXP(-LN(2)/25))/(LN(2)/25)*Calculateur!V155*Calculateur!X155*VLOOKUP('Données projet'!$B$9,Paramètres!$A$1:$I$89,3,0)*0.475*44/12</f>
        <v>4.3063732042806659</v>
      </c>
      <c r="AB155" s="21">
        <f>EXP(-LN(2)/2)*AB154+(1-EXP(-LN(2)/2))/(LN(2)/2)*V155*Y155*VLOOKUP('Données projet'!$B$9,Paramètres!$A$1:$I$89,3,0)*0.475*44/12</f>
        <v>2.7464008682201722E-13</v>
      </c>
      <c r="AC155" s="22">
        <f t="shared" si="163"/>
        <v>30.900674285800651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-1.3596945791505279E-13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349.71285006949597</v>
      </c>
      <c r="AO155" s="59">
        <f t="shared" si="144"/>
        <v>258.51550516456842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36.828860695015251</v>
      </c>
      <c r="AV155" s="21">
        <f>EXP(-LN(2)/25)*AV154+(1-EXP(-LN(2)/25))/(LN(2)/25)*Calculateur!AQ155*Calculateur!AS155*VLOOKUP('Données projet'!$B$10,Paramètres!$A$1:$I$89,3,0)*0.475*44/12</f>
        <v>7.0290517297150927</v>
      </c>
      <c r="AW155" s="21">
        <f>EXP(-LN(2)/2)*AW154+(1-EXP(-LN(2)/2))/(LN(2)/2)*AQ155*AT155*VLOOKUP('Données projet'!$B$10,Paramètres!$A$1:$I$89,3,0)*0.475*44/12</f>
        <v>1.0290625912778881E-9</v>
      </c>
      <c r="AX155" s="21">
        <f t="shared" si="166"/>
        <v>43.857912425759409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8.5265128291212022E-14</v>
      </c>
      <c r="BE155" s="13">
        <f>BD155*VLOOKUP('Données projet'!$B$11,Paramètres!$A$1:$I$89,3,0)*VLOOKUP('Données projet'!$B$11,Paramètres!$A$1:$I$89,5,0)</f>
        <v>8.9119112089974823E-14</v>
      </c>
      <c r="BF155" s="13">
        <f t="shared" si="167"/>
        <v>1.3568952080113142E-12</v>
      </c>
      <c r="BG155" s="20">
        <f t="shared" si="168"/>
        <v>2.5184749408430782E-12</v>
      </c>
      <c r="BH155" s="59">
        <f t="shared" si="116"/>
        <v>293.33333333333582</v>
      </c>
      <c r="BI155" s="59">
        <f ca="1">AVERAGE(OFFSET($BH$3,0,0,'Données projet'!$E$11+1,1))-AVERAGE(OFFSET($H$3,0,0,'Données projet'!$E$11+1,1))</f>
        <v>260.74709892624571</v>
      </c>
      <c r="BJ155" s="59">
        <f t="shared" si="146"/>
        <v>237.17381692184887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6.3556193556740572</v>
      </c>
      <c r="BQ155" s="21">
        <f>EXP(-LN(2)/25)*BQ154+(1-EXP(-LN(2)/25))/(LN(2)/25)*Calculateur!BL155*Calculateur!BN155*VLOOKUP('Données projet'!$B$11,Paramètres!$A$1:$I$89,3,0)*0.475*44/12</f>
        <v>10.748807154793544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17.104426510467601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7.1200000000000045</v>
      </c>
      <c r="BY155" s="12">
        <f>IF('Données projet'!$A$114&gt;35,BY154+BX155-CG154,IF(A155&lt;'Données projet'!$A$114,$BV$205^A155,IF(A155='Données projet'!$A$114,'Données projet'!$B$114,BY154+BX155-CG154)))</f>
        <v>427.85000000000048</v>
      </c>
      <c r="BZ155" s="13">
        <f>BY155*VLOOKUP('Données projet'!$B$12,Paramètres!$A$1:$I$89,3,0)*VLOOKUP('Données projet'!$B$12,Paramètres!$A$1:$I$89,5,0)</f>
        <v>387.11868000000038</v>
      </c>
      <c r="CA155" s="13">
        <f t="shared" si="170"/>
        <v>89.160221060882904</v>
      </c>
      <c r="CB155" s="20">
        <f t="shared" si="171"/>
        <v>829.51908601437174</v>
      </c>
      <c r="CC155" s="59">
        <f t="shared" si="119"/>
        <v>1122.8524193477051</v>
      </c>
      <c r="CD155" s="59">
        <f ca="1">AVERAGE(OFFSET($CC$3,0,0,'Données projet'!$E$12+1,1))-AVERAGE(OFFSET($H$3,0,0,'Données projet'!$E$12+1,1))</f>
        <v>695.0879239758051</v>
      </c>
      <c r="CE155" s="59">
        <f t="shared" si="148"/>
        <v>226.22150997227476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104.2902961957269</v>
      </c>
      <c r="CL155" s="21">
        <f>EXP(-LN(2)/25)*CL154+(1-EXP(-LN(2)/25))/(LN(2)/25)*Calculateur!CG155*Calculateur!CI155*VLOOKUP('Données projet'!$B$12,Paramètres!$A$1:$I$89,3,0)*0.475*44/12</f>
        <v>25.934531465167435</v>
      </c>
      <c r="CM155" s="21">
        <f>EXP(-LN(2)/2)*CM154+(1-EXP(-LN(2)/2))/(LN(2)/2)*CG155*CJ155*VLOOKUP('Données projet'!$B$12,Paramètres!$A$1:$I$89,3,0)*0.475*44/12</f>
        <v>5.5388260552308397</v>
      </c>
      <c r="CN155" s="22">
        <f t="shared" si="172"/>
        <v>135.76365371612516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7.1200000000000045</v>
      </c>
      <c r="CT155" s="12">
        <f>IF('Données projet'!$A$140&gt;35,CT154+CS155-DB154,IF(A155&lt;'Données projet'!$A$140,$CQ$205^A155,IF(A155='Données projet'!$A$140,'Données projet'!$B$140,CT154+CS155-DB154)))</f>
        <v>427.85000000000048</v>
      </c>
      <c r="CU155" s="17">
        <f>CT155*VLOOKUP('Données projet'!$B$13,Paramètres!$A$1:$I$89,3,0)*VLOOKUP('Données projet'!$B$13,Paramètres!$A$1:$I$89,5,0)</f>
        <v>433.83990000000051</v>
      </c>
      <c r="CV155" s="13">
        <f t="shared" si="173"/>
        <v>98.604424659881218</v>
      </c>
      <c r="CW155" s="20">
        <f t="shared" si="174"/>
        <v>927.34053211596074</v>
      </c>
      <c r="CX155" s="59">
        <f t="shared" si="122"/>
        <v>1220.673865449294</v>
      </c>
      <c r="CY155" s="59">
        <f ca="1">AVERAGE(OFFSET($CX$3,0,0,'Données projet'!$E$13+1,1))-AVERAGE(OFFSET($H$3,0,0,'Données projet'!$E$13+1,1))</f>
        <v>773.15074145293738</v>
      </c>
      <c r="CZ155" s="59">
        <f t="shared" si="150"/>
        <v>248.49577986312505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116.8770560814181</v>
      </c>
      <c r="DG155" s="21">
        <f>EXP(-LN(2)/25)*DG154+(1-EXP(-LN(2)/25))/(LN(2)/25)*Calculateur!DB155*Calculateur!DD155*VLOOKUP('Données projet'!$B$13,Paramètres!$A$1:$I$89,3,0)*0.475*44/12</f>
        <v>29.064561124756619</v>
      </c>
      <c r="DH155" s="21">
        <f>EXP(-LN(2)/2)*DH154+(1-EXP(-LN(2)/2))/(LN(2)/2)*DB155*DE155*VLOOKUP('Données projet'!$B$13,Paramètres!$A$1:$I$89,3,0)*0.475*44/12</f>
        <v>6.2073050618966299</v>
      </c>
      <c r="DI155" s="22">
        <f t="shared" si="175"/>
        <v>152.14892226807135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3.4106051316484809E-13</v>
      </c>
      <c r="DP155" s="17">
        <f>DO155*VLOOKUP('Données projet'!$B$14,Paramètres!$A$1:$I$89,3,0)*VLOOKUP('Données projet'!$B$14,Paramètres!$A$1:$I$89,5,0)</f>
        <v>1.5961632016114892E-13</v>
      </c>
      <c r="DQ155" s="13">
        <f t="shared" si="176"/>
        <v>2.2708641912150958E-12</v>
      </c>
      <c r="DR155" s="20">
        <f t="shared" si="177"/>
        <v>4.2330868906469593E-12</v>
      </c>
      <c r="DS155" s="59">
        <f t="shared" si="125"/>
        <v>293.33333333333752</v>
      </c>
      <c r="DT155" s="59">
        <f ca="1">AVERAGE(OFFSET($DS$3,0,0,'Données projet'!$E$14+1,1))-AVERAGE(OFFSET($H$3,0,0,'Données projet'!$E$14+1,1))</f>
        <v>293.15557501692803</v>
      </c>
      <c r="DU155" s="59">
        <f t="shared" si="152"/>
        <v>237.1930412773068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55.997075181717733</v>
      </c>
      <c r="EB155" s="21">
        <f>EXP(-LN(2)/25)*EB154+(1-EXP(-LN(2)/25))/(LN(2)/25)*Calculateur!DW155*Calculateur!DY155*VLOOKUP('Données projet'!$B$14,Paramètres!$A$1:$I$89,3,0)*0.475*44/12</f>
        <v>12.713658280118704</v>
      </c>
      <c r="EC155" s="21">
        <f>EXP(-LN(2)/2)*EC154+(1-EXP(-LN(2)/2))/(LN(2)/2)*DW155*DZ155*VLOOKUP('Données projet'!$B$14,Paramètres!$A$1:$I$89,3,0)*0.475*44/12</f>
        <v>1.0616925678984562E-5</v>
      </c>
      <c r="ED155" s="22">
        <f t="shared" si="178"/>
        <v>68.710744078762119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-1.7053025658242404E-13</v>
      </c>
      <c r="EK155" s="17">
        <f>EJ155*VLOOKUP('Données projet'!$B$15,Paramètres!$A$1:$I$89,3,0)*VLOOKUP('Données projet'!$B$15,Paramètres!$A$1:$I$89,5,0)</f>
        <v>-1.0197709343628959E-13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225.86663363047296</v>
      </c>
      <c r="EP155" s="59">
        <f t="shared" si="154"/>
        <v>258.08349727304397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17.197700490776594</v>
      </c>
      <c r="EW155" s="21">
        <f>EXP(-LN(2)/25)*EW154+(1-EXP(-LN(2)/25))/(LN(2)/25)*Calculateur!ER155*Calculateur!ET155*VLOOKUP('Données projet'!$B$15,Paramètres!$A$1:$I$89,3,0)*0.475*44/12</f>
        <v>3.0826622724732959</v>
      </c>
      <c r="EX155" s="21">
        <f>EXP(-LN(2)/2)*EX154+(1-EXP(-LN(2)/2))/(LN(2)/2)*ER155*EU155*VLOOKUP('Données projet'!$B$15,Paramètres!$A$1:$I$89,3,0)*0.475*44/12</f>
        <v>1.2709883275877254E-12</v>
      </c>
      <c r="EY155" s="22">
        <f t="shared" si="181"/>
        <v>20.280362763251162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388.12151914648013</v>
      </c>
      <c r="T156" s="59">
        <f t="shared" si="142"/>
        <v>481.43684454382793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26.072803058233088</v>
      </c>
      <c r="AA156" s="21">
        <f>EXP(-LN(2)/25)*AA155+(1-EXP(-LN(2)/25))/(LN(2)/25)*Calculateur!V156*Calculateur!X156*VLOOKUP('Données projet'!$B$9,Paramètres!$A$1:$I$89,3,0)*0.475*44/12</f>
        <v>4.1886152025472869</v>
      </c>
      <c r="AB156" s="21">
        <f>EXP(-LN(2)/2)*AB155+(1-EXP(-LN(2)/2))/(LN(2)/2)*V156*Y156*VLOOKUP('Données projet'!$B$9,Paramètres!$A$1:$I$89,3,0)*0.475*44/12</f>
        <v>1.9419986777751055E-13</v>
      </c>
      <c r="AC156" s="22">
        <f t="shared" si="163"/>
        <v>30.26141826078057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-1.3596945791505279E-13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349.71285006949597</v>
      </c>
      <c r="AO156" s="59">
        <f t="shared" si="144"/>
        <v>258.51550516456842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36.106669200172952</v>
      </c>
      <c r="AV156" s="21">
        <f>EXP(-LN(2)/25)*AV155+(1-EXP(-LN(2)/25))/(LN(2)/25)*Calculateur!AQ156*Calculateur!AS156*VLOOKUP('Données projet'!$B$10,Paramètres!$A$1:$I$89,3,0)*0.475*44/12</f>
        <v>6.836841940524268</v>
      </c>
      <c r="AW156" s="21">
        <f>EXP(-LN(2)/2)*AW155+(1-EXP(-LN(2)/2))/(LN(2)/2)*AQ156*AT156*VLOOKUP('Données projet'!$B$10,Paramètres!$A$1:$I$89,3,0)*0.475*44/12</f>
        <v>7.2765713655799521E-10</v>
      </c>
      <c r="AX156" s="21">
        <f t="shared" si="166"/>
        <v>42.943511141424878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8.5265128291212022E-14</v>
      </c>
      <c r="BE156" s="13">
        <f>BD156*VLOOKUP('Données projet'!$B$11,Paramètres!$A$1:$I$89,3,0)*VLOOKUP('Données projet'!$B$11,Paramètres!$A$1:$I$89,5,0)</f>
        <v>8.9119112089974823E-14</v>
      </c>
      <c r="BF156" s="13">
        <f t="shared" si="167"/>
        <v>1.3568952080113142E-12</v>
      </c>
      <c r="BG156" s="20">
        <f t="shared" si="168"/>
        <v>2.5184749408430782E-12</v>
      </c>
      <c r="BH156" s="59">
        <f t="shared" si="116"/>
        <v>293.33333333333582</v>
      </c>
      <c r="BI156" s="59">
        <f ca="1">AVERAGE(OFFSET($BH$3,0,0,'Données projet'!$E$11+1,1))-AVERAGE(OFFSET($H$3,0,0,'Données projet'!$E$11+1,1))</f>
        <v>260.74709892624571</v>
      </c>
      <c r="BJ156" s="59">
        <f t="shared" si="146"/>
        <v>237.17381692184887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6.2309895366543193</v>
      </c>
      <c r="BQ156" s="21">
        <f>EXP(-LN(2)/25)*BQ155+(1-EXP(-LN(2)/25))/(LN(2)/25)*Calculateur!BL156*Calculateur!BN156*VLOOKUP('Données projet'!$B$11,Paramètres!$A$1:$I$89,3,0)*0.475*44/12</f>
        <v>10.454880457890514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16.685869994544834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434.97</v>
      </c>
      <c r="BW156" s="12">
        <f>VLOOKUP(A156,'Données projet'!$A$113:$I$133,9,0)</f>
        <v>7.1200000000000045</v>
      </c>
      <c r="BX156" s="12">
        <f t="array" ref="BX156">INDEX(BW:BW,MIN(IF(ISNUMBER(BW156:BW352),ROW(BW156:BW352),"")))</f>
        <v>7.1200000000000045</v>
      </c>
      <c r="BY156" s="12">
        <f>IF('Données projet'!$A$114&gt;35,BY155+BX156-CG155,IF(A156&lt;'Données projet'!$A$114,$BV$205^A156,IF(A156='Données projet'!$A$114,'Données projet'!$B$114,BY155+BX156-CG155)))</f>
        <v>434.97000000000048</v>
      </c>
      <c r="BZ156" s="13">
        <f>BY156*VLOOKUP('Données projet'!$B$12,Paramètres!$A$1:$I$89,3,0)*VLOOKUP('Données projet'!$B$12,Paramètres!$A$1:$I$89,5,0)</f>
        <v>393.5608560000004</v>
      </c>
      <c r="CA156" s="13">
        <f t="shared" si="170"/>
        <v>90.469997145330012</v>
      </c>
      <c r="CB156" s="20">
        <f t="shared" si="171"/>
        <v>843.0204025614504</v>
      </c>
      <c r="CC156" s="59">
        <f t="shared" si="119"/>
        <v>1136.3537358947838</v>
      </c>
      <c r="CD156" s="59">
        <f ca="1">AVERAGE(OFFSET($CC$3,0,0,'Données projet'!$E$12+1,1))-AVERAGE(OFFSET($H$3,0,0,'Données projet'!$E$12+1,1))</f>
        <v>695.0879239758051</v>
      </c>
      <c r="CE156" s="59">
        <f t="shared" si="148"/>
        <v>226.22150997227476</v>
      </c>
      <c r="CF156" s="15">
        <f>IF(ISNA(VLOOKUP(A156,'Données projet'!$A$113:$I$133,3,0)),0,VLOOKUP(A156,'Données projet'!$A$113:$I$133,3,0))</f>
        <v>15</v>
      </c>
      <c r="CG156" s="15">
        <f>IF(ISNA(VLOOKUP(A156,'Données projet'!$A$113:$I$133,4,0)),0,VLOOKUP(A156,'Données projet'!$A$113:$I$133,4,0))</f>
        <v>156.29000000000002</v>
      </c>
      <c r="CH156" s="16">
        <f>IF(ISNA(VLOOKUP(A156,'Données projet'!$A$113:$I$133,5,0)),0%,VLOOKUP(A156,'Données projet'!$A$113:$I$133,5,0)*VLOOKUP('Données projet'!$B$12,Paramètres!$A$1:$I$89,7,0))</f>
        <v>0.19350000000000001</v>
      </c>
      <c r="CI156" s="16">
        <f>IF(ISNA(VLOOKUP(A156,'Données projet'!$A$113:$I$133,6,0)),0%,VLOOKUP(A156,'Données projet'!$A$113:$I$133,6,0)*VLOOKUP('Données projet'!$B$12,Paramètres!$A$1:$I$89,7,0))</f>
        <v>2.1500000000000002E-2</v>
      </c>
      <c r="CJ156" s="16">
        <f>IF(ISNA(VLOOKUP(A156,'Données projet'!$A$113:$I$133,7,0)),0%,VLOOKUP(A156,'Données projet'!$A$113:$I$133,7,0))</f>
        <v>0.05</v>
      </c>
      <c r="CK156" s="21">
        <f>EXP(-LN(2)/35)*CK155+(1-EXP(-LN(2)/35))/(LN(2)/35)*CG156*CH156*VLOOKUP('Données projet'!$B$12,Paramètres!$A$1:$I$89,3,0)*0.475*44/12</f>
        <v>132.49428566962979</v>
      </c>
      <c r="CL156" s="21">
        <f>EXP(-LN(2)/25)*CL155+(1-EXP(-LN(2)/25))/(LN(2)/25)*Calculateur!CG156*Calculateur!CI156*VLOOKUP('Données projet'!$B$12,Paramètres!$A$1:$I$89,3,0)*0.475*44/12</f>
        <v>28.573123283093647</v>
      </c>
      <c r="CM156" s="21">
        <f>EXP(-LN(2)/2)*CM155+(1-EXP(-LN(2)/2))/(LN(2)/2)*CG156*CJ156*VLOOKUP('Données projet'!$B$12,Paramètres!$A$1:$I$89,3,0)*0.475*44/12</f>
        <v>10.58780474738797</v>
      </c>
      <c r="CN156" s="22">
        <f t="shared" si="172"/>
        <v>171.6552137001114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434.97</v>
      </c>
      <c r="CR156" s="12">
        <f>VLOOKUP(A156,'Données projet'!$A$139:$I$159,9,0)</f>
        <v>7.1200000000000045</v>
      </c>
      <c r="CS156" s="12">
        <f t="array" ref="CS156">INDEX(CR:CR,MIN(IF(ISNUMBER(CR156:CR352),ROW(CR156:CR352),"")))</f>
        <v>7.1200000000000045</v>
      </c>
      <c r="CT156" s="12">
        <f>IF('Données projet'!$A$140&gt;35,CT155+CS156-DB155,IF(A156&lt;'Données projet'!$A$140,$CQ$205^A156,IF(A156='Données projet'!$A$140,'Données projet'!$B$140,CT155+CS156-DB155)))</f>
        <v>434.97000000000048</v>
      </c>
      <c r="CU156" s="17">
        <f>CT156*VLOOKUP('Données projet'!$B$13,Paramètres!$A$1:$I$89,3,0)*VLOOKUP('Données projet'!$B$13,Paramètres!$A$1:$I$89,5,0)</f>
        <v>441.05958000000055</v>
      </c>
      <c r="CV156" s="13">
        <f t="shared" si="173"/>
        <v>100.05293741258045</v>
      </c>
      <c r="CW156" s="20">
        <f t="shared" si="174"/>
        <v>942.43763449357857</v>
      </c>
      <c r="CX156" s="59">
        <f t="shared" si="122"/>
        <v>1235.7709678269118</v>
      </c>
      <c r="CY156" s="59">
        <f ca="1">AVERAGE(OFFSET($CX$3,0,0,'Données projet'!$E$13+1,1))-AVERAGE(OFFSET($H$3,0,0,'Données projet'!$E$13+1,1))</f>
        <v>773.15074145293738</v>
      </c>
      <c r="CZ156" s="59">
        <f t="shared" si="150"/>
        <v>248.49577986312505</v>
      </c>
      <c r="DA156" s="15">
        <f>IF(ISNA(VLOOKUP(A156,'Données projet'!$A$139:$I$159,3,0)),0,VLOOKUP(A156,'Données projet'!$A$139:$I$159,3,0))</f>
        <v>15</v>
      </c>
      <c r="DB156" s="15">
        <f>IF(ISNA(VLOOKUP(A156,'Données projet'!$A$139:$I$159,4,0)),0,VLOOKUP(A156,'Données projet'!$A$139:$I$159,4,0))</f>
        <v>156.29000000000002</v>
      </c>
      <c r="DC156" s="16">
        <f>IF(ISNA(VLOOKUP(A156,'Données projet'!$A$139:$I$159,5,0)),0%,VLOOKUP(A156,'Données projet'!$A$139:$I$159,5,0)*VLOOKUP('Données projet'!$B$13,Paramètres!$A$1:$I$89,7,0))</f>
        <v>0.19350000000000001</v>
      </c>
      <c r="DD156" s="16">
        <f>IF(ISNA(VLOOKUP(A156,'Données projet'!$A$139:$I$159,6,0)),0%,VLOOKUP(A156,'Données projet'!$A$139:$I$159,6,0)*VLOOKUP('Données projet'!$B$13,Paramètres!$A$1:$I$89,7,0))</f>
        <v>2.1500000000000002E-2</v>
      </c>
      <c r="DE156" s="16">
        <f>IF(ISNA(VLOOKUP(A156,'Données projet'!$A$139:$I$159,7,0)),0%,VLOOKUP(A156,'Données projet'!$A$139:$I$159,7,0))</f>
        <v>0.05</v>
      </c>
      <c r="DF156" s="21">
        <f>EXP(-LN(2)/35)*DF155+(1-EXP(-LN(2)/35))/(LN(2)/35)*DB156*DC156*VLOOKUP('Données projet'!$B$13,Paramètres!$A$1:$I$89,3,0)*0.475*44/12</f>
        <v>148.48497531941274</v>
      </c>
      <c r="DG156" s="21">
        <f>EXP(-LN(2)/25)*DG155+(1-EXP(-LN(2)/25))/(LN(2)/25)*Calculateur!DB156*Calculateur!DD156*VLOOKUP('Données projet'!$B$13,Paramètres!$A$1:$I$89,3,0)*0.475*44/12</f>
        <v>32.021603679329097</v>
      </c>
      <c r="DH156" s="21">
        <f>EXP(-LN(2)/2)*DH155+(1-EXP(-LN(2)/2))/(LN(2)/2)*DB156*DE156*VLOOKUP('Données projet'!$B$13,Paramètres!$A$1:$I$89,3,0)*0.475*44/12</f>
        <v>11.865643251383073</v>
      </c>
      <c r="DI156" s="22">
        <f t="shared" si="175"/>
        <v>192.37222225012491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3.4106051316484809E-13</v>
      </c>
      <c r="DP156" s="17">
        <f>DO156*VLOOKUP('Données projet'!$B$14,Paramètres!$A$1:$I$89,3,0)*VLOOKUP('Données projet'!$B$14,Paramètres!$A$1:$I$89,5,0)</f>
        <v>1.5961632016114892E-13</v>
      </c>
      <c r="DQ156" s="13">
        <f t="shared" si="176"/>
        <v>2.2708641912150958E-12</v>
      </c>
      <c r="DR156" s="20">
        <f t="shared" si="177"/>
        <v>4.2330868906469593E-12</v>
      </c>
      <c r="DS156" s="59">
        <f t="shared" si="125"/>
        <v>293.33333333333752</v>
      </c>
      <c r="DT156" s="59">
        <f ca="1">AVERAGE(OFFSET($DS$3,0,0,'Données projet'!$E$14+1,1))-AVERAGE(OFFSET($H$3,0,0,'Données projet'!$E$14+1,1))</f>
        <v>293.15557501692803</v>
      </c>
      <c r="DU156" s="59">
        <f t="shared" si="152"/>
        <v>237.1930412773068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54.899006692247596</v>
      </c>
      <c r="EB156" s="21">
        <f>EXP(-LN(2)/25)*EB155+(1-EXP(-LN(2)/25))/(LN(2)/25)*Calculateur!DW156*Calculateur!DY156*VLOOKUP('Données projet'!$B$14,Paramètres!$A$1:$I$89,3,0)*0.475*44/12</f>
        <v>12.366002625866626</v>
      </c>
      <c r="EC156" s="21">
        <f>EXP(-LN(2)/2)*EC155+(1-EXP(-LN(2)/2))/(LN(2)/2)*DW156*DZ156*VLOOKUP('Données projet'!$B$14,Paramètres!$A$1:$I$89,3,0)*0.475*44/12</f>
        <v>7.5073001429635745E-6</v>
      </c>
      <c r="ED156" s="22">
        <f t="shared" si="178"/>
        <v>67.265016825414364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-1.7053025658242404E-13</v>
      </c>
      <c r="EK156" s="17">
        <f>EJ156*VLOOKUP('Données projet'!$B$15,Paramètres!$A$1:$I$89,3,0)*VLOOKUP('Données projet'!$B$15,Paramètres!$A$1:$I$89,5,0)</f>
        <v>-1.0197709343628959E-13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225.86663363047296</v>
      </c>
      <c r="EP156" s="59">
        <f t="shared" si="154"/>
        <v>258.08349727304397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16.860464073714006</v>
      </c>
      <c r="EW156" s="21">
        <f>EXP(-LN(2)/25)*EW155+(1-EXP(-LN(2)/25))/(LN(2)/25)*Calculateur!ER156*Calculateur!ET156*VLOOKUP('Données projet'!$B$15,Paramètres!$A$1:$I$89,3,0)*0.475*44/12</f>
        <v>2.9983667105223502</v>
      </c>
      <c r="EX156" s="21">
        <f>EXP(-LN(2)/2)*EX155+(1-EXP(-LN(2)/2))/(LN(2)/2)*ER156*EU156*VLOOKUP('Données projet'!$B$15,Paramètres!$A$1:$I$89,3,0)*0.475*44/12</f>
        <v>8.9872446524622972E-13</v>
      </c>
      <c r="EY156" s="22">
        <f t="shared" si="181"/>
        <v>19.858830784237256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388.12151914648013</v>
      </c>
      <c r="T157" s="59">
        <f t="shared" si="142"/>
        <v>481.43684454382793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25.561531293100728</v>
      </c>
      <c r="AA157" s="21">
        <f>EXP(-LN(2)/25)*AA156+(1-EXP(-LN(2)/25))/(LN(2)/25)*Calculateur!V157*Calculateur!X157*VLOOKUP('Données projet'!$B$9,Paramètres!$A$1:$I$89,3,0)*0.475*44/12</f>
        <v>4.0740772995639309</v>
      </c>
      <c r="AB157" s="21">
        <f>EXP(-LN(2)/2)*AB156+(1-EXP(-LN(2)/2))/(LN(2)/2)*V157*Y157*VLOOKUP('Données projet'!$B$9,Paramètres!$A$1:$I$89,3,0)*0.475*44/12</f>
        <v>1.3732004341100861E-13</v>
      </c>
      <c r="AC157" s="22">
        <f t="shared" si="163"/>
        <v>29.635608592664799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-1.3596945791505279E-13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349.71285006949597</v>
      </c>
      <c r="AO157" s="59">
        <f t="shared" si="144"/>
        <v>258.51550516456842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35.398639440051191</v>
      </c>
      <c r="AV157" s="21">
        <f>EXP(-LN(2)/25)*AV156+(1-EXP(-LN(2)/25))/(LN(2)/25)*Calculateur!AQ157*Calculateur!AS157*VLOOKUP('Données projet'!$B$10,Paramètres!$A$1:$I$89,3,0)*0.475*44/12</f>
        <v>6.6498881381267401</v>
      </c>
      <c r="AW157" s="21">
        <f>EXP(-LN(2)/2)*AW156+(1-EXP(-LN(2)/2))/(LN(2)/2)*AQ157*AT157*VLOOKUP('Données projet'!$B$10,Paramètres!$A$1:$I$89,3,0)*0.475*44/12</f>
        <v>5.1453129563894404E-10</v>
      </c>
      <c r="AX157" s="21">
        <f t="shared" si="166"/>
        <v>42.048527578692465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8.5265128291212022E-14</v>
      </c>
      <c r="BE157" s="13">
        <f>BD157*VLOOKUP('Données projet'!$B$11,Paramètres!$A$1:$I$89,3,0)*VLOOKUP('Données projet'!$B$11,Paramètres!$A$1:$I$89,5,0)</f>
        <v>8.9119112089974823E-14</v>
      </c>
      <c r="BF157" s="13">
        <f t="shared" si="167"/>
        <v>1.3568952080113142E-12</v>
      </c>
      <c r="BG157" s="20">
        <f t="shared" si="168"/>
        <v>2.5184749408430782E-12</v>
      </c>
      <c r="BH157" s="59">
        <f t="shared" si="116"/>
        <v>293.33333333333582</v>
      </c>
      <c r="BI157" s="59">
        <f ca="1">AVERAGE(OFFSET($BH$3,0,0,'Données projet'!$E$11+1,1))-AVERAGE(OFFSET($H$3,0,0,'Données projet'!$E$11+1,1))</f>
        <v>260.74709892624571</v>
      </c>
      <c r="BJ157" s="59">
        <f t="shared" si="146"/>
        <v>237.17381692184887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6.1088036323688746</v>
      </c>
      <c r="BQ157" s="21">
        <f>EXP(-LN(2)/25)*BQ156+(1-EXP(-LN(2)/25))/(LN(2)/25)*Calculateur!BL157*Calculateur!BN157*VLOOKUP('Données projet'!$B$11,Paramètres!$A$1:$I$89,3,0)*0.475*44/12</f>
        <v>10.168991201971229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16.277794834340103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4.083333333333333</v>
      </c>
      <c r="BY157" s="12">
        <f>IF('Données projet'!$A$114&gt;35,BY156+BX157-CG156,IF(A157&lt;'Données projet'!$A$114,$BV$205^A157,IF(A157='Données projet'!$A$114,'Données projet'!$B$114,BY156+BX157-CG156)))</f>
        <v>282.76333333333378</v>
      </c>
      <c r="BZ157" s="13">
        <f>BY157*VLOOKUP('Données projet'!$B$12,Paramètres!$A$1:$I$89,3,0)*VLOOKUP('Données projet'!$B$12,Paramètres!$A$1:$I$89,5,0)</f>
        <v>255.84426400000038</v>
      </c>
      <c r="CA157" s="13">
        <f t="shared" si="170"/>
        <v>61.835713990730305</v>
      </c>
      <c r="CB157" s="20">
        <f t="shared" si="171"/>
        <v>553.29262833385587</v>
      </c>
      <c r="CC157" s="59">
        <f t="shared" si="119"/>
        <v>846.62596166718913</v>
      </c>
      <c r="CD157" s="59">
        <f ca="1">AVERAGE(OFFSET($CC$3,0,0,'Données projet'!$E$12+1,1))-AVERAGE(OFFSET($H$3,0,0,'Données projet'!$E$12+1,1))</f>
        <v>695.0879239758051</v>
      </c>
      <c r="CE157" s="59">
        <f t="shared" si="148"/>
        <v>226.22150997227476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129.89615354118294</v>
      </c>
      <c r="CL157" s="21">
        <f>EXP(-LN(2)/25)*CL156+(1-EXP(-LN(2)/25))/(LN(2)/25)*Calculateur!CG157*Calculateur!CI157*VLOOKUP('Données projet'!$B$12,Paramètres!$A$1:$I$89,3,0)*0.475*44/12</f>
        <v>27.791789724322204</v>
      </c>
      <c r="CM157" s="21">
        <f>EXP(-LN(2)/2)*CM156+(1-EXP(-LN(2)/2))/(LN(2)/2)*CG157*CJ157*VLOOKUP('Données projet'!$B$12,Paramètres!$A$1:$I$89,3,0)*0.475*44/12</f>
        <v>7.4867085347571551</v>
      </c>
      <c r="CN157" s="22">
        <f t="shared" si="172"/>
        <v>165.1746518002623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4.083333333333333</v>
      </c>
      <c r="CT157" s="12">
        <f>IF('Données projet'!$A$140&gt;35,CT156+CS157-DB156,IF(A157&lt;'Données projet'!$A$140,$CQ$205^A157,IF(A157='Données projet'!$A$140,'Données projet'!$B$140,CT156+CS157-DB156)))</f>
        <v>282.76333333333378</v>
      </c>
      <c r="CU157" s="17">
        <f>CT157*VLOOKUP('Données projet'!$B$13,Paramètres!$A$1:$I$89,3,0)*VLOOKUP('Données projet'!$B$13,Paramètres!$A$1:$I$89,5,0)</f>
        <v>286.72202000000044</v>
      </c>
      <c r="CV157" s="13">
        <f t="shared" si="173"/>
        <v>68.385597623467206</v>
      </c>
      <c r="CW157" s="20">
        <f t="shared" si="174"/>
        <v>618.47910069420618</v>
      </c>
      <c r="CX157" s="59">
        <f t="shared" si="122"/>
        <v>911.81243402753944</v>
      </c>
      <c r="CY157" s="59">
        <f ca="1">AVERAGE(OFFSET($CX$3,0,0,'Données projet'!$E$13+1,1))-AVERAGE(OFFSET($H$3,0,0,'Données projet'!$E$13+1,1))</f>
        <v>773.15074145293738</v>
      </c>
      <c r="CZ157" s="59">
        <f t="shared" si="150"/>
        <v>248.49577986312505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145.57327552029128</v>
      </c>
      <c r="DG157" s="21">
        <f>EXP(-LN(2)/25)*DG156+(1-EXP(-LN(2)/25))/(LN(2)/25)*Calculateur!DB157*Calculateur!DD157*VLOOKUP('Données projet'!$B$13,Paramètres!$A$1:$I$89,3,0)*0.475*44/12</f>
        <v>31.145971242774891</v>
      </c>
      <c r="DH157" s="21">
        <f>EXP(-LN(2)/2)*DH156+(1-EXP(-LN(2)/2))/(LN(2)/2)*DB157*DE157*VLOOKUP('Données projet'!$B$13,Paramètres!$A$1:$I$89,3,0)*0.475*44/12</f>
        <v>8.3902768061933664</v>
      </c>
      <c r="DI157" s="22">
        <f t="shared" si="175"/>
        <v>185.10952356925952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3.4106051316484809E-13</v>
      </c>
      <c r="DP157" s="17">
        <f>DO157*VLOOKUP('Données projet'!$B$14,Paramètres!$A$1:$I$89,3,0)*VLOOKUP('Données projet'!$B$14,Paramètres!$A$1:$I$89,5,0)</f>
        <v>1.5961632016114892E-13</v>
      </c>
      <c r="DQ157" s="13">
        <f t="shared" si="176"/>
        <v>2.2708641912150958E-12</v>
      </c>
      <c r="DR157" s="20">
        <f t="shared" si="177"/>
        <v>4.2330868906469593E-12</v>
      </c>
      <c r="DS157" s="59">
        <f t="shared" si="125"/>
        <v>293.33333333333752</v>
      </c>
      <c r="DT157" s="59">
        <f ca="1">AVERAGE(OFFSET($DS$3,0,0,'Données projet'!$E$14+1,1))-AVERAGE(OFFSET($H$3,0,0,'Données projet'!$E$14+1,1))</f>
        <v>293.15557501692803</v>
      </c>
      <c r="DU157" s="59">
        <f t="shared" si="152"/>
        <v>237.1930412773068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53.822470656100329</v>
      </c>
      <c r="EB157" s="21">
        <f>EXP(-LN(2)/25)*EB156+(1-EXP(-LN(2)/25))/(LN(2)/25)*Calculateur!DW157*Calculateur!DY157*VLOOKUP('Données projet'!$B$14,Paramètres!$A$1:$I$89,3,0)*0.475*44/12</f>
        <v>12.027853633762488</v>
      </c>
      <c r="EC157" s="21">
        <f>EXP(-LN(2)/2)*EC156+(1-EXP(-LN(2)/2))/(LN(2)/2)*DW157*DZ157*VLOOKUP('Données projet'!$B$14,Paramètres!$A$1:$I$89,3,0)*0.475*44/12</f>
        <v>5.3084628394922816E-6</v>
      </c>
      <c r="ED157" s="22">
        <f t="shared" si="178"/>
        <v>65.850329598325658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-1.7053025658242404E-13</v>
      </c>
      <c r="EK157" s="17">
        <f>EJ157*VLOOKUP('Données projet'!$B$15,Paramètres!$A$1:$I$89,3,0)*VLOOKUP('Données projet'!$B$15,Paramètres!$A$1:$I$89,5,0)</f>
        <v>-1.0197709343628959E-13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225.86663363047296</v>
      </c>
      <c r="EP157" s="59">
        <f t="shared" si="154"/>
        <v>258.08349727304397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16.529840657096113</v>
      </c>
      <c r="EW157" s="21">
        <f>EXP(-LN(2)/25)*EW156+(1-EXP(-LN(2)/25))/(LN(2)/25)*Calculateur!ER157*Calculateur!ET157*VLOOKUP('Données projet'!$B$15,Paramètres!$A$1:$I$89,3,0)*0.475*44/12</f>
        <v>2.9163762151458639</v>
      </c>
      <c r="EX157" s="21">
        <f>EXP(-LN(2)/2)*EX156+(1-EXP(-LN(2)/2))/(LN(2)/2)*ER157*EU157*VLOOKUP('Données projet'!$B$15,Paramètres!$A$1:$I$89,3,0)*0.475*44/12</f>
        <v>6.3549416379386278E-13</v>
      </c>
      <c r="EY157" s="22">
        <f t="shared" si="181"/>
        <v>19.446216872242612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388.12151914648013</v>
      </c>
      <c r="T158" s="59">
        <f t="shared" si="142"/>
        <v>481.43684454382793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25.060285255437631</v>
      </c>
      <c r="AA158" s="21">
        <f>EXP(-LN(2)/25)*AA157+(1-EXP(-LN(2)/25))/(LN(2)/25)*Calculateur!V158*Calculateur!X158*VLOOKUP('Données projet'!$B$9,Paramètres!$A$1:$I$89,3,0)*0.475*44/12</f>
        <v>3.9626714415609414</v>
      </c>
      <c r="AB158" s="21">
        <f>EXP(-LN(2)/2)*AB157+(1-EXP(-LN(2)/2))/(LN(2)/2)*V158*Y158*VLOOKUP('Données projet'!$B$9,Paramètres!$A$1:$I$89,3,0)*0.475*44/12</f>
        <v>9.7099933888755274E-14</v>
      </c>
      <c r="AC158" s="22">
        <f t="shared" si="163"/>
        <v>29.022956696998669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-1.3596945791505279E-13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349.71285006949597</v>
      </c>
      <c r="AO158" s="59">
        <f t="shared" si="144"/>
        <v>258.51550516456842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34.704493711669905</v>
      </c>
      <c r="AV158" s="21">
        <f>EXP(-LN(2)/25)*AV157+(1-EXP(-LN(2)/25))/(LN(2)/25)*Calculateur!AQ158*Calculateur!AS158*VLOOKUP('Données projet'!$B$10,Paramètres!$A$1:$I$89,3,0)*0.475*44/12</f>
        <v>6.4680465972872456</v>
      </c>
      <c r="AW158" s="21">
        <f>EXP(-LN(2)/2)*AW157+(1-EXP(-LN(2)/2))/(LN(2)/2)*AQ158*AT158*VLOOKUP('Données projet'!$B$10,Paramètres!$A$1:$I$89,3,0)*0.475*44/12</f>
        <v>3.638285682789976E-10</v>
      </c>
      <c r="AX158" s="21">
        <f t="shared" si="166"/>
        <v>41.172540309320979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8.5265128291212022E-14</v>
      </c>
      <c r="BE158" s="13">
        <f>BD158*VLOOKUP('Données projet'!$B$11,Paramètres!$A$1:$I$89,3,0)*VLOOKUP('Données projet'!$B$11,Paramètres!$A$1:$I$89,5,0)</f>
        <v>8.9119112089974823E-14</v>
      </c>
      <c r="BF158" s="13">
        <f t="shared" si="167"/>
        <v>1.3568952080113142E-12</v>
      </c>
      <c r="BG158" s="20">
        <f t="shared" si="168"/>
        <v>2.5184749408430782E-12</v>
      </c>
      <c r="BH158" s="59">
        <f t="shared" si="116"/>
        <v>293.33333333333582</v>
      </c>
      <c r="BI158" s="59">
        <f ca="1">AVERAGE(OFFSET($BH$3,0,0,'Données projet'!$E$11+1,1))-AVERAGE(OFFSET($H$3,0,0,'Données projet'!$E$11+1,1))</f>
        <v>260.74709892624571</v>
      </c>
      <c r="BJ158" s="59">
        <f t="shared" si="146"/>
        <v>237.17381692184887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5.9890137191404245</v>
      </c>
      <c r="BQ158" s="21">
        <f>EXP(-LN(2)/25)*BQ157+(1-EXP(-LN(2)/25))/(LN(2)/25)*Calculateur!BL158*Calculateur!BN158*VLOOKUP('Données projet'!$B$11,Paramètres!$A$1:$I$89,3,0)*0.475*44/12</f>
        <v>9.8909196027893209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15.879933321929744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4.083333333333333</v>
      </c>
      <c r="BY158" s="12">
        <f>IF('Données projet'!$A$114&gt;35,BY157+BX158-CG157,IF(A158&lt;'Données projet'!$A$114,$BV$205^A158,IF(A158='Données projet'!$A$114,'Données projet'!$B$114,BY157+BX158-CG157)))</f>
        <v>286.84666666666709</v>
      </c>
      <c r="BZ158" s="13">
        <f>BY158*VLOOKUP('Données projet'!$B$12,Paramètres!$A$1:$I$89,3,0)*VLOOKUP('Données projet'!$B$12,Paramètres!$A$1:$I$89,5,0)</f>
        <v>259.53886400000039</v>
      </c>
      <c r="CA158" s="13">
        <f t="shared" si="170"/>
        <v>62.624072242773707</v>
      </c>
      <c r="CB158" s="20">
        <f t="shared" si="171"/>
        <v>561.10044728949822</v>
      </c>
      <c r="CC158" s="59">
        <f t="shared" si="119"/>
        <v>854.43378062283159</v>
      </c>
      <c r="CD158" s="59">
        <f ca="1">AVERAGE(OFFSET($CC$3,0,0,'Données projet'!$E$12+1,1))-AVERAGE(OFFSET($H$3,0,0,'Données projet'!$E$12+1,1))</f>
        <v>695.0879239758051</v>
      </c>
      <c r="CE158" s="59">
        <f t="shared" si="148"/>
        <v>226.22150997227476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127.34896919907081</v>
      </c>
      <c r="CL158" s="21">
        <f>EXP(-LN(2)/25)*CL157+(1-EXP(-LN(2)/25))/(LN(2)/25)*Calculateur!CG158*Calculateur!CI158*VLOOKUP('Données projet'!$B$12,Paramètres!$A$1:$I$89,3,0)*0.475*44/12</f>
        <v>27.031821772803909</v>
      </c>
      <c r="CM158" s="21">
        <f>EXP(-LN(2)/2)*CM157+(1-EXP(-LN(2)/2))/(LN(2)/2)*CG158*CJ158*VLOOKUP('Données projet'!$B$12,Paramètres!$A$1:$I$89,3,0)*0.475*44/12</f>
        <v>5.2939023736939861</v>
      </c>
      <c r="CN158" s="22">
        <f t="shared" si="172"/>
        <v>159.6746933455687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4.083333333333333</v>
      </c>
      <c r="CT158" s="12">
        <f>IF('Données projet'!$A$140&gt;35,CT157+CS158-DB157,IF(A158&lt;'Données projet'!$A$140,$CQ$205^A158,IF(A158='Données projet'!$A$140,'Données projet'!$B$140,CT157+CS158-DB157)))</f>
        <v>286.84666666666709</v>
      </c>
      <c r="CU158" s="17">
        <f>CT158*VLOOKUP('Données projet'!$B$13,Paramètres!$A$1:$I$89,3,0)*VLOOKUP('Données projet'!$B$13,Paramètres!$A$1:$I$89,5,0)</f>
        <v>290.86252000000047</v>
      </c>
      <c r="CV158" s="13">
        <f t="shared" si="173"/>
        <v>69.257461902667814</v>
      </c>
      <c r="CW158" s="20">
        <f t="shared" si="174"/>
        <v>627.20896848048062</v>
      </c>
      <c r="CX158" s="59">
        <f t="shared" si="122"/>
        <v>920.54230181381399</v>
      </c>
      <c r="CY158" s="59">
        <f ca="1">AVERAGE(OFFSET($CX$3,0,0,'Données projet'!$E$13+1,1))-AVERAGE(OFFSET($H$3,0,0,'Données projet'!$E$13+1,1))</f>
        <v>773.15074145293738</v>
      </c>
      <c r="CZ158" s="59">
        <f t="shared" si="150"/>
        <v>248.49577986312505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142.71867237826905</v>
      </c>
      <c r="DG158" s="21">
        <f>EXP(-LN(2)/25)*DG157+(1-EXP(-LN(2)/25))/(LN(2)/25)*Calculateur!DB158*Calculateur!DD158*VLOOKUP('Données projet'!$B$13,Paramètres!$A$1:$I$89,3,0)*0.475*44/12</f>
        <v>30.294283021245768</v>
      </c>
      <c r="DH158" s="21">
        <f>EXP(-LN(2)/2)*DH157+(1-EXP(-LN(2)/2))/(LN(2)/2)*DB158*DE158*VLOOKUP('Données projet'!$B$13,Paramètres!$A$1:$I$89,3,0)*0.475*44/12</f>
        <v>5.9328216256915383</v>
      </c>
      <c r="DI158" s="22">
        <f t="shared" si="175"/>
        <v>178.94577702520635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3.4106051316484809E-13</v>
      </c>
      <c r="DP158" s="17">
        <f>DO158*VLOOKUP('Données projet'!$B$14,Paramètres!$A$1:$I$89,3,0)*VLOOKUP('Données projet'!$B$14,Paramètres!$A$1:$I$89,5,0)</f>
        <v>1.5961632016114892E-13</v>
      </c>
      <c r="DQ158" s="13">
        <f t="shared" si="176"/>
        <v>2.2708641912150958E-12</v>
      </c>
      <c r="DR158" s="20">
        <f t="shared" si="177"/>
        <v>4.2330868906469593E-12</v>
      </c>
      <c r="DS158" s="59">
        <f t="shared" si="125"/>
        <v>293.33333333333752</v>
      </c>
      <c r="DT158" s="59">
        <f ca="1">AVERAGE(OFFSET($DS$3,0,0,'Données projet'!$E$14+1,1))-AVERAGE(OFFSET($H$3,0,0,'Données projet'!$E$14+1,1))</f>
        <v>293.15557501692803</v>
      </c>
      <c r="DU158" s="59">
        <f t="shared" si="152"/>
        <v>237.1930412773068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52.767044834999759</v>
      </c>
      <c r="EB158" s="21">
        <f>EXP(-LN(2)/25)*EB157+(1-EXP(-LN(2)/25))/(LN(2)/25)*Calculateur!DW158*Calculateur!DY158*VLOOKUP('Données projet'!$B$14,Paramètres!$A$1:$I$89,3,0)*0.475*44/12</f>
        <v>11.69895134362992</v>
      </c>
      <c r="EC158" s="21">
        <f>EXP(-LN(2)/2)*EC157+(1-EXP(-LN(2)/2))/(LN(2)/2)*DW158*DZ158*VLOOKUP('Données projet'!$B$14,Paramètres!$A$1:$I$89,3,0)*0.475*44/12</f>
        <v>3.7536500714817877E-6</v>
      </c>
      <c r="ED158" s="22">
        <f t="shared" si="178"/>
        <v>64.465999932279757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-1.7053025658242404E-13</v>
      </c>
      <c r="EK158" s="17">
        <f>EJ158*VLOOKUP('Données projet'!$B$15,Paramètres!$A$1:$I$89,3,0)*VLOOKUP('Données projet'!$B$15,Paramètres!$A$1:$I$89,5,0)</f>
        <v>-1.0197709343628959E-13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225.86663363047296</v>
      </c>
      <c r="EP158" s="59">
        <f t="shared" si="154"/>
        <v>258.08349727304397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16.205700564017725</v>
      </c>
      <c r="EW158" s="21">
        <f>EXP(-LN(2)/25)*EW157+(1-EXP(-LN(2)/25))/(LN(2)/25)*Calculateur!ER158*Calculateur!ET158*VLOOKUP('Données projet'!$B$15,Paramètres!$A$1:$I$89,3,0)*0.475*44/12</f>
        <v>2.8366277541771407</v>
      </c>
      <c r="EX158" s="21">
        <f>EXP(-LN(2)/2)*EX157+(1-EXP(-LN(2)/2))/(LN(2)/2)*ER158*EU158*VLOOKUP('Données projet'!$B$15,Paramètres!$A$1:$I$89,3,0)*0.475*44/12</f>
        <v>4.4936223262311496E-13</v>
      </c>
      <c r="EY158" s="22">
        <f t="shared" si="181"/>
        <v>19.042328318195313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388.12151914648013</v>
      </c>
      <c r="T159" s="59">
        <f t="shared" si="142"/>
        <v>481.43684454382793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24.56886834684321</v>
      </c>
      <c r="AA159" s="21">
        <f>EXP(-LN(2)/25)*AA158+(1-EXP(-LN(2)/25))/(LN(2)/25)*Calculateur!V159*Calculateur!X159*VLOOKUP('Données projet'!$B$9,Paramètres!$A$1:$I$89,3,0)*0.475*44/12</f>
        <v>3.854311982603623</v>
      </c>
      <c r="AB159" s="21">
        <f>EXP(-LN(2)/2)*AB158+(1-EXP(-LN(2)/2))/(LN(2)/2)*V159*Y159*VLOOKUP('Données projet'!$B$9,Paramètres!$A$1:$I$89,3,0)*0.475*44/12</f>
        <v>6.8660021705504306E-14</v>
      </c>
      <c r="AC159" s="22">
        <f t="shared" si="163"/>
        <v>28.4231803294469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-1.3596945791505279E-13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349.71285006949597</v>
      </c>
      <c r="AO159" s="59">
        <f t="shared" si="144"/>
        <v>258.51550516456842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34.02395975763509</v>
      </c>
      <c r="AV159" s="21">
        <f>EXP(-LN(2)/25)*AV158+(1-EXP(-LN(2)/25))/(LN(2)/25)*Calculateur!AQ159*Calculateur!AS159*VLOOKUP('Données projet'!$B$10,Paramètres!$A$1:$I$89,3,0)*0.475*44/12</f>
        <v>6.2911775229446381</v>
      </c>
      <c r="AW159" s="21">
        <f>EXP(-LN(2)/2)*AW158+(1-EXP(-LN(2)/2))/(LN(2)/2)*AQ159*AT159*VLOOKUP('Données projet'!$B$10,Paramètres!$A$1:$I$89,3,0)*0.475*44/12</f>
        <v>2.5726564781947202E-10</v>
      </c>
      <c r="AX159" s="21">
        <f t="shared" si="166"/>
        <v>40.315137280836993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8.5265128291212022E-14</v>
      </c>
      <c r="BE159" s="13">
        <f>BD159*VLOOKUP('Données projet'!$B$11,Paramètres!$A$1:$I$89,3,0)*VLOOKUP('Données projet'!$B$11,Paramètres!$A$1:$I$89,5,0)</f>
        <v>8.9119112089974823E-14</v>
      </c>
      <c r="BF159" s="13">
        <f t="shared" si="167"/>
        <v>1.3568952080113142E-12</v>
      </c>
      <c r="BG159" s="20">
        <f t="shared" si="168"/>
        <v>2.5184749408430782E-12</v>
      </c>
      <c r="BH159" s="59">
        <f t="shared" si="116"/>
        <v>293.33333333333582</v>
      </c>
      <c r="BI159" s="59">
        <f ca="1">AVERAGE(OFFSET($BH$3,0,0,'Données projet'!$E$11+1,1))-AVERAGE(OFFSET($H$3,0,0,'Données projet'!$E$11+1,1))</f>
        <v>260.74709892624571</v>
      </c>
      <c r="BJ159" s="59">
        <f t="shared" si="146"/>
        <v>237.17381692184887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5.8715728130457521</v>
      </c>
      <c r="BQ159" s="21">
        <f>EXP(-LN(2)/25)*BQ158+(1-EXP(-LN(2)/25))/(LN(2)/25)*Calculateur!BL159*Calculateur!BN159*VLOOKUP('Données projet'!$B$11,Paramètres!$A$1:$I$89,3,0)*0.475*44/12</f>
        <v>9.6204518861101906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15.492024699155943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290.93</v>
      </c>
      <c r="BW159" s="12">
        <f>VLOOKUP(A159,'Données projet'!$A$113:$I$133,9,0)</f>
        <v>4.083333333333333</v>
      </c>
      <c r="BX159" s="12">
        <f t="array" ref="BX159">INDEX(BW:BW,MIN(IF(ISNUMBER(BW159:BW355),ROW(BW159:BW355),"")))</f>
        <v>4.083333333333333</v>
      </c>
      <c r="BY159" s="12">
        <f>IF('Données projet'!$A$114&gt;35,BY158+BX159-CG158,IF(A159&lt;'Données projet'!$A$114,$BV$205^A159,IF(A159='Données projet'!$A$114,'Données projet'!$B$114,BY158+BX159-CG158)))</f>
        <v>290.9300000000004</v>
      </c>
      <c r="BZ159" s="13">
        <f>BY159*VLOOKUP('Données projet'!$B$12,Paramètres!$A$1:$I$89,3,0)*VLOOKUP('Données projet'!$B$12,Paramètres!$A$1:$I$89,5,0)</f>
        <v>263.23346400000037</v>
      </c>
      <c r="CA159" s="13">
        <f t="shared" si="170"/>
        <v>63.411125233778499</v>
      </c>
      <c r="CB159" s="20">
        <f t="shared" si="171"/>
        <v>568.90599291549813</v>
      </c>
      <c r="CC159" s="59">
        <f t="shared" si="119"/>
        <v>862.2393262488315</v>
      </c>
      <c r="CD159" s="59">
        <f ca="1">AVERAGE(OFFSET($CC$3,0,0,'Données projet'!$E$12+1,1))-AVERAGE(OFFSET($H$3,0,0,'Données projet'!$E$12+1,1))</f>
        <v>695.0879239758051</v>
      </c>
      <c r="CE159" s="59">
        <f t="shared" si="148"/>
        <v>226.22150997227476</v>
      </c>
      <c r="CF159" s="15">
        <f>IF(ISNA(VLOOKUP(A159,'Données projet'!$A$113:$I$133,3,0)),0,VLOOKUP(A159,'Données projet'!$A$113:$I$133,3,0))</f>
        <v>16</v>
      </c>
      <c r="CG159" s="15">
        <f>IF(ISNA(VLOOKUP(A159,'Données projet'!$A$113:$I$133,4,0)),0,VLOOKUP(A159,'Données projet'!$A$113:$I$133,4,0))</f>
        <v>96.65</v>
      </c>
      <c r="CH159" s="16">
        <f>IF(ISNA(VLOOKUP(A159,'Données projet'!$A$113:$I$133,5,0)),0%,VLOOKUP(A159,'Données projet'!$A$113:$I$133,5,0)*VLOOKUP('Données projet'!$B$12,Paramètres!$A$1:$I$89,7,0))</f>
        <v>0.19350000000000001</v>
      </c>
      <c r="CI159" s="16">
        <f>IF(ISNA(VLOOKUP(A159,'Données projet'!$A$113:$I$133,6,0)),0%,VLOOKUP(A159,'Données projet'!$A$113:$I$133,6,0)*VLOOKUP('Données projet'!$B$12,Paramètres!$A$1:$I$89,7,0))</f>
        <v>2.1500000000000002E-2</v>
      </c>
      <c r="CJ159" s="16">
        <f>IF(ISNA(VLOOKUP(A159,'Données projet'!$A$113:$I$133,7,0)),0%,VLOOKUP(A159,'Données projet'!$A$113:$I$133,7,0))</f>
        <v>0.05</v>
      </c>
      <c r="CK159" s="21">
        <f>EXP(-LN(2)/35)*CK158+(1-EXP(-LN(2)/35))/(LN(2)/35)*CG159*CH159*VLOOKUP('Données projet'!$B$12,Paramètres!$A$1:$I$89,3,0)*0.475*44/12</f>
        <v>143.55780250462382</v>
      </c>
      <c r="CL159" s="21">
        <f>EXP(-LN(2)/25)*CL158+(1-EXP(-LN(2)/25))/(LN(2)/25)*Calculateur!CG159*Calculateur!CI159*VLOOKUP('Données projet'!$B$12,Paramètres!$A$1:$I$89,3,0)*0.475*44/12</f>
        <v>28.362903628823826</v>
      </c>
      <c r="CM159" s="21">
        <f>EXP(-LN(2)/2)*CM158+(1-EXP(-LN(2)/2))/(LN(2)/2)*CG159*CJ159*VLOOKUP('Données projet'!$B$12,Paramètres!$A$1:$I$89,3,0)*0.475*44/12</f>
        <v>7.8688747510372492</v>
      </c>
      <c r="CN159" s="22">
        <f t="shared" si="172"/>
        <v>179.78958088448491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>
        <f>VLOOKUP(A159,'Données projet'!$A$139:$I$159,2,0)</f>
        <v>290.93</v>
      </c>
      <c r="CR159" s="12">
        <f>VLOOKUP(A159,'Données projet'!$A$139:$I$159,9,0)</f>
        <v>4.083333333333333</v>
      </c>
      <c r="CS159" s="12">
        <f t="array" ref="CS159">INDEX(CR:CR,MIN(IF(ISNUMBER(CR159:CR355),ROW(CR159:CR355),"")))</f>
        <v>4.083333333333333</v>
      </c>
      <c r="CT159" s="12">
        <f>IF('Données projet'!$A$140&gt;35,CT158+CS159-DB158,IF(A159&lt;'Données projet'!$A$140,$CQ$205^A159,IF(A159='Données projet'!$A$140,'Données projet'!$B$140,CT158+CS159-DB158)))</f>
        <v>290.9300000000004</v>
      </c>
      <c r="CU159" s="17">
        <f>CT159*VLOOKUP('Données projet'!$B$13,Paramètres!$A$1:$I$89,3,0)*VLOOKUP('Données projet'!$B$13,Paramètres!$A$1:$I$89,5,0)</f>
        <v>295.00302000000039</v>
      </c>
      <c r="CV159" s="13">
        <f t="shared" si="173"/>
        <v>70.127882662412986</v>
      </c>
      <c r="CW159" s="20">
        <f t="shared" si="174"/>
        <v>635.93632213703665</v>
      </c>
      <c r="CX159" s="59">
        <f t="shared" si="122"/>
        <v>929.26965547037003</v>
      </c>
      <c r="CY159" s="59">
        <f ca="1">AVERAGE(OFFSET($CX$3,0,0,'Données projet'!$E$13+1,1))-AVERAGE(OFFSET($H$3,0,0,'Données projet'!$E$13+1,1))</f>
        <v>773.15074145293738</v>
      </c>
      <c r="CZ159" s="59">
        <f t="shared" si="150"/>
        <v>248.49577986312505</v>
      </c>
      <c r="DA159" s="15">
        <f>IF(ISNA(VLOOKUP(A159,'Données projet'!$A$139:$I$159,3,0)),0,VLOOKUP(A159,'Données projet'!$A$139:$I$159,3,0))</f>
        <v>16</v>
      </c>
      <c r="DB159" s="15">
        <f>IF(ISNA(VLOOKUP(A159,'Données projet'!$A$139:$I$159,4,0)),0,VLOOKUP(A159,'Données projet'!$A$139:$I$159,4,0))</f>
        <v>96.65</v>
      </c>
      <c r="DC159" s="16">
        <f>IF(ISNA(VLOOKUP(A159,'Données projet'!$A$139:$I$159,5,0)),0%,VLOOKUP(A159,'Données projet'!$A$139:$I$159,5,0)*VLOOKUP('Données projet'!$B$13,Paramètres!$A$1:$I$89,7,0))</f>
        <v>0.19350000000000001</v>
      </c>
      <c r="DD159" s="16">
        <f>IF(ISNA(VLOOKUP(A159,'Données projet'!$A$139:$I$159,6,0)),0%,VLOOKUP(A159,'Données projet'!$A$139:$I$159,6,0)*VLOOKUP('Données projet'!$B$13,Paramètres!$A$1:$I$89,7,0))</f>
        <v>2.1500000000000002E-2</v>
      </c>
      <c r="DE159" s="16">
        <f>IF(ISNA(VLOOKUP(A159,'Données projet'!$A$139:$I$159,7,0)),0%,VLOOKUP(A159,'Données projet'!$A$139:$I$159,7,0))</f>
        <v>0.05</v>
      </c>
      <c r="DF159" s="21">
        <f>EXP(-LN(2)/35)*DF158+(1-EXP(-LN(2)/35))/(LN(2)/35)*DB159*DC159*VLOOKUP('Données projet'!$B$13,Paramètres!$A$1:$I$89,3,0)*0.475*44/12</f>
        <v>160.88374418621638</v>
      </c>
      <c r="DG159" s="21">
        <f>EXP(-LN(2)/25)*DG158+(1-EXP(-LN(2)/25))/(LN(2)/25)*Calculateur!DB159*Calculateur!DD159*VLOOKUP('Données projet'!$B$13,Paramètres!$A$1:$I$89,3,0)*0.475*44/12</f>
        <v>31.786012687474983</v>
      </c>
      <c r="DH159" s="21">
        <f>EXP(-LN(2)/2)*DH158+(1-EXP(-LN(2)/2))/(LN(2)/2)*DB159*DE159*VLOOKUP('Données projet'!$B$13,Paramètres!$A$1:$I$89,3,0)*0.475*44/12</f>
        <v>8.8185665313348505</v>
      </c>
      <c r="DI159" s="22">
        <f t="shared" si="175"/>
        <v>201.48832340502622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3.4106051316484809E-13</v>
      </c>
      <c r="DP159" s="17">
        <f>DO159*VLOOKUP('Données projet'!$B$14,Paramètres!$A$1:$I$89,3,0)*VLOOKUP('Données projet'!$B$14,Paramètres!$A$1:$I$89,5,0)</f>
        <v>1.5961632016114892E-13</v>
      </c>
      <c r="DQ159" s="13">
        <f t="shared" si="176"/>
        <v>2.2708641912150958E-12</v>
      </c>
      <c r="DR159" s="20">
        <f t="shared" si="177"/>
        <v>4.2330868906469593E-12</v>
      </c>
      <c r="DS159" s="59">
        <f t="shared" si="125"/>
        <v>293.33333333333752</v>
      </c>
      <c r="DT159" s="59">
        <f ca="1">AVERAGE(OFFSET($DS$3,0,0,'Données projet'!$E$14+1,1))-AVERAGE(OFFSET($H$3,0,0,'Données projet'!$E$14+1,1))</f>
        <v>293.15557501692803</v>
      </c>
      <c r="DU159" s="59">
        <f t="shared" si="152"/>
        <v>237.1930412773068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51.732315270504785</v>
      </c>
      <c r="EB159" s="21">
        <f>EXP(-LN(2)/25)*EB158+(1-EXP(-LN(2)/25))/(LN(2)/25)*Calculateur!DW159*Calculateur!DY159*VLOOKUP('Données projet'!$B$14,Paramètres!$A$1:$I$89,3,0)*0.475*44/12</f>
        <v>11.379042903917247</v>
      </c>
      <c r="EC159" s="21">
        <f>EXP(-LN(2)/2)*EC158+(1-EXP(-LN(2)/2))/(LN(2)/2)*DW159*DZ159*VLOOKUP('Données projet'!$B$14,Paramètres!$A$1:$I$89,3,0)*0.475*44/12</f>
        <v>2.6542314197461412E-6</v>
      </c>
      <c r="ED159" s="22">
        <f t="shared" si="178"/>
        <v>63.111360828653453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-1.7053025658242404E-13</v>
      </c>
      <c r="EK159" s="17">
        <f>EJ159*VLOOKUP('Données projet'!$B$15,Paramètres!$A$1:$I$89,3,0)*VLOOKUP('Données projet'!$B$15,Paramètres!$A$1:$I$89,5,0)</f>
        <v>-1.0197709343628959E-13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225.86663363047296</v>
      </c>
      <c r="EP159" s="59">
        <f t="shared" si="154"/>
        <v>258.08349727304397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15.887916660458668</v>
      </c>
      <c r="EW159" s="21">
        <f>EXP(-LN(2)/25)*EW158+(1-EXP(-LN(2)/25))/(LN(2)/25)*Calculateur!ER159*Calculateur!ET159*VLOOKUP('Données projet'!$B$15,Paramètres!$A$1:$I$89,3,0)*0.475*44/12</f>
        <v>2.7590600190673964</v>
      </c>
      <c r="EX159" s="21">
        <f>EXP(-LN(2)/2)*EX158+(1-EXP(-LN(2)/2))/(LN(2)/2)*ER159*EU159*VLOOKUP('Données projet'!$B$15,Paramètres!$A$1:$I$89,3,0)*0.475*44/12</f>
        <v>3.1774708189693144E-13</v>
      </c>
      <c r="EY159" s="22">
        <f t="shared" si="181"/>
        <v>18.646976679526379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388.12151914648013</v>
      </c>
      <c r="T160" s="59">
        <f t="shared" si="142"/>
        <v>481.43684454382793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24.087087824091608</v>
      </c>
      <c r="AA160" s="21">
        <f>EXP(-LN(2)/25)*AA159+(1-EXP(-LN(2)/25))/(LN(2)/25)*Calculateur!V160*Calculateur!X160*VLOOKUP('Données projet'!$B$9,Paramètres!$A$1:$I$89,3,0)*0.475*44/12</f>
        <v>3.7489156187498689</v>
      </c>
      <c r="AB160" s="21">
        <f>EXP(-LN(2)/2)*AB159+(1-EXP(-LN(2)/2))/(LN(2)/2)*V160*Y160*VLOOKUP('Données projet'!$B$9,Paramètres!$A$1:$I$89,3,0)*0.475*44/12</f>
        <v>4.8549966944377637E-14</v>
      </c>
      <c r="AC160" s="22">
        <f t="shared" si="163"/>
        <v>27.836003442841527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-1.3596945791505279E-13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349.71285006949597</v>
      </c>
      <c r="AO160" s="59">
        <f t="shared" si="144"/>
        <v>258.51550516456842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33.356770659354176</v>
      </c>
      <c r="AV160" s="21">
        <f>EXP(-LN(2)/25)*AV159+(1-EXP(-LN(2)/25))/(LN(2)/25)*Calculateur!AQ160*Calculateur!AS160*VLOOKUP('Données projet'!$B$10,Paramètres!$A$1:$I$89,3,0)*0.475*44/12</f>
        <v>6.1191449427410696</v>
      </c>
      <c r="AW160" s="21">
        <f>EXP(-LN(2)/2)*AW159+(1-EXP(-LN(2)/2))/(LN(2)/2)*AQ160*AT160*VLOOKUP('Données projet'!$B$10,Paramètres!$A$1:$I$89,3,0)*0.475*44/12</f>
        <v>1.819142841394988E-10</v>
      </c>
      <c r="AX160" s="21">
        <f t="shared" si="166"/>
        <v>39.475915602277155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8.5265128291212022E-14</v>
      </c>
      <c r="BE160" s="13">
        <f>BD160*VLOOKUP('Données projet'!$B$11,Paramètres!$A$1:$I$89,3,0)*VLOOKUP('Données projet'!$B$11,Paramètres!$A$1:$I$89,5,0)</f>
        <v>8.9119112089974823E-14</v>
      </c>
      <c r="BF160" s="13">
        <f t="shared" si="167"/>
        <v>1.3568952080113142E-12</v>
      </c>
      <c r="BG160" s="20">
        <f t="shared" si="168"/>
        <v>2.5184749408430782E-12</v>
      </c>
      <c r="BH160" s="59">
        <f t="shared" si="116"/>
        <v>293.33333333333582</v>
      </c>
      <c r="BI160" s="59">
        <f ca="1">AVERAGE(OFFSET($BH$3,0,0,'Données projet'!$E$11+1,1))-AVERAGE(OFFSET($H$3,0,0,'Données projet'!$E$11+1,1))</f>
        <v>260.74709892624571</v>
      </c>
      <c r="BJ160" s="59">
        <f t="shared" si="146"/>
        <v>237.17381692184887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5.7564348514877164</v>
      </c>
      <c r="BQ160" s="21">
        <f>EXP(-LN(2)/25)*BQ159+(1-EXP(-LN(2)/25))/(LN(2)/25)*Calculateur!BL160*Calculateur!BN160*VLOOKUP('Données projet'!$B$11,Paramètres!$A$1:$I$89,3,0)*0.475*44/12</f>
        <v>9.35738012336693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15.113814974854646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2.3999999999999964</v>
      </c>
      <c r="BY160" s="12">
        <f>IF('Données projet'!$A$114&gt;35,BY159+BX160-CG159,IF(A160&lt;'Données projet'!$A$114,$BV$205^A160,IF(A160='Données projet'!$A$114,'Données projet'!$B$114,BY159+BX160-CG159)))</f>
        <v>196.68000000000038</v>
      </c>
      <c r="BZ160" s="13">
        <f>BY160*VLOOKUP('Données projet'!$B$12,Paramètres!$A$1:$I$89,3,0)*VLOOKUP('Données projet'!$B$12,Paramètres!$A$1:$I$89,5,0)</f>
        <v>177.95606400000034</v>
      </c>
      <c r="CA160" s="13">
        <f t="shared" si="170"/>
        <v>44.867146262287271</v>
      </c>
      <c r="CB160" s="20">
        <f t="shared" si="171"/>
        <v>388.08375787348422</v>
      </c>
      <c r="CC160" s="59">
        <f t="shared" si="119"/>
        <v>681.41709120681753</v>
      </c>
      <c r="CD160" s="59">
        <f ca="1">AVERAGE(OFFSET($CC$3,0,0,'Données projet'!$E$12+1,1))-AVERAGE(OFFSET($H$3,0,0,'Données projet'!$E$12+1,1))</f>
        <v>695.0879239758051</v>
      </c>
      <c r="CE160" s="59">
        <f t="shared" si="148"/>
        <v>226.22150997227476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140.74272155912169</v>
      </c>
      <c r="CL160" s="21">
        <f>EXP(-LN(2)/25)*CL159+(1-EXP(-LN(2)/25))/(LN(2)/25)*Calculateur!CG160*Calculateur!CI160*VLOOKUP('Données projet'!$B$12,Paramètres!$A$1:$I$89,3,0)*0.475*44/12</f>
        <v>27.587318537553362</v>
      </c>
      <c r="CM160" s="21">
        <f>EXP(-LN(2)/2)*CM159+(1-EXP(-LN(2)/2))/(LN(2)/2)*CG160*CJ160*VLOOKUP('Données projet'!$B$12,Paramètres!$A$1:$I$89,3,0)*0.475*44/12</f>
        <v>5.564134696766045</v>
      </c>
      <c r="CN160" s="22">
        <f t="shared" si="172"/>
        <v>173.8941747934411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2.3999999999999964</v>
      </c>
      <c r="CT160" s="12">
        <f>IF('Données projet'!$A$140&gt;35,CT159+CS160-DB159,IF(A160&lt;'Données projet'!$A$140,$CQ$205^A160,IF(A160='Données projet'!$A$140,'Données projet'!$B$140,CT159+CS160-DB159)))</f>
        <v>196.68000000000038</v>
      </c>
      <c r="CU160" s="17">
        <f>CT160*VLOOKUP('Données projet'!$B$13,Paramètres!$A$1:$I$89,3,0)*VLOOKUP('Données projet'!$B$13,Paramètres!$A$1:$I$89,5,0)</f>
        <v>199.43352000000041</v>
      </c>
      <c r="CV160" s="13">
        <f t="shared" si="173"/>
        <v>49.619652022874504</v>
      </c>
      <c r="CW160" s="20">
        <f t="shared" si="174"/>
        <v>433.76760793984045</v>
      </c>
      <c r="CX160" s="59">
        <f t="shared" si="122"/>
        <v>727.1009412731737</v>
      </c>
      <c r="CY160" s="59">
        <f ca="1">AVERAGE(OFFSET($CX$3,0,0,'Données projet'!$E$13+1,1))-AVERAGE(OFFSET($H$3,0,0,'Données projet'!$E$13+1,1))</f>
        <v>773.15074145293738</v>
      </c>
      <c r="CZ160" s="59">
        <f t="shared" si="150"/>
        <v>248.49577986312505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157.72891209211915</v>
      </c>
      <c r="DG160" s="21">
        <f>EXP(-LN(2)/25)*DG159+(1-EXP(-LN(2)/25))/(LN(2)/25)*Calculateur!DB160*Calculateur!DD160*VLOOKUP('Données projet'!$B$13,Paramètres!$A$1:$I$89,3,0)*0.475*44/12</f>
        <v>30.916822498982221</v>
      </c>
      <c r="DH160" s="21">
        <f>EXP(-LN(2)/2)*DH159+(1-EXP(-LN(2)/2))/(LN(2)/2)*DB160*DE160*VLOOKUP('Données projet'!$B$13,Paramètres!$A$1:$I$89,3,0)*0.475*44/12</f>
        <v>6.2356681946516037</v>
      </c>
      <c r="DI160" s="22">
        <f t="shared" si="175"/>
        <v>194.88140278575295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3.4106051316484809E-13</v>
      </c>
      <c r="DP160" s="17">
        <f>DO160*VLOOKUP('Données projet'!$B$14,Paramètres!$A$1:$I$89,3,0)*VLOOKUP('Données projet'!$B$14,Paramètres!$A$1:$I$89,5,0)</f>
        <v>1.5961632016114892E-13</v>
      </c>
      <c r="DQ160" s="13">
        <f t="shared" si="176"/>
        <v>2.2708641912150958E-12</v>
      </c>
      <c r="DR160" s="20">
        <f t="shared" si="177"/>
        <v>4.2330868906469593E-12</v>
      </c>
      <c r="DS160" s="59">
        <f t="shared" si="125"/>
        <v>293.33333333333752</v>
      </c>
      <c r="DT160" s="59">
        <f ca="1">AVERAGE(OFFSET($DS$3,0,0,'Données projet'!$E$14+1,1))-AVERAGE(OFFSET($H$3,0,0,'Données projet'!$E$14+1,1))</f>
        <v>293.15557501692803</v>
      </c>
      <c r="DU160" s="59">
        <f t="shared" si="152"/>
        <v>237.1930412773068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50.717876121646839</v>
      </c>
      <c r="EB160" s="21">
        <f>EXP(-LN(2)/25)*EB159+(1-EXP(-LN(2)/25))/(LN(2)/25)*Calculateur!DW160*Calculateur!DY160*VLOOKUP('Données projet'!$B$14,Paramètres!$A$1:$I$89,3,0)*0.475*44/12</f>
        <v>11.06788237731177</v>
      </c>
      <c r="EC160" s="21">
        <f>EXP(-LN(2)/2)*EC159+(1-EXP(-LN(2)/2))/(LN(2)/2)*DW160*DZ160*VLOOKUP('Données projet'!$B$14,Paramètres!$A$1:$I$89,3,0)*0.475*44/12</f>
        <v>1.8768250357408943E-6</v>
      </c>
      <c r="ED160" s="22">
        <f t="shared" si="178"/>
        <v>61.785760375783646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-1.7053025658242404E-13</v>
      </c>
      <c r="EK160" s="17">
        <f>EJ160*VLOOKUP('Données projet'!$B$15,Paramètres!$A$1:$I$89,3,0)*VLOOKUP('Données projet'!$B$15,Paramètres!$A$1:$I$89,5,0)</f>
        <v>-1.0197709343628959E-13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225.86663363047296</v>
      </c>
      <c r="EP160" s="59">
        <f t="shared" si="154"/>
        <v>258.08349727304397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15.576364305419363</v>
      </c>
      <c r="EW160" s="21">
        <f>EXP(-LN(2)/25)*EW159+(1-EXP(-LN(2)/25))/(LN(2)/25)*Calculateur!ER160*Calculateur!ET160*VLOOKUP('Données projet'!$B$15,Paramètres!$A$1:$I$89,3,0)*0.475*44/12</f>
        <v>2.6836133777533377</v>
      </c>
      <c r="EX160" s="21">
        <f>EXP(-LN(2)/2)*EX159+(1-EXP(-LN(2)/2))/(LN(2)/2)*ER160*EU160*VLOOKUP('Données projet'!$B$15,Paramètres!$A$1:$I$89,3,0)*0.475*44/12</f>
        <v>2.2468111631155751E-13</v>
      </c>
      <c r="EY160" s="22">
        <f t="shared" si="181"/>
        <v>18.259977683172924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388.12151914648013</v>
      </c>
      <c r="T161" s="59">
        <f t="shared" si="142"/>
        <v>481.43684454382793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23.614754723534062</v>
      </c>
      <c r="AA161" s="21">
        <f>EXP(-LN(2)/25)*AA160+(1-EXP(-LN(2)/25))/(LN(2)/25)*Calculateur!V161*Calculateur!X161*VLOOKUP('Données projet'!$B$9,Paramètres!$A$1:$I$89,3,0)*0.475*44/12</f>
        <v>3.6464013240082496</v>
      </c>
      <c r="AB161" s="21">
        <f>EXP(-LN(2)/2)*AB160+(1-EXP(-LN(2)/2))/(LN(2)/2)*V161*Y161*VLOOKUP('Données projet'!$B$9,Paramètres!$A$1:$I$89,3,0)*0.475*44/12</f>
        <v>3.4330010852752153E-14</v>
      </c>
      <c r="AC161" s="22">
        <f t="shared" si="163"/>
        <v>27.261156047542347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-1.3596945791505279E-13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349.71285006949597</v>
      </c>
      <c r="AO161" s="59">
        <f t="shared" si="144"/>
        <v>258.51550516456842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32.702664732345376</v>
      </c>
      <c r="AV161" s="21">
        <f>EXP(-LN(2)/25)*AV160+(1-EXP(-LN(2)/25))/(LN(2)/25)*Calculateur!AQ161*Calculateur!AS161*VLOOKUP('Données projet'!$B$10,Paramètres!$A$1:$I$89,3,0)*0.475*44/12</f>
        <v>5.9518166024899681</v>
      </c>
      <c r="AW161" s="21">
        <f>EXP(-LN(2)/2)*AW160+(1-EXP(-LN(2)/2))/(LN(2)/2)*AQ161*AT161*VLOOKUP('Données projet'!$B$10,Paramètres!$A$1:$I$89,3,0)*0.475*44/12</f>
        <v>1.2863282390973601E-10</v>
      </c>
      <c r="AX161" s="21">
        <f t="shared" si="166"/>
        <v>38.654481334963975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8.5265128291212022E-14</v>
      </c>
      <c r="BE161" s="13">
        <f>BD161*VLOOKUP('Données projet'!$B$11,Paramètres!$A$1:$I$89,3,0)*VLOOKUP('Données projet'!$B$11,Paramètres!$A$1:$I$89,5,0)</f>
        <v>8.9119112089974823E-14</v>
      </c>
      <c r="BF161" s="13">
        <f t="shared" si="167"/>
        <v>1.3568952080113142E-12</v>
      </c>
      <c r="BG161" s="20">
        <f t="shared" si="168"/>
        <v>2.5184749408430782E-12</v>
      </c>
      <c r="BH161" s="59">
        <f t="shared" si="116"/>
        <v>293.33333333333582</v>
      </c>
      <c r="BI161" s="59">
        <f ca="1">AVERAGE(OFFSET($BH$3,0,0,'Données projet'!$E$11+1,1))-AVERAGE(OFFSET($H$3,0,0,'Données projet'!$E$11+1,1))</f>
        <v>260.74709892624571</v>
      </c>
      <c r="BJ161" s="59">
        <f t="shared" si="146"/>
        <v>237.17381692184887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5.6435546751286116</v>
      </c>
      <c r="BQ161" s="21">
        <f>EXP(-LN(2)/25)*BQ160+(1-EXP(-LN(2)/25))/(LN(2)/25)*Calculateur!BL161*Calculateur!BN161*VLOOKUP('Données projet'!$B$11,Paramètres!$A$1:$I$89,3,0)*0.475*44/12</f>
        <v>9.1015020718102271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14.74505674693884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2.3999999999999964</v>
      </c>
      <c r="BY161" s="12">
        <f>IF('Données projet'!$A$114&gt;35,BY160+BX161-CG160,IF(A161&lt;'Données projet'!$A$114,$BV$205^A161,IF(A161='Données projet'!$A$114,'Données projet'!$B$114,BY160+BX161-CG160)))</f>
        <v>199.08000000000038</v>
      </c>
      <c r="BZ161" s="13">
        <f>BY161*VLOOKUP('Données projet'!$B$12,Paramètres!$A$1:$I$89,3,0)*VLOOKUP('Données projet'!$B$12,Paramètres!$A$1:$I$89,5,0)</f>
        <v>180.12758400000035</v>
      </c>
      <c r="CA161" s="13">
        <f t="shared" si="170"/>
        <v>45.350570085330872</v>
      </c>
      <c r="CB161" s="20">
        <f t="shared" si="171"/>
        <v>392.7077850319518</v>
      </c>
      <c r="CC161" s="59">
        <f t="shared" si="119"/>
        <v>686.04111836528512</v>
      </c>
      <c r="CD161" s="59">
        <f ca="1">AVERAGE(OFFSET($CC$3,0,0,'Données projet'!$E$12+1,1))-AVERAGE(OFFSET($H$3,0,0,'Données projet'!$E$12+1,1))</f>
        <v>695.0879239758051</v>
      </c>
      <c r="CE161" s="59">
        <f t="shared" si="148"/>
        <v>226.22150997227476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137.98284263393103</v>
      </c>
      <c r="CL161" s="21">
        <f>EXP(-LN(2)/25)*CL160+(1-EXP(-LN(2)/25))/(LN(2)/25)*Calculateur!CG161*Calculateur!CI161*VLOOKUP('Données projet'!$B$12,Paramètres!$A$1:$I$89,3,0)*0.475*44/12</f>
        <v>26.832941861389934</v>
      </c>
      <c r="CM161" s="21">
        <f>EXP(-LN(2)/2)*CM160+(1-EXP(-LN(2)/2))/(LN(2)/2)*CG161*CJ161*VLOOKUP('Données projet'!$B$12,Paramètres!$A$1:$I$89,3,0)*0.475*44/12</f>
        <v>3.934437375518625</v>
      </c>
      <c r="CN161" s="22">
        <f t="shared" si="172"/>
        <v>168.7502218708396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2.3999999999999964</v>
      </c>
      <c r="CT161" s="12">
        <f>IF('Données projet'!$A$140&gt;35,CT160+CS161-DB160,IF(A161&lt;'Données projet'!$A$140,$CQ$205^A161,IF(A161='Données projet'!$A$140,'Données projet'!$B$140,CT160+CS161-DB160)))</f>
        <v>199.08000000000038</v>
      </c>
      <c r="CU161" s="17">
        <f>CT161*VLOOKUP('Données projet'!$B$13,Paramètres!$A$1:$I$89,3,0)*VLOOKUP('Données projet'!$B$13,Paramètres!$A$1:$I$89,5,0)</f>
        <v>201.8671200000004</v>
      </c>
      <c r="CV161" s="13">
        <f t="shared" si="173"/>
        <v>50.154282011123868</v>
      </c>
      <c r="CW161" s="20">
        <f t="shared" si="174"/>
        <v>438.93727516937474</v>
      </c>
      <c r="CX161" s="59">
        <f t="shared" si="122"/>
        <v>732.270608502708</v>
      </c>
      <c r="CY161" s="59">
        <f ca="1">AVERAGE(OFFSET($CX$3,0,0,'Données projet'!$E$13+1,1))-AVERAGE(OFFSET($H$3,0,0,'Données projet'!$E$13+1,1))</f>
        <v>773.15074145293738</v>
      </c>
      <c r="CZ161" s="59">
        <f t="shared" si="150"/>
        <v>248.49577986312505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154.63594433112959</v>
      </c>
      <c r="DG161" s="21">
        <f>EXP(-LN(2)/25)*DG160+(1-EXP(-LN(2)/25))/(LN(2)/25)*Calculateur!DB161*Calculateur!DD161*VLOOKUP('Données projet'!$B$13,Paramètres!$A$1:$I$89,3,0)*0.475*44/12</f>
        <v>30.071400361902519</v>
      </c>
      <c r="DH161" s="21">
        <f>EXP(-LN(2)/2)*DH160+(1-EXP(-LN(2)/2))/(LN(2)/2)*DB161*DE161*VLOOKUP('Données projet'!$B$13,Paramètres!$A$1:$I$89,3,0)*0.475*44/12</f>
        <v>4.4092832656674261</v>
      </c>
      <c r="DI161" s="22">
        <f t="shared" si="175"/>
        <v>189.11662795869952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3.4106051316484809E-13</v>
      </c>
      <c r="DP161" s="17">
        <f>DO161*VLOOKUP('Données projet'!$B$14,Paramètres!$A$1:$I$89,3,0)*VLOOKUP('Données projet'!$B$14,Paramètres!$A$1:$I$89,5,0)</f>
        <v>1.5961632016114892E-13</v>
      </c>
      <c r="DQ161" s="13">
        <f t="shared" si="176"/>
        <v>2.2708641912150958E-12</v>
      </c>
      <c r="DR161" s="20">
        <f t="shared" si="177"/>
        <v>4.2330868906469593E-12</v>
      </c>
      <c r="DS161" s="59">
        <f t="shared" si="125"/>
        <v>293.33333333333752</v>
      </c>
      <c r="DT161" s="59">
        <f ca="1">AVERAGE(OFFSET($DS$3,0,0,'Données projet'!$E$14+1,1))-AVERAGE(OFFSET($H$3,0,0,'Données projet'!$E$14+1,1))</f>
        <v>293.15557501692803</v>
      </c>
      <c r="DU161" s="59">
        <f t="shared" si="152"/>
        <v>237.1930412773068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49.723329505751217</v>
      </c>
      <c r="EB161" s="21">
        <f>EXP(-LN(2)/25)*EB160+(1-EXP(-LN(2)/25))/(LN(2)/25)*Calculateur!DW161*Calculateur!DY161*VLOOKUP('Données projet'!$B$14,Paramètres!$A$1:$I$89,3,0)*0.475*44/12</f>
        <v>10.765230551669541</v>
      </c>
      <c r="EC161" s="21">
        <f>EXP(-LN(2)/2)*EC160+(1-EXP(-LN(2)/2))/(LN(2)/2)*DW161*DZ161*VLOOKUP('Données projet'!$B$14,Paramètres!$A$1:$I$89,3,0)*0.475*44/12</f>
        <v>1.3271157098730708E-6</v>
      </c>
      <c r="ED161" s="22">
        <f t="shared" si="178"/>
        <v>60.488561384536467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-1.7053025658242404E-13</v>
      </c>
      <c r="EK161" s="17">
        <f>EJ161*VLOOKUP('Données projet'!$B$15,Paramètres!$A$1:$I$89,3,0)*VLOOKUP('Données projet'!$B$15,Paramètres!$A$1:$I$89,5,0)</f>
        <v>-1.0197709343628959E-13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225.86663363047296</v>
      </c>
      <c r="EP161" s="59">
        <f t="shared" si="154"/>
        <v>258.08349727304397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15.270921302034205</v>
      </c>
      <c r="EW161" s="21">
        <f>EXP(-LN(2)/25)*EW160+(1-EXP(-LN(2)/25))/(LN(2)/25)*Calculateur!ER161*Calculateur!ET161*VLOOKUP('Données projet'!$B$15,Paramètres!$A$1:$I$89,3,0)*0.475*44/12</f>
        <v>2.6102298288135786</v>
      </c>
      <c r="EX161" s="21">
        <f>EXP(-LN(2)/2)*EX160+(1-EXP(-LN(2)/2))/(LN(2)/2)*ER161*EU161*VLOOKUP('Données projet'!$B$15,Paramètres!$A$1:$I$89,3,0)*0.475*44/12</f>
        <v>1.5887354094846575E-13</v>
      </c>
      <c r="EY161" s="22">
        <f t="shared" si="181"/>
        <v>17.881151130847943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388.12151914648013</v>
      </c>
      <c r="T162" s="59">
        <f t="shared" si="142"/>
        <v>481.43684454382793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23.151683786983707</v>
      </c>
      <c r="AA162" s="21">
        <f>EXP(-LN(2)/25)*AA161+(1-EXP(-LN(2)/25))/(LN(2)/25)*Calculateur!V162*Calculateur!X162*VLOOKUP('Données projet'!$B$9,Paramètres!$A$1:$I$89,3,0)*0.475*44/12</f>
        <v>3.5466902880473321</v>
      </c>
      <c r="AB162" s="21">
        <f>EXP(-LN(2)/2)*AB161+(1-EXP(-LN(2)/2))/(LN(2)/2)*V162*Y162*VLOOKUP('Données projet'!$B$9,Paramètres!$A$1:$I$89,3,0)*0.475*44/12</f>
        <v>2.4274983472188818E-14</v>
      </c>
      <c r="AC162" s="22">
        <f t="shared" si="163"/>
        <v>26.698374075031065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-1.3596945791505279E-13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349.71285006949597</v>
      </c>
      <c r="AO162" s="59">
        <f t="shared" si="144"/>
        <v>258.51550516456842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32.061385423600001</v>
      </c>
      <c r="AV162" s="21">
        <f>EXP(-LN(2)/25)*AV161+(1-EXP(-LN(2)/25))/(LN(2)/25)*Calculateur!AQ162*Calculateur!AS162*VLOOKUP('Données projet'!$B$10,Paramètres!$A$1:$I$89,3,0)*0.475*44/12</f>
        <v>5.7890638645024479</v>
      </c>
      <c r="AW162" s="21">
        <f>EXP(-LN(2)/2)*AW161+(1-EXP(-LN(2)/2))/(LN(2)/2)*AQ162*AT162*VLOOKUP('Données projet'!$B$10,Paramètres!$A$1:$I$89,3,0)*0.475*44/12</f>
        <v>9.0957142069749401E-11</v>
      </c>
      <c r="AX162" s="21">
        <f t="shared" si="166"/>
        <v>37.850449288193403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8.5265128291212022E-14</v>
      </c>
      <c r="BE162" s="13">
        <f>BD162*VLOOKUP('Données projet'!$B$11,Paramètres!$A$1:$I$89,3,0)*VLOOKUP('Données projet'!$B$11,Paramètres!$A$1:$I$89,5,0)</f>
        <v>8.9119112089974823E-14</v>
      </c>
      <c r="BF162" s="13">
        <f t="shared" si="167"/>
        <v>1.3568952080113142E-12</v>
      </c>
      <c r="BG162" s="20">
        <f t="shared" si="168"/>
        <v>2.5184749408430782E-12</v>
      </c>
      <c r="BH162" s="59">
        <f t="shared" si="116"/>
        <v>293.33333333333582</v>
      </c>
      <c r="BI162" s="59">
        <f ca="1">AVERAGE(OFFSET($BH$3,0,0,'Données projet'!$E$11+1,1))-AVERAGE(OFFSET($H$3,0,0,'Données projet'!$E$11+1,1))</f>
        <v>260.74709892624571</v>
      </c>
      <c r="BJ162" s="59">
        <f t="shared" si="146"/>
        <v>237.17381692184887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5.5328880101777997</v>
      </c>
      <c r="BQ162" s="21">
        <f>EXP(-LN(2)/25)*BQ161+(1-EXP(-LN(2)/25))/(LN(2)/25)*Calculateur!BL162*Calculateur!BN162*VLOOKUP('Données projet'!$B$11,Paramètres!$A$1:$I$89,3,0)*0.475*44/12</f>
        <v>8.8526210190293835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14.385509029207183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>
        <f>VLOOKUP(A162,'Données projet'!$A$113:$I$133,2,0)</f>
        <v>201.48</v>
      </c>
      <c r="BW162" s="12">
        <f>VLOOKUP(A162,'Données projet'!$A$113:$I$133,9,0)</f>
        <v>2.3999999999999964</v>
      </c>
      <c r="BX162" s="12">
        <f t="array" ref="BX162">INDEX(BW:BW,MIN(IF(ISNUMBER(BW162:BW358),ROW(BW162:BW358),"")))</f>
        <v>2.3999999999999964</v>
      </c>
      <c r="BY162" s="12">
        <f>IF('Données projet'!$A$114&gt;35,BY161+BX162-CG161,IF(A162&lt;'Données projet'!$A$114,$BV$205^A162,IF(A162='Données projet'!$A$114,'Données projet'!$B$114,BY161+BX162-CG161)))</f>
        <v>201.48000000000039</v>
      </c>
      <c r="BZ162" s="13">
        <f>BY162*VLOOKUP('Données projet'!$B$12,Paramètres!$A$1:$I$89,3,0)*VLOOKUP('Données projet'!$B$12,Paramètres!$A$1:$I$89,5,0)</f>
        <v>182.29910400000034</v>
      </c>
      <c r="CA162" s="13">
        <f t="shared" si="170"/>
        <v>45.833315999864418</v>
      </c>
      <c r="CB162" s="20">
        <f t="shared" si="171"/>
        <v>397.33063149976448</v>
      </c>
      <c r="CC162" s="59">
        <f t="shared" si="119"/>
        <v>690.66396483309779</v>
      </c>
      <c r="CD162" s="59">
        <f ca="1">AVERAGE(OFFSET($CC$3,0,0,'Données projet'!$E$12+1,1))-AVERAGE(OFFSET($H$3,0,0,'Données projet'!$E$12+1,1))</f>
        <v>695.0879239758051</v>
      </c>
      <c r="CE162" s="59">
        <f t="shared" si="148"/>
        <v>226.22150997227476</v>
      </c>
      <c r="CF162" s="15">
        <f>IF(ISNA(VLOOKUP(A162,'Données projet'!$A$113:$I$133,3,0)),0,VLOOKUP(A162,'Données projet'!$A$113:$I$133,3,0))</f>
        <v>17</v>
      </c>
      <c r="CG162" s="15">
        <f>IF(ISNA(VLOOKUP(A162,'Données projet'!$A$113:$I$133,4,0)),0,VLOOKUP(A162,'Données projet'!$A$113:$I$133,4,0))</f>
        <v>201.48</v>
      </c>
      <c r="CH162" s="16">
        <f>IF(ISNA(VLOOKUP(A162,'Données projet'!$A$113:$I$133,5,0)),0%,VLOOKUP(A162,'Données projet'!$A$113:$I$133,5,0)*VLOOKUP('Données projet'!$B$12,Paramètres!$A$1:$I$89,7,0))</f>
        <v>0.19350000000000001</v>
      </c>
      <c r="CI162" s="16">
        <f>IF(ISNA(VLOOKUP(A162,'Données projet'!$A$113:$I$133,6,0)),0%,VLOOKUP(A162,'Données projet'!$A$113:$I$133,6,0)*VLOOKUP('Données projet'!$B$12,Paramètres!$A$1:$I$89,7,0))</f>
        <v>2.1500000000000002E-2</v>
      </c>
      <c r="CJ162" s="16">
        <f>IF(ISNA(VLOOKUP(A162,'Données projet'!$A$113:$I$133,7,0)),0%,VLOOKUP(A162,'Données projet'!$A$113:$I$133,7,0))</f>
        <v>0.05</v>
      </c>
      <c r="CK162" s="21">
        <f>EXP(-LN(2)/35)*CK161+(1-EXP(-LN(2)/35))/(LN(2)/35)*CG162*CH162*VLOOKUP('Données projet'!$B$12,Paramètres!$A$1:$I$89,3,0)*0.475*44/12</f>
        <v>174.27241450061467</v>
      </c>
      <c r="CL162" s="21">
        <f>EXP(-LN(2)/25)*CL161+(1-EXP(-LN(2)/25))/(LN(2)/25)*Calculateur!CG162*Calculateur!CI162*VLOOKUP('Données projet'!$B$12,Paramètres!$A$1:$I$89,3,0)*0.475*44/12</f>
        <v>30.414948296440013</v>
      </c>
      <c r="CM162" s="21">
        <f>EXP(-LN(2)/2)*CM161+(1-EXP(-LN(2)/2))/(LN(2)/2)*CG162*CJ162*VLOOKUP('Données projet'!$B$12,Paramètres!$A$1:$I$89,3,0)*0.475*44/12</f>
        <v>11.38227290500536</v>
      </c>
      <c r="CN162" s="22">
        <f t="shared" si="172"/>
        <v>216.06963570206003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>
        <f>VLOOKUP(A162,'Données projet'!$A$139:$I$159,2,0)</f>
        <v>201.48</v>
      </c>
      <c r="CR162" s="12">
        <f>VLOOKUP(A162,'Données projet'!$A$139:$I$159,9,0)</f>
        <v>2.3999999999999964</v>
      </c>
      <c r="CS162" s="12">
        <f t="array" ref="CS162">INDEX(CR:CR,MIN(IF(ISNUMBER(CR162:CR358),ROW(CR162:CR358),"")))</f>
        <v>2.3999999999999964</v>
      </c>
      <c r="CT162" s="12">
        <f>IF('Données projet'!$A$140&gt;35,CT161+CS162-DB161,IF(A162&lt;'Données projet'!$A$140,$CQ$205^A162,IF(A162='Données projet'!$A$140,'Données projet'!$B$140,CT161+CS162-DB161)))</f>
        <v>201.48000000000039</v>
      </c>
      <c r="CU162" s="17">
        <f>CT162*VLOOKUP('Données projet'!$B$13,Paramètres!$A$1:$I$89,3,0)*VLOOKUP('Données projet'!$B$13,Paramètres!$A$1:$I$89,5,0)</f>
        <v>204.30072000000038</v>
      </c>
      <c r="CV162" s="13">
        <f t="shared" si="173"/>
        <v>50.688162284110049</v>
      </c>
      <c r="CW162" s="20">
        <f t="shared" si="174"/>
        <v>444.10563664482567</v>
      </c>
      <c r="CX162" s="59">
        <f t="shared" si="122"/>
        <v>737.43896997815898</v>
      </c>
      <c r="CY162" s="59">
        <f ca="1">AVERAGE(OFFSET($CX$3,0,0,'Données projet'!$E$13+1,1))-AVERAGE(OFFSET($H$3,0,0,'Données projet'!$E$13+1,1))</f>
        <v>773.15074145293738</v>
      </c>
      <c r="CZ162" s="59">
        <f t="shared" si="150"/>
        <v>248.49577986312505</v>
      </c>
      <c r="DA162" s="15">
        <f>IF(ISNA(VLOOKUP(A162,'Données projet'!$A$139:$I$159,3,0)),0,VLOOKUP(A162,'Données projet'!$A$139:$I$159,3,0))</f>
        <v>17</v>
      </c>
      <c r="DB162" s="15">
        <f>IF(ISNA(VLOOKUP(A162,'Données projet'!$A$139:$I$159,4,0)),0,VLOOKUP(A162,'Données projet'!$A$139:$I$159,4,0))</f>
        <v>201.48</v>
      </c>
      <c r="DC162" s="16">
        <f>IF(ISNA(VLOOKUP(A162,'Données projet'!$A$139:$I$159,5,0)),0%,VLOOKUP(A162,'Données projet'!$A$139:$I$159,5,0)*VLOOKUP('Données projet'!$B$13,Paramètres!$A$1:$I$89,7,0))</f>
        <v>0.19350000000000001</v>
      </c>
      <c r="DD162" s="16">
        <f>IF(ISNA(VLOOKUP(A162,'Données projet'!$A$139:$I$159,6,0)),0%,VLOOKUP(A162,'Données projet'!$A$139:$I$159,6,0)*VLOOKUP('Données projet'!$B$13,Paramètres!$A$1:$I$89,7,0))</f>
        <v>2.1500000000000002E-2</v>
      </c>
      <c r="DE162" s="16">
        <f>IF(ISNA(VLOOKUP(A162,'Données projet'!$A$139:$I$159,7,0)),0%,VLOOKUP(A162,'Données projet'!$A$139:$I$159,7,0))</f>
        <v>0.05</v>
      </c>
      <c r="DF162" s="21">
        <f>EXP(-LN(2)/35)*DF161+(1-EXP(-LN(2)/35))/(LN(2)/35)*DB162*DC162*VLOOKUP('Données projet'!$B$13,Paramètres!$A$1:$I$89,3,0)*0.475*44/12</f>
        <v>195.30529211275783</v>
      </c>
      <c r="DG162" s="21">
        <f>EXP(-LN(2)/25)*DG161+(1-EXP(-LN(2)/25))/(LN(2)/25)*Calculateur!DB162*Calculateur!DD162*VLOOKUP('Données projet'!$B$13,Paramètres!$A$1:$I$89,3,0)*0.475*44/12</f>
        <v>34.085717918424159</v>
      </c>
      <c r="DH162" s="21">
        <f>EXP(-LN(2)/2)*DH161+(1-EXP(-LN(2)/2))/(LN(2)/2)*DB162*DE162*VLOOKUP('Données projet'!$B$13,Paramètres!$A$1:$I$89,3,0)*0.475*44/12</f>
        <v>12.755995496988769</v>
      </c>
      <c r="DI162" s="22">
        <f t="shared" si="175"/>
        <v>242.14700552817075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3.4106051316484809E-13</v>
      </c>
      <c r="DP162" s="17">
        <f>DO162*VLOOKUP('Données projet'!$B$14,Paramètres!$A$1:$I$89,3,0)*VLOOKUP('Données projet'!$B$14,Paramètres!$A$1:$I$89,5,0)</f>
        <v>1.5961632016114892E-13</v>
      </c>
      <c r="DQ162" s="13">
        <f t="shared" si="176"/>
        <v>2.2708641912150958E-12</v>
      </c>
      <c r="DR162" s="20">
        <f t="shared" si="177"/>
        <v>4.2330868906469593E-12</v>
      </c>
      <c r="DS162" s="59">
        <f t="shared" si="125"/>
        <v>293.33333333333752</v>
      </c>
      <c r="DT162" s="59">
        <f ca="1">AVERAGE(OFFSET($DS$3,0,0,'Données projet'!$E$14+1,1))-AVERAGE(OFFSET($H$3,0,0,'Données projet'!$E$14+1,1))</f>
        <v>293.15557501692803</v>
      </c>
      <c r="DU162" s="59">
        <f t="shared" si="152"/>
        <v>237.1930412773068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48.748285342379766</v>
      </c>
      <c r="EB162" s="21">
        <f>EXP(-LN(2)/25)*EB161+(1-EXP(-LN(2)/25))/(LN(2)/25)*Calculateur!DW162*Calculateur!DY162*VLOOKUP('Données projet'!$B$14,Paramètres!$A$1:$I$89,3,0)*0.475*44/12</f>
        <v>10.470854756115267</v>
      </c>
      <c r="EC162" s="21">
        <f>EXP(-LN(2)/2)*EC161+(1-EXP(-LN(2)/2))/(LN(2)/2)*DW162*DZ162*VLOOKUP('Données projet'!$B$14,Paramètres!$A$1:$I$89,3,0)*0.475*44/12</f>
        <v>9.3841251787044724E-7</v>
      </c>
      <c r="ED162" s="22">
        <f t="shared" si="178"/>
        <v>59.219141036907551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-1.7053025658242404E-13</v>
      </c>
      <c r="EK162" s="17">
        <f>EJ162*VLOOKUP('Données projet'!$B$15,Paramètres!$A$1:$I$89,3,0)*VLOOKUP('Données projet'!$B$15,Paramètres!$A$1:$I$89,5,0)</f>
        <v>-1.0197709343628959E-13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225.86663363047296</v>
      </c>
      <c r="EP162" s="59">
        <f t="shared" si="154"/>
        <v>258.08349727304397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14.971467849643593</v>
      </c>
      <c r="EW162" s="21">
        <f>EXP(-LN(2)/25)*EW161+(1-EXP(-LN(2)/25))/(LN(2)/25)*Calculateur!ER162*Calculateur!ET162*VLOOKUP('Données projet'!$B$15,Paramètres!$A$1:$I$89,3,0)*0.475*44/12</f>
        <v>2.5388529568786504</v>
      </c>
      <c r="EX162" s="21">
        <f>EXP(-LN(2)/2)*EX161+(1-EXP(-LN(2)/2))/(LN(2)/2)*ER162*EU162*VLOOKUP('Données projet'!$B$15,Paramètres!$A$1:$I$89,3,0)*0.475*44/12</f>
        <v>1.1234055815577878E-13</v>
      </c>
      <c r="EY162" s="22">
        <f t="shared" si="181"/>
        <v>17.510320806522358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388.12151914648013</v>
      </c>
      <c r="T163" s="59">
        <f t="shared" si="142"/>
        <v>481.43684454382793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22.697693389053722</v>
      </c>
      <c r="AA163" s="21">
        <f>EXP(-LN(2)/25)*AA162+(1-EXP(-LN(2)/25))/(LN(2)/25)*Calculateur!V163*Calculateur!X163*VLOOKUP('Données projet'!$B$9,Paramètres!$A$1:$I$89,3,0)*0.475*44/12</f>
        <v>3.4497058556083418</v>
      </c>
      <c r="AB163" s="21">
        <f>EXP(-LN(2)/2)*AB162+(1-EXP(-LN(2)/2))/(LN(2)/2)*V163*Y163*VLOOKUP('Données projet'!$B$9,Paramètres!$A$1:$I$89,3,0)*0.475*44/12</f>
        <v>1.7165005426376076E-14</v>
      </c>
      <c r="AC163" s="22">
        <f t="shared" si="163"/>
        <v>26.147399244662083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-1.3596945791505279E-13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349.71285006949597</v>
      </c>
      <c r="AO163" s="59">
        <f t="shared" si="144"/>
        <v>258.51550516456842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31.432681210957366</v>
      </c>
      <c r="AV163" s="21">
        <f>EXP(-LN(2)/25)*AV162+(1-EXP(-LN(2)/25))/(LN(2)/25)*Calculateur!AQ163*Calculateur!AS163*VLOOKUP('Données projet'!$B$10,Paramètres!$A$1:$I$89,3,0)*0.475*44/12</f>
        <v>5.6307616086939909</v>
      </c>
      <c r="AW163" s="21">
        <f>EXP(-LN(2)/2)*AW162+(1-EXP(-LN(2)/2))/(LN(2)/2)*AQ163*AT163*VLOOKUP('Données projet'!$B$10,Paramètres!$A$1:$I$89,3,0)*0.475*44/12</f>
        <v>6.4316411954868005E-11</v>
      </c>
      <c r="AX163" s="21">
        <f t="shared" si="166"/>
        <v>37.063442819715675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8.5265128291212022E-14</v>
      </c>
      <c r="BE163" s="13">
        <f>BD163*VLOOKUP('Données projet'!$B$11,Paramètres!$A$1:$I$89,3,0)*VLOOKUP('Données projet'!$B$11,Paramètres!$A$1:$I$89,5,0)</f>
        <v>8.9119112089974823E-14</v>
      </c>
      <c r="BF163" s="13">
        <f t="shared" si="167"/>
        <v>1.3568952080113142E-12</v>
      </c>
      <c r="BG163" s="20">
        <f t="shared" si="168"/>
        <v>2.5184749408430782E-12</v>
      </c>
      <c r="BH163" s="59">
        <f t="shared" si="116"/>
        <v>293.33333333333582</v>
      </c>
      <c r="BI163" s="59">
        <f ca="1">AVERAGE(OFFSET($BH$3,0,0,'Données projet'!$E$11+1,1))-AVERAGE(OFFSET($H$3,0,0,'Données projet'!$E$11+1,1))</f>
        <v>260.74709892624571</v>
      </c>
      <c r="BJ163" s="59">
        <f t="shared" si="146"/>
        <v>237.17381692184887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5.4243914510266729</v>
      </c>
      <c r="BQ163" s="21">
        <f>EXP(-LN(2)/25)*BQ162+(1-EXP(-LN(2)/25))/(LN(2)/25)*Calculateur!BL163*Calculateur!BN163*VLOOKUP('Données projet'!$B$11,Paramètres!$A$1:$I$89,3,0)*0.475*44/12</f>
        <v>8.6105456317249178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14.03493708275159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3.979039320256561E-13</v>
      </c>
      <c r="BZ163" s="13">
        <f>BY163*VLOOKUP('Données projet'!$B$12,Paramètres!$A$1:$I$89,3,0)*VLOOKUP('Données projet'!$B$12,Paramètres!$A$1:$I$89,5,0)</f>
        <v>3.6002347769681362E-13</v>
      </c>
      <c r="CA163" s="13">
        <f t="shared" si="170"/>
        <v>4.6593569189922594E-12</v>
      </c>
      <c r="CB163" s="20">
        <f t="shared" si="171"/>
        <v>8.7420875242334695E-12</v>
      </c>
      <c r="CC163" s="59">
        <f t="shared" si="119"/>
        <v>293.33333333334207</v>
      </c>
      <c r="CD163" s="59">
        <f ca="1">AVERAGE(OFFSET($CC$3,0,0,'Données projet'!$E$12+1,1))-AVERAGE(OFFSET($H$3,0,0,'Données projet'!$E$12+1,1))</f>
        <v>695.0879239758051</v>
      </c>
      <c r="CE163" s="59">
        <f t="shared" si="148"/>
        <v>226.22150997227476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170.85503874793463</v>
      </c>
      <c r="CL163" s="21">
        <f>EXP(-LN(2)/25)*CL162+(1-EXP(-LN(2)/25))/(LN(2)/25)*Calculateur!CG163*Calculateur!CI163*VLOOKUP('Données projet'!$B$12,Paramètres!$A$1:$I$89,3,0)*0.475*44/12</f>
        <v>29.583249935821243</v>
      </c>
      <c r="CM163" s="21">
        <f>EXP(-LN(2)/2)*CM162+(1-EXP(-LN(2)/2))/(LN(2)/2)*CG163*CJ163*VLOOKUP('Données projet'!$B$12,Paramètres!$A$1:$I$89,3,0)*0.475*44/12</f>
        <v>8.0484823564451951</v>
      </c>
      <c r="CN163" s="22">
        <f t="shared" si="172"/>
        <v>208.48677104020106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3.979039320256561E-13</v>
      </c>
      <c r="CU163" s="17">
        <f>CT163*VLOOKUP('Données projet'!$B$13,Paramètres!$A$1:$I$89,3,0)*VLOOKUP('Données projet'!$B$13,Paramètres!$A$1:$I$89,5,0)</f>
        <v>4.0347458707401528E-13</v>
      </c>
      <c r="CV163" s="13">
        <f t="shared" si="173"/>
        <v>5.1528944501892313E-12</v>
      </c>
      <c r="CW163" s="20">
        <f t="shared" si="174"/>
        <v>9.6773427399001538E-12</v>
      </c>
      <c r="CX163" s="59">
        <f t="shared" si="122"/>
        <v>293.33333333334298</v>
      </c>
      <c r="CY163" s="59">
        <f ca="1">AVERAGE(OFFSET($CX$3,0,0,'Données projet'!$E$13+1,1))-AVERAGE(OFFSET($H$3,0,0,'Données projet'!$E$13+1,1))</f>
        <v>773.15074145293738</v>
      </c>
      <c r="CZ163" s="59">
        <f t="shared" si="150"/>
        <v>248.49577986312505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191.47547445889228</v>
      </c>
      <c r="DG163" s="21">
        <f>EXP(-LN(2)/25)*DG162+(1-EXP(-LN(2)/25))/(LN(2)/25)*Calculateur!DB163*Calculateur!DD163*VLOOKUP('Données projet'!$B$13,Paramètres!$A$1:$I$89,3,0)*0.475*44/12</f>
        <v>33.153642169454848</v>
      </c>
      <c r="DH163" s="21">
        <f>EXP(-LN(2)/2)*DH162+(1-EXP(-LN(2)/2))/(LN(2)/2)*DB163*DE163*VLOOKUP('Données projet'!$B$13,Paramètres!$A$1:$I$89,3,0)*0.475*44/12</f>
        <v>9.0198509167058241</v>
      </c>
      <c r="DI163" s="22">
        <f t="shared" si="175"/>
        <v>233.64896754505295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3.4106051316484809E-13</v>
      </c>
      <c r="DP163" s="17">
        <f>DO163*VLOOKUP('Données projet'!$B$14,Paramètres!$A$1:$I$89,3,0)*VLOOKUP('Données projet'!$B$14,Paramètres!$A$1:$I$89,5,0)</f>
        <v>1.5961632016114892E-13</v>
      </c>
      <c r="DQ163" s="13">
        <f t="shared" si="176"/>
        <v>2.2708641912150958E-12</v>
      </c>
      <c r="DR163" s="20">
        <f t="shared" si="177"/>
        <v>4.2330868906469593E-12</v>
      </c>
      <c r="DS163" s="59">
        <f t="shared" si="125"/>
        <v>293.33333333333752</v>
      </c>
      <c r="DT163" s="59">
        <f ca="1">AVERAGE(OFFSET($DS$3,0,0,'Données projet'!$E$14+1,1))-AVERAGE(OFFSET($H$3,0,0,'Données projet'!$E$14+1,1))</f>
        <v>293.15557501692803</v>
      </c>
      <c r="DU163" s="59">
        <f t="shared" si="152"/>
        <v>237.1930412773068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47.792361200333815</v>
      </c>
      <c r="EB163" s="21">
        <f>EXP(-LN(2)/25)*EB162+(1-EXP(-LN(2)/25))/(LN(2)/25)*Calculateur!DW163*Calculateur!DY163*VLOOKUP('Données projet'!$B$14,Paramètres!$A$1:$I$89,3,0)*0.475*44/12</f>
        <v>10.184528682170976</v>
      </c>
      <c r="EC163" s="21">
        <f>EXP(-LN(2)/2)*EC162+(1-EXP(-LN(2)/2))/(LN(2)/2)*DW163*DZ163*VLOOKUP('Données projet'!$B$14,Paramètres!$A$1:$I$89,3,0)*0.475*44/12</f>
        <v>6.6355785493653552E-7</v>
      </c>
      <c r="ED163" s="22">
        <f t="shared" si="178"/>
        <v>57.976890546062648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-1.7053025658242404E-13</v>
      </c>
      <c r="EK163" s="17">
        <f>EJ163*VLOOKUP('Données projet'!$B$15,Paramètres!$A$1:$I$89,3,0)*VLOOKUP('Données projet'!$B$15,Paramètres!$A$1:$I$89,5,0)</f>
        <v>-1.0197709343628959E-13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225.86663363047296</v>
      </c>
      <c r="EP163" s="59">
        <f t="shared" si="154"/>
        <v>258.08349727304397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14.67788649680579</v>
      </c>
      <c r="EW163" s="21">
        <f>EXP(-LN(2)/25)*EW162+(1-EXP(-LN(2)/25))/(LN(2)/25)*Calculateur!ER163*Calculateur!ET163*VLOOKUP('Données projet'!$B$15,Paramètres!$A$1:$I$89,3,0)*0.475*44/12</f>
        <v>2.4694278892603294</v>
      </c>
      <c r="EX163" s="21">
        <f>EXP(-LN(2)/2)*EX162+(1-EXP(-LN(2)/2))/(LN(2)/2)*ER163*EU163*VLOOKUP('Données projet'!$B$15,Paramètres!$A$1:$I$89,3,0)*0.475*44/12</f>
        <v>7.9436770474232885E-14</v>
      </c>
      <c r="EY163" s="22">
        <f t="shared" si="181"/>
        <v>17.147314386066199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388.12151914648013</v>
      </c>
      <c r="T164" s="59">
        <f t="shared" si="142"/>
        <v>481.43684454382793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22.252605465920343</v>
      </c>
      <c r="AA164" s="21">
        <f>EXP(-LN(2)/25)*AA163+(1-EXP(-LN(2)/25))/(LN(2)/25)*Calculateur!V164*Calculateur!X164*VLOOKUP('Données projet'!$B$9,Paramètres!$A$1:$I$89,3,0)*0.475*44/12</f>
        <v>3.355373467574585</v>
      </c>
      <c r="AB164" s="21">
        <f>EXP(-LN(2)/2)*AB163+(1-EXP(-LN(2)/2))/(LN(2)/2)*V164*Y164*VLOOKUP('Données projet'!$B$9,Paramètres!$A$1:$I$89,3,0)*0.475*44/12</f>
        <v>1.2137491736094409E-14</v>
      </c>
      <c r="AC164" s="22">
        <f t="shared" si="163"/>
        <v>25.607978933494937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-1.3596945791505279E-13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349.71285006949597</v>
      </c>
      <c r="AO164" s="59">
        <f t="shared" si="144"/>
        <v>258.51550516456842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30.816305504452949</v>
      </c>
      <c r="AV164" s="21">
        <f>EXP(-LN(2)/25)*AV163+(1-EXP(-LN(2)/25))/(LN(2)/25)*Calculateur!AQ164*Calculateur!AS164*VLOOKUP('Données projet'!$B$10,Paramètres!$A$1:$I$89,3,0)*0.475*44/12</f>
        <v>5.4767881363953697</v>
      </c>
      <c r="AW164" s="21">
        <f>EXP(-LN(2)/2)*AW163+(1-EXP(-LN(2)/2))/(LN(2)/2)*AQ164*AT164*VLOOKUP('Données projet'!$B$10,Paramètres!$A$1:$I$89,3,0)*0.475*44/12</f>
        <v>4.54785710348747E-11</v>
      </c>
      <c r="AX164" s="21">
        <f t="shared" si="166"/>
        <v>36.293093640893801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8.5265128291212022E-14</v>
      </c>
      <c r="BE164" s="13">
        <f>BD164*VLOOKUP('Données projet'!$B$11,Paramètres!$A$1:$I$89,3,0)*VLOOKUP('Données projet'!$B$11,Paramètres!$A$1:$I$89,5,0)</f>
        <v>8.9119112089974823E-14</v>
      </c>
      <c r="BF164" s="13">
        <f t="shared" si="167"/>
        <v>1.3568952080113142E-12</v>
      </c>
      <c r="BG164" s="20">
        <f t="shared" si="168"/>
        <v>2.5184749408430782E-12</v>
      </c>
      <c r="BH164" s="59">
        <f t="shared" si="116"/>
        <v>293.33333333333582</v>
      </c>
      <c r="BI164" s="59">
        <f ca="1">AVERAGE(OFFSET($BH$3,0,0,'Données projet'!$E$11+1,1))-AVERAGE(OFFSET($H$3,0,0,'Données projet'!$E$11+1,1))</f>
        <v>260.74709892624571</v>
      </c>
      <c r="BJ164" s="59">
        <f t="shared" si="146"/>
        <v>237.17381692184887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5.318022443224133</v>
      </c>
      <c r="BQ164" s="21">
        <f>EXP(-LN(2)/25)*BQ163+(1-EXP(-LN(2)/25))/(LN(2)/25)*Calculateur!BL164*Calculateur!BN164*VLOOKUP('Données projet'!$B$11,Paramètres!$A$1:$I$89,3,0)*0.475*44/12</f>
        <v>8.3750898086164849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13.693112251840617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3.979039320256561E-13</v>
      </c>
      <c r="BZ164" s="13">
        <f>BY164*VLOOKUP('Données projet'!$B$12,Paramètres!$A$1:$I$89,3,0)*VLOOKUP('Données projet'!$B$12,Paramètres!$A$1:$I$89,5,0)</f>
        <v>3.6002347769681362E-13</v>
      </c>
      <c r="CA164" s="13">
        <f t="shared" si="170"/>
        <v>4.6593569189922594E-12</v>
      </c>
      <c r="CB164" s="20">
        <f t="shared" si="171"/>
        <v>8.7420875242334695E-12</v>
      </c>
      <c r="CC164" s="59">
        <f t="shared" si="119"/>
        <v>293.33333333334207</v>
      </c>
      <c r="CD164" s="59">
        <f ca="1">AVERAGE(OFFSET($CC$3,0,0,'Données projet'!$E$12+1,1))-AVERAGE(OFFSET($H$3,0,0,'Données projet'!$E$12+1,1))</f>
        <v>695.0879239758051</v>
      </c>
      <c r="CE164" s="59">
        <f t="shared" si="148"/>
        <v>226.22150997227476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167.50467564937125</v>
      </c>
      <c r="CL164" s="21">
        <f>EXP(-LN(2)/25)*CL163+(1-EXP(-LN(2)/25))/(LN(2)/25)*Calculateur!CG164*Calculateur!CI164*VLOOKUP('Données projet'!$B$12,Paramètres!$A$1:$I$89,3,0)*0.475*44/12</f>
        <v>28.774294410610711</v>
      </c>
      <c r="CM164" s="21">
        <f>EXP(-LN(2)/2)*CM163+(1-EXP(-LN(2)/2))/(LN(2)/2)*CG164*CJ164*VLOOKUP('Données projet'!$B$12,Paramètres!$A$1:$I$89,3,0)*0.475*44/12</f>
        <v>5.6911364525026817</v>
      </c>
      <c r="CN164" s="22">
        <f t="shared" si="172"/>
        <v>201.97010651248465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3.979039320256561E-13</v>
      </c>
      <c r="CU164" s="17">
        <f>CT164*VLOOKUP('Données projet'!$B$13,Paramètres!$A$1:$I$89,3,0)*VLOOKUP('Données projet'!$B$13,Paramètres!$A$1:$I$89,5,0)</f>
        <v>4.0347458707401528E-13</v>
      </c>
      <c r="CV164" s="13">
        <f t="shared" si="173"/>
        <v>5.1528944501892313E-12</v>
      </c>
      <c r="CW164" s="20">
        <f t="shared" si="174"/>
        <v>9.6773427399001538E-12</v>
      </c>
      <c r="CX164" s="59">
        <f t="shared" si="122"/>
        <v>293.33333333334298</v>
      </c>
      <c r="CY164" s="59">
        <f ca="1">AVERAGE(OFFSET($CX$3,0,0,'Données projet'!$E$13+1,1))-AVERAGE(OFFSET($H$3,0,0,'Données projet'!$E$13+1,1))</f>
        <v>773.15074145293738</v>
      </c>
      <c r="CZ164" s="59">
        <f t="shared" si="150"/>
        <v>248.49577986312505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187.72075719326091</v>
      </c>
      <c r="DG164" s="21">
        <f>EXP(-LN(2)/25)*DG163+(1-EXP(-LN(2)/25))/(LN(2)/25)*Calculateur!DB164*Calculateur!DD164*VLOOKUP('Données projet'!$B$13,Paramètres!$A$1:$I$89,3,0)*0.475*44/12</f>
        <v>32.247054080856834</v>
      </c>
      <c r="DH164" s="21">
        <f>EXP(-LN(2)/2)*DH163+(1-EXP(-LN(2)/2))/(LN(2)/2)*DB164*DE164*VLOOKUP('Données projet'!$B$13,Paramètres!$A$1:$I$89,3,0)*0.475*44/12</f>
        <v>6.3779977484943853</v>
      </c>
      <c r="DI164" s="22">
        <f t="shared" si="175"/>
        <v>226.34580902261212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3.4106051316484809E-13</v>
      </c>
      <c r="DP164" s="17">
        <f>DO164*VLOOKUP('Données projet'!$B$14,Paramètres!$A$1:$I$89,3,0)*VLOOKUP('Données projet'!$B$14,Paramètres!$A$1:$I$89,5,0)</f>
        <v>1.5961632016114892E-13</v>
      </c>
      <c r="DQ164" s="13">
        <f t="shared" si="176"/>
        <v>2.2708641912150958E-12</v>
      </c>
      <c r="DR164" s="20">
        <f t="shared" si="177"/>
        <v>4.2330868906469593E-12</v>
      </c>
      <c r="DS164" s="59">
        <f t="shared" si="125"/>
        <v>293.33333333333752</v>
      </c>
      <c r="DT164" s="59">
        <f ca="1">AVERAGE(OFFSET($DS$3,0,0,'Données projet'!$E$14+1,1))-AVERAGE(OFFSET($H$3,0,0,'Données projet'!$E$14+1,1))</f>
        <v>293.15557501692803</v>
      </c>
      <c r="DU164" s="59">
        <f t="shared" si="152"/>
        <v>237.1930412773068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46.855182147657231</v>
      </c>
      <c r="EB164" s="21">
        <f>EXP(-LN(2)/25)*EB163+(1-EXP(-LN(2)/25))/(LN(2)/25)*Calculateur!DW164*Calculateur!DY164*VLOOKUP('Données projet'!$B$14,Paramètres!$A$1:$I$89,3,0)*0.475*44/12</f>
        <v>9.9060322097759244</v>
      </c>
      <c r="EC164" s="21">
        <f>EXP(-LN(2)/2)*EC163+(1-EXP(-LN(2)/2))/(LN(2)/2)*DW164*DZ164*VLOOKUP('Données projet'!$B$14,Paramètres!$A$1:$I$89,3,0)*0.475*44/12</f>
        <v>4.6920625893522372E-7</v>
      </c>
      <c r="ED164" s="22">
        <f t="shared" si="178"/>
        <v>56.76121482663941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-1.7053025658242404E-13</v>
      </c>
      <c r="EK164" s="17">
        <f>EJ164*VLOOKUP('Données projet'!$B$15,Paramètres!$A$1:$I$89,3,0)*VLOOKUP('Données projet'!$B$15,Paramètres!$A$1:$I$89,5,0)</f>
        <v>-1.0197709343628959E-13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225.86663363047296</v>
      </c>
      <c r="EP164" s="59">
        <f t="shared" si="154"/>
        <v>258.08349727304397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14.390062095230194</v>
      </c>
      <c r="EW164" s="21">
        <f>EXP(-LN(2)/25)*EW163+(1-EXP(-LN(2)/25))/(LN(2)/25)*Calculateur!ER164*Calculateur!ET164*VLOOKUP('Données projet'!$B$15,Paramètres!$A$1:$I$89,3,0)*0.475*44/12</f>
        <v>2.4019012537669369</v>
      </c>
      <c r="EX164" s="21">
        <f>EXP(-LN(2)/2)*EX163+(1-EXP(-LN(2)/2))/(LN(2)/2)*ER164*EU164*VLOOKUP('Données projet'!$B$15,Paramètres!$A$1:$I$89,3,0)*0.475*44/12</f>
        <v>5.6170279077889395E-14</v>
      </c>
      <c r="EY164" s="22">
        <f t="shared" si="181"/>
        <v>16.791963348997186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388.12151914648013</v>
      </c>
      <c r="T165" s="59">
        <f t="shared" si="142"/>
        <v>481.43684454382793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21.816245445482782</v>
      </c>
      <c r="AA165" s="21">
        <f>EXP(-LN(2)/25)*AA164+(1-EXP(-LN(2)/25))/(LN(2)/25)*Calculateur!V165*Calculateur!X165*VLOOKUP('Données projet'!$B$9,Paramètres!$A$1:$I$89,3,0)*0.475*44/12</f>
        <v>3.2636206036523361</v>
      </c>
      <c r="AB165" s="21">
        <f>EXP(-LN(2)/2)*AB164+(1-EXP(-LN(2)/2))/(LN(2)/2)*V165*Y165*VLOOKUP('Données projet'!$B$9,Paramètres!$A$1:$I$89,3,0)*0.475*44/12</f>
        <v>8.5825027131880382E-15</v>
      </c>
      <c r="AC165" s="22">
        <f t="shared" si="163"/>
        <v>25.079866049135124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-1.3596945791505279E-13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349.71285006949597</v>
      </c>
      <c r="AO165" s="59">
        <f t="shared" si="144"/>
        <v>258.51550516456842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30.212016549601024</v>
      </c>
      <c r="AV165" s="21">
        <f>EXP(-LN(2)/25)*AV164+(1-EXP(-LN(2)/25))/(LN(2)/25)*Calculateur!AQ165*Calculateur!AS165*VLOOKUP('Données projet'!$B$10,Paramètres!$A$1:$I$89,3,0)*0.475*44/12</f>
        <v>5.3270250767938672</v>
      </c>
      <c r="AW165" s="21">
        <f>EXP(-LN(2)/2)*AW164+(1-EXP(-LN(2)/2))/(LN(2)/2)*AQ165*AT165*VLOOKUP('Données projet'!$B$10,Paramètres!$A$1:$I$89,3,0)*0.475*44/12</f>
        <v>3.2158205977434003E-11</v>
      </c>
      <c r="AX165" s="21">
        <f t="shared" si="166"/>
        <v>35.53904162642705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8.5265128291212022E-14</v>
      </c>
      <c r="BE165" s="13">
        <f>BD165*VLOOKUP('Données projet'!$B$11,Paramètres!$A$1:$I$89,3,0)*VLOOKUP('Données projet'!$B$11,Paramètres!$A$1:$I$89,5,0)</f>
        <v>8.9119112089974823E-14</v>
      </c>
      <c r="BF165" s="13">
        <f t="shared" si="167"/>
        <v>1.3568952080113142E-12</v>
      </c>
      <c r="BG165" s="20">
        <f t="shared" si="168"/>
        <v>2.5184749408430782E-12</v>
      </c>
      <c r="BH165" s="59">
        <f t="shared" si="116"/>
        <v>293.33333333333582</v>
      </c>
      <c r="BI165" s="59">
        <f ca="1">AVERAGE(OFFSET($BH$3,0,0,'Données projet'!$E$11+1,1))-AVERAGE(OFFSET($H$3,0,0,'Données projet'!$E$11+1,1))</f>
        <v>260.74709892624571</v>
      </c>
      <c r="BJ165" s="59">
        <f t="shared" si="146"/>
        <v>237.17381692184887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5.2137392667859119</v>
      </c>
      <c r="BQ165" s="21">
        <f>EXP(-LN(2)/25)*BQ164+(1-EXP(-LN(2)/25))/(LN(2)/25)*Calculateur!BL165*Calculateur!BN165*VLOOKUP('Données projet'!$B$11,Paramètres!$A$1:$I$89,3,0)*0.475*44/12</f>
        <v>8.1460725373730352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13.359811804158948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3.979039320256561E-13</v>
      </c>
      <c r="BZ165" s="13">
        <f>BY165*VLOOKUP('Données projet'!$B$12,Paramètres!$A$1:$I$89,3,0)*VLOOKUP('Données projet'!$B$12,Paramètres!$A$1:$I$89,5,0)</f>
        <v>3.6002347769681362E-13</v>
      </c>
      <c r="CA165" s="13">
        <f t="shared" si="170"/>
        <v>4.6593569189922594E-12</v>
      </c>
      <c r="CB165" s="20">
        <f t="shared" si="171"/>
        <v>8.7420875242334695E-12</v>
      </c>
      <c r="CC165" s="59">
        <f t="shared" si="119"/>
        <v>293.33333333334207</v>
      </c>
      <c r="CD165" s="59">
        <f ca="1">AVERAGE(OFFSET($CC$3,0,0,'Données projet'!$E$12+1,1))-AVERAGE(OFFSET($H$3,0,0,'Données projet'!$E$12+1,1))</f>
        <v>695.0879239758051</v>
      </c>
      <c r="CE165" s="59">
        <f t="shared" si="148"/>
        <v>226.22150997227476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164.22001112765099</v>
      </c>
      <c r="CL165" s="21">
        <f>EXP(-LN(2)/25)*CL164+(1-EXP(-LN(2)/25))/(LN(2)/25)*Calculateur!CG165*Calculateur!CI165*VLOOKUP('Données projet'!$B$12,Paramètres!$A$1:$I$89,3,0)*0.475*44/12</f>
        <v>27.987459816778184</v>
      </c>
      <c r="CM165" s="21">
        <f>EXP(-LN(2)/2)*CM164+(1-EXP(-LN(2)/2))/(LN(2)/2)*CG165*CJ165*VLOOKUP('Données projet'!$B$12,Paramètres!$A$1:$I$89,3,0)*0.475*44/12</f>
        <v>4.0242411782225984</v>
      </c>
      <c r="CN165" s="22">
        <f t="shared" si="172"/>
        <v>196.2317121226518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3.979039320256561E-13</v>
      </c>
      <c r="CU165" s="17">
        <f>CT165*VLOOKUP('Données projet'!$B$13,Paramètres!$A$1:$I$89,3,0)*VLOOKUP('Données projet'!$B$13,Paramètres!$A$1:$I$89,5,0)</f>
        <v>4.0347458707401528E-13</v>
      </c>
      <c r="CV165" s="13">
        <f t="shared" si="173"/>
        <v>5.1528944501892313E-12</v>
      </c>
      <c r="CW165" s="20">
        <f t="shared" si="174"/>
        <v>9.6773427399001538E-12</v>
      </c>
      <c r="CX165" s="59">
        <f t="shared" si="122"/>
        <v>293.33333333334298</v>
      </c>
      <c r="CY165" s="59">
        <f ca="1">AVERAGE(OFFSET($CX$3,0,0,'Données projet'!$E$13+1,1))-AVERAGE(OFFSET($H$3,0,0,'Données projet'!$E$13+1,1))</f>
        <v>773.15074145293738</v>
      </c>
      <c r="CZ165" s="59">
        <f t="shared" si="150"/>
        <v>248.49577986312505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184.03966764305719</v>
      </c>
      <c r="DG165" s="21">
        <f>EXP(-LN(2)/25)*DG164+(1-EXP(-LN(2)/25))/(LN(2)/25)*Calculateur!DB165*Calculateur!DD165*VLOOKUP('Données projet'!$B$13,Paramètres!$A$1:$I$89,3,0)*0.475*44/12</f>
        <v>31.365256691216931</v>
      </c>
      <c r="DH165" s="21">
        <f>EXP(-LN(2)/2)*DH164+(1-EXP(-LN(2)/2))/(LN(2)/2)*DB165*DE165*VLOOKUP('Données projet'!$B$13,Paramètres!$A$1:$I$89,3,0)*0.475*44/12</f>
        <v>4.509925458352912</v>
      </c>
      <c r="DI165" s="22">
        <f t="shared" si="175"/>
        <v>219.91484979262702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3.4106051316484809E-13</v>
      </c>
      <c r="DP165" s="17">
        <f>DO165*VLOOKUP('Données projet'!$B$14,Paramètres!$A$1:$I$89,3,0)*VLOOKUP('Données projet'!$B$14,Paramètres!$A$1:$I$89,5,0)</f>
        <v>1.5961632016114892E-13</v>
      </c>
      <c r="DQ165" s="13">
        <f t="shared" si="176"/>
        <v>2.2708641912150958E-12</v>
      </c>
      <c r="DR165" s="20">
        <f t="shared" si="177"/>
        <v>4.2330868906469593E-12</v>
      </c>
      <c r="DS165" s="59">
        <f t="shared" si="125"/>
        <v>293.33333333333752</v>
      </c>
      <c r="DT165" s="59">
        <f ca="1">AVERAGE(OFFSET($DS$3,0,0,'Données projet'!$E$14+1,1))-AVERAGE(OFFSET($H$3,0,0,'Données projet'!$E$14+1,1))</f>
        <v>293.15557501692803</v>
      </c>
      <c r="DU165" s="59">
        <f t="shared" si="152"/>
        <v>237.1930412773068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45.936380604580854</v>
      </c>
      <c r="EB165" s="21">
        <f>EXP(-LN(2)/25)*EB164+(1-EXP(-LN(2)/25))/(LN(2)/25)*Calculateur!DW165*Calculateur!DY165*VLOOKUP('Données projet'!$B$14,Paramètres!$A$1:$I$89,3,0)*0.475*44/12</f>
        <v>9.6351512380640081</v>
      </c>
      <c r="EC165" s="21">
        <f>EXP(-LN(2)/2)*EC164+(1-EXP(-LN(2)/2))/(LN(2)/2)*DW165*DZ165*VLOOKUP('Données projet'!$B$14,Paramètres!$A$1:$I$89,3,0)*0.475*44/12</f>
        <v>3.3177892746826781E-7</v>
      </c>
      <c r="ED165" s="22">
        <f t="shared" si="178"/>
        <v>55.571532174423787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-1.7053025658242404E-13</v>
      </c>
      <c r="EK165" s="17">
        <f>EJ165*VLOOKUP('Données projet'!$B$15,Paramètres!$A$1:$I$89,3,0)*VLOOKUP('Données projet'!$B$15,Paramètres!$A$1:$I$89,5,0)</f>
        <v>-1.0197709343628959E-13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225.86663363047296</v>
      </c>
      <c r="EP165" s="59">
        <f t="shared" si="154"/>
        <v>258.08349727304397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14.107881754613944</v>
      </c>
      <c r="EW165" s="21">
        <f>EXP(-LN(2)/25)*EW164+(1-EXP(-LN(2)/25))/(LN(2)/25)*Calculateur!ER165*Calculateur!ET165*VLOOKUP('Données projet'!$B$15,Paramètres!$A$1:$I$89,3,0)*0.475*44/12</f>
        <v>2.3362211376721826</v>
      </c>
      <c r="EX165" s="21">
        <f>EXP(-LN(2)/2)*EX164+(1-EXP(-LN(2)/2))/(LN(2)/2)*ER165*EU165*VLOOKUP('Données projet'!$B$15,Paramètres!$A$1:$I$89,3,0)*0.475*44/12</f>
        <v>3.9718385237116449E-14</v>
      </c>
      <c r="EY165" s="22">
        <f t="shared" si="181"/>
        <v>16.444102892286164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388.12151914648013</v>
      </c>
      <c r="T166" s="59">
        <f t="shared" si="142"/>
        <v>481.43684454382793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21.388442178892667</v>
      </c>
      <c r="AA166" s="21">
        <f>EXP(-LN(2)/25)*AA165+(1-EXP(-LN(2)/25))/(LN(2)/25)*Calculateur!V166*Calculateur!X166*VLOOKUP('Données projet'!$B$9,Paramètres!$A$1:$I$89,3,0)*0.475*44/12</f>
        <v>3.1743767266191143</v>
      </c>
      <c r="AB166" s="21">
        <f>EXP(-LN(2)/2)*AB165+(1-EXP(-LN(2)/2))/(LN(2)/2)*V166*Y166*VLOOKUP('Données projet'!$B$9,Paramètres!$A$1:$I$89,3,0)*0.475*44/12</f>
        <v>6.0687458680472046E-15</v>
      </c>
      <c r="AC166" s="22">
        <f t="shared" si="163"/>
        <v>24.56281890551179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-1.3596945791505279E-13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349.71285006949597</v>
      </c>
      <c r="AO166" s="59">
        <f t="shared" si="144"/>
        <v>258.51550516456842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29.619577332573879</v>
      </c>
      <c r="AV166" s="21">
        <f>EXP(-LN(2)/25)*AV165+(1-EXP(-LN(2)/25))/(LN(2)/25)*Calculateur!AQ166*Calculateur!AS166*VLOOKUP('Données projet'!$B$10,Paramètres!$A$1:$I$89,3,0)*0.475*44/12</f>
        <v>5.1813572959328651</v>
      </c>
      <c r="AW166" s="21">
        <f>EXP(-LN(2)/2)*AW165+(1-EXP(-LN(2)/2))/(LN(2)/2)*AQ166*AT166*VLOOKUP('Données projet'!$B$10,Paramètres!$A$1:$I$89,3,0)*0.475*44/12</f>
        <v>2.273928551743735E-11</v>
      </c>
      <c r="AX166" s="21">
        <f t="shared" si="166"/>
        <v>34.800934628529482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8.5265128291212022E-14</v>
      </c>
      <c r="BE166" s="13">
        <f>BD166*VLOOKUP('Données projet'!$B$11,Paramètres!$A$1:$I$89,3,0)*VLOOKUP('Données projet'!$B$11,Paramètres!$A$1:$I$89,5,0)</f>
        <v>8.9119112089974823E-14</v>
      </c>
      <c r="BF166" s="13">
        <f t="shared" si="167"/>
        <v>1.3568952080113142E-12</v>
      </c>
      <c r="BG166" s="20">
        <f t="shared" si="168"/>
        <v>2.5184749408430782E-12</v>
      </c>
      <c r="BH166" s="59">
        <f t="shared" si="116"/>
        <v>293.33333333333582</v>
      </c>
      <c r="BI166" s="59">
        <f ca="1">AVERAGE(OFFSET($BH$3,0,0,'Données projet'!$E$11+1,1))-AVERAGE(OFFSET($H$3,0,0,'Données projet'!$E$11+1,1))</f>
        <v>260.74709892624571</v>
      </c>
      <c r="BJ166" s="59">
        <f t="shared" si="146"/>
        <v>237.17381692184887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5.111501019831187</v>
      </c>
      <c r="BQ166" s="21">
        <f>EXP(-LN(2)/25)*BQ165+(1-EXP(-LN(2)/25))/(LN(2)/25)*Calculateur!BL166*Calculateur!BN166*VLOOKUP('Données projet'!$B$11,Paramètres!$A$1:$I$89,3,0)*0.475*44/12</f>
        <v>7.9233177554552325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13.03481877528642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3.979039320256561E-13</v>
      </c>
      <c r="BZ166" s="13">
        <f>BY166*VLOOKUP('Données projet'!$B$12,Paramètres!$A$1:$I$89,3,0)*VLOOKUP('Données projet'!$B$12,Paramètres!$A$1:$I$89,5,0)</f>
        <v>3.6002347769681362E-13</v>
      </c>
      <c r="CA166" s="13">
        <f t="shared" si="170"/>
        <v>4.6593569189922594E-12</v>
      </c>
      <c r="CB166" s="20">
        <f t="shared" si="171"/>
        <v>8.7420875242334695E-12</v>
      </c>
      <c r="CC166" s="59">
        <f t="shared" si="119"/>
        <v>293.33333333334207</v>
      </c>
      <c r="CD166" s="59">
        <f ca="1">AVERAGE(OFFSET($CC$3,0,0,'Données projet'!$E$12+1,1))-AVERAGE(OFFSET($H$3,0,0,'Données projet'!$E$12+1,1))</f>
        <v>695.0879239758051</v>
      </c>
      <c r="CE166" s="59">
        <f t="shared" si="148"/>
        <v>226.22150997227476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160.99975687375414</v>
      </c>
      <c r="CL166" s="21">
        <f>EXP(-LN(2)/25)*CL165+(1-EXP(-LN(2)/25))/(LN(2)/25)*Calculateur!CG166*Calculateur!CI166*VLOOKUP('Données projet'!$B$12,Paramètres!$A$1:$I$89,3,0)*0.475*44/12</f>
        <v>27.222141256291838</v>
      </c>
      <c r="CM166" s="21">
        <f>EXP(-LN(2)/2)*CM165+(1-EXP(-LN(2)/2))/(LN(2)/2)*CG166*CJ166*VLOOKUP('Données projet'!$B$12,Paramètres!$A$1:$I$89,3,0)*0.475*44/12</f>
        <v>2.8455682262513413</v>
      </c>
      <c r="CN166" s="22">
        <f t="shared" si="172"/>
        <v>191.06746635629733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3.979039320256561E-13</v>
      </c>
      <c r="CU166" s="17">
        <f>CT166*VLOOKUP('Données projet'!$B$13,Paramètres!$A$1:$I$89,3,0)*VLOOKUP('Données projet'!$B$13,Paramètres!$A$1:$I$89,5,0)</f>
        <v>4.0347458707401528E-13</v>
      </c>
      <c r="CV166" s="13">
        <f t="shared" si="173"/>
        <v>5.1528944501892313E-12</v>
      </c>
      <c r="CW166" s="20">
        <f t="shared" si="174"/>
        <v>9.6773427399001538E-12</v>
      </c>
      <c r="CX166" s="59">
        <f t="shared" si="122"/>
        <v>293.33333333334298</v>
      </c>
      <c r="CY166" s="59">
        <f ca="1">AVERAGE(OFFSET($CX$3,0,0,'Données projet'!$E$13+1,1))-AVERAGE(OFFSET($H$3,0,0,'Données projet'!$E$13+1,1))</f>
        <v>773.15074145293738</v>
      </c>
      <c r="CZ166" s="59">
        <f t="shared" si="150"/>
        <v>248.49577986312505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180.43076201369001</v>
      </c>
      <c r="DG166" s="21">
        <f>EXP(-LN(2)/25)*DG165+(1-EXP(-LN(2)/25))/(LN(2)/25)*Calculateur!DB166*Calculateur!DD166*VLOOKUP('Données projet'!$B$13,Paramètres!$A$1:$I$89,3,0)*0.475*44/12</f>
        <v>30.507572097568442</v>
      </c>
      <c r="DH166" s="21">
        <f>EXP(-LN(2)/2)*DH165+(1-EXP(-LN(2)/2))/(LN(2)/2)*DB166*DE166*VLOOKUP('Données projet'!$B$13,Paramètres!$A$1:$I$89,3,0)*0.475*44/12</f>
        <v>3.1889988742471926</v>
      </c>
      <c r="DI166" s="22">
        <f t="shared" si="175"/>
        <v>214.12733298550566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3.4106051316484809E-13</v>
      </c>
      <c r="DP166" s="17">
        <f>DO166*VLOOKUP('Données projet'!$B$14,Paramètres!$A$1:$I$89,3,0)*VLOOKUP('Données projet'!$B$14,Paramètres!$A$1:$I$89,5,0)</f>
        <v>1.5961632016114892E-13</v>
      </c>
      <c r="DQ166" s="13">
        <f t="shared" si="176"/>
        <v>2.2708641912150958E-12</v>
      </c>
      <c r="DR166" s="20">
        <f t="shared" si="177"/>
        <v>4.2330868906469593E-12</v>
      </c>
      <c r="DS166" s="59">
        <f t="shared" si="125"/>
        <v>293.33333333333752</v>
      </c>
      <c r="DT166" s="59">
        <f ca="1">AVERAGE(OFFSET($DS$3,0,0,'Données projet'!$E$14+1,1))-AVERAGE(OFFSET($H$3,0,0,'Données projet'!$E$14+1,1))</f>
        <v>293.15557501692803</v>
      </c>
      <c r="DU166" s="59">
        <f t="shared" si="152"/>
        <v>237.1930412773068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45.0355961993506</v>
      </c>
      <c r="EB166" s="21">
        <f>EXP(-LN(2)/25)*EB165+(1-EXP(-LN(2)/25))/(LN(2)/25)*Calculateur!DW166*Calculateur!DY166*VLOOKUP('Données projet'!$B$14,Paramètres!$A$1:$I$89,3,0)*0.475*44/12</f>
        <v>9.3716775207685661</v>
      </c>
      <c r="EC166" s="21">
        <f>EXP(-LN(2)/2)*EC165+(1-EXP(-LN(2)/2))/(LN(2)/2)*DW166*DZ166*VLOOKUP('Données projet'!$B$14,Paramètres!$A$1:$I$89,3,0)*0.475*44/12</f>
        <v>2.3460312946761189E-7</v>
      </c>
      <c r="ED166" s="22">
        <f t="shared" si="178"/>
        <v>54.407273954722292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-1.7053025658242404E-13</v>
      </c>
      <c r="EK166" s="17">
        <f>EJ166*VLOOKUP('Données projet'!$B$15,Paramètres!$A$1:$I$89,3,0)*VLOOKUP('Données projet'!$B$15,Paramètres!$A$1:$I$89,5,0)</f>
        <v>-1.0197709343628959E-13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225.86663363047296</v>
      </c>
      <c r="EP166" s="59">
        <f t="shared" si="154"/>
        <v>258.08349727304397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13.831234798364166</v>
      </c>
      <c r="EW166" s="21">
        <f>EXP(-LN(2)/25)*EW165+(1-EXP(-LN(2)/25))/(LN(2)/25)*Calculateur!ER166*Calculateur!ET166*VLOOKUP('Données projet'!$B$15,Paramètres!$A$1:$I$89,3,0)*0.475*44/12</f>
        <v>2.2723370478060065</v>
      </c>
      <c r="EX166" s="21">
        <f>EXP(-LN(2)/2)*EX165+(1-EXP(-LN(2)/2))/(LN(2)/2)*ER166*EU166*VLOOKUP('Données projet'!$B$15,Paramètres!$A$1:$I$89,3,0)*0.475*44/12</f>
        <v>2.8085139538944701E-14</v>
      </c>
      <c r="EY166" s="22">
        <f t="shared" si="181"/>
        <v>16.103571846170201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388.12151914648013</v>
      </c>
      <c r="T167" s="59">
        <f t="shared" si="142"/>
        <v>481.43684454382793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20.96902787342616</v>
      </c>
      <c r="AA167" s="21">
        <f>EXP(-LN(2)/25)*AA166+(1-EXP(-LN(2)/25))/(LN(2)/25)*Calculateur!V167*Calculateur!X167*VLOOKUP('Données projet'!$B$9,Paramètres!$A$1:$I$89,3,0)*0.475*44/12</f>
        <v>3.0875732280964976</v>
      </c>
      <c r="AB167" s="21">
        <f>EXP(-LN(2)/2)*AB166+(1-EXP(-LN(2)/2))/(LN(2)/2)*V167*Y167*VLOOKUP('Données projet'!$B$9,Paramètres!$A$1:$I$89,3,0)*0.475*44/12</f>
        <v>4.2912513565940191E-15</v>
      </c>
      <c r="AC167" s="22">
        <f t="shared" si="163"/>
        <v>24.056601101522663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-1.3596945791505279E-13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349.71285006949597</v>
      </c>
      <c r="AO167" s="59">
        <f t="shared" si="144"/>
        <v>258.51550516456842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29.038755487240394</v>
      </c>
      <c r="AV167" s="21">
        <f>EXP(-LN(2)/25)*AV166+(1-EXP(-LN(2)/25))/(LN(2)/25)*Calculateur!AQ167*Calculateur!AS167*VLOOKUP('Données projet'!$B$10,Paramètres!$A$1:$I$89,3,0)*0.475*44/12</f>
        <v>5.0396728081998425</v>
      </c>
      <c r="AW167" s="21">
        <f>EXP(-LN(2)/2)*AW166+(1-EXP(-LN(2)/2))/(LN(2)/2)*AQ167*AT167*VLOOKUP('Données projet'!$B$10,Paramètres!$A$1:$I$89,3,0)*0.475*44/12</f>
        <v>1.6079102988717001E-11</v>
      </c>
      <c r="AX167" s="21">
        <f t="shared" si="166"/>
        <v>34.078428295456312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8.5265128291212022E-14</v>
      </c>
      <c r="BE167" s="13">
        <f>BD167*VLOOKUP('Données projet'!$B$11,Paramètres!$A$1:$I$89,3,0)*VLOOKUP('Données projet'!$B$11,Paramètres!$A$1:$I$89,5,0)</f>
        <v>8.9119112089974823E-14</v>
      </c>
      <c r="BF167" s="13">
        <f t="shared" si="167"/>
        <v>1.3568952080113142E-12</v>
      </c>
      <c r="BG167" s="20">
        <f t="shared" si="168"/>
        <v>2.5184749408430782E-12</v>
      </c>
      <c r="BH167" s="59">
        <f t="shared" si="116"/>
        <v>293.33333333333582</v>
      </c>
      <c r="BI167" s="59">
        <f ca="1">AVERAGE(OFFSET($BH$3,0,0,'Données projet'!$E$11+1,1))-AVERAGE(OFFSET($H$3,0,0,'Données projet'!$E$11+1,1))</f>
        <v>260.74709892624571</v>
      </c>
      <c r="BJ167" s="59">
        <f t="shared" si="146"/>
        <v>237.17381692184887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5.0112676025400713</v>
      </c>
      <c r="BQ167" s="21">
        <f>EXP(-LN(2)/25)*BQ166+(1-EXP(-LN(2)/25))/(LN(2)/25)*Calculateur!BL167*Calculateur!BN167*VLOOKUP('Données projet'!$B$11,Paramètres!$A$1:$I$89,3,0)*0.475*44/12</f>
        <v>7.7066542147631374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12.717921817303209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3.979039320256561E-13</v>
      </c>
      <c r="BZ167" s="13">
        <f>BY167*VLOOKUP('Données projet'!$B$12,Paramètres!$A$1:$I$89,3,0)*VLOOKUP('Données projet'!$B$12,Paramètres!$A$1:$I$89,5,0)</f>
        <v>3.6002347769681362E-13</v>
      </c>
      <c r="CA167" s="13">
        <f t="shared" si="170"/>
        <v>4.6593569189922594E-12</v>
      </c>
      <c r="CB167" s="20">
        <f t="shared" si="171"/>
        <v>8.7420875242334695E-12</v>
      </c>
      <c r="CC167" s="59">
        <f t="shared" si="119"/>
        <v>293.33333333334207</v>
      </c>
      <c r="CD167" s="59">
        <f ca="1">AVERAGE(OFFSET($CC$3,0,0,'Données projet'!$E$12+1,1))-AVERAGE(OFFSET($H$3,0,0,'Données projet'!$E$12+1,1))</f>
        <v>695.0879239758051</v>
      </c>
      <c r="CE167" s="59">
        <f t="shared" si="148"/>
        <v>226.22150997227476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157.84264984161504</v>
      </c>
      <c r="CL167" s="21">
        <f>EXP(-LN(2)/25)*CL166+(1-EXP(-LN(2)/25))/(LN(2)/25)*Calculateur!CG167*Calculateur!CI167*VLOOKUP('Données projet'!$B$12,Paramètres!$A$1:$I$89,3,0)*0.475*44/12</f>
        <v>26.477750372088344</v>
      </c>
      <c r="CM167" s="21">
        <f>EXP(-LN(2)/2)*CM166+(1-EXP(-LN(2)/2))/(LN(2)/2)*CG167*CJ167*VLOOKUP('Données projet'!$B$12,Paramètres!$A$1:$I$89,3,0)*0.475*44/12</f>
        <v>2.0121205891112997</v>
      </c>
      <c r="CN167" s="22">
        <f t="shared" si="172"/>
        <v>186.33252080281468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3.979039320256561E-13</v>
      </c>
      <c r="CU167" s="17">
        <f>CT167*VLOOKUP('Données projet'!$B$13,Paramètres!$A$1:$I$89,3,0)*VLOOKUP('Données projet'!$B$13,Paramètres!$A$1:$I$89,5,0)</f>
        <v>4.0347458707401528E-13</v>
      </c>
      <c r="CV167" s="13">
        <f t="shared" si="173"/>
        <v>5.1528944501892313E-12</v>
      </c>
      <c r="CW167" s="20">
        <f t="shared" si="174"/>
        <v>9.6773427399001538E-12</v>
      </c>
      <c r="CX167" s="59">
        <f t="shared" si="122"/>
        <v>293.33333333334298</v>
      </c>
      <c r="CY167" s="59">
        <f ca="1">AVERAGE(OFFSET($CX$3,0,0,'Données projet'!$E$13+1,1))-AVERAGE(OFFSET($H$3,0,0,'Données projet'!$E$13+1,1))</f>
        <v>773.15074145293738</v>
      </c>
      <c r="CZ167" s="59">
        <f t="shared" si="150"/>
        <v>248.49577986312505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176.89262482249967</v>
      </c>
      <c r="DG167" s="21">
        <f>EXP(-LN(2)/25)*DG166+(1-EXP(-LN(2)/25))/(LN(2)/25)*Calculateur!DB167*Calculateur!DD167*VLOOKUP('Données projet'!$B$13,Paramètres!$A$1:$I$89,3,0)*0.475*44/12</f>
        <v>29.673340934236943</v>
      </c>
      <c r="DH167" s="21">
        <f>EXP(-LN(2)/2)*DH166+(1-EXP(-LN(2)/2))/(LN(2)/2)*DB167*DE167*VLOOKUP('Données projet'!$B$13,Paramètres!$A$1:$I$89,3,0)*0.475*44/12</f>
        <v>2.254962729176456</v>
      </c>
      <c r="DI167" s="22">
        <f t="shared" si="175"/>
        <v>208.82092848591307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3.4106051316484809E-13</v>
      </c>
      <c r="DP167" s="17">
        <f>DO167*VLOOKUP('Données projet'!$B$14,Paramètres!$A$1:$I$89,3,0)*VLOOKUP('Données projet'!$B$14,Paramètres!$A$1:$I$89,5,0)</f>
        <v>1.5961632016114892E-13</v>
      </c>
      <c r="DQ167" s="13">
        <f t="shared" si="176"/>
        <v>2.2708641912150958E-12</v>
      </c>
      <c r="DR167" s="20">
        <f t="shared" si="177"/>
        <v>4.2330868906469593E-12</v>
      </c>
      <c r="DS167" s="59">
        <f t="shared" si="125"/>
        <v>293.33333333333752</v>
      </c>
      <c r="DT167" s="59">
        <f ca="1">AVERAGE(OFFSET($DS$3,0,0,'Données projet'!$E$14+1,1))-AVERAGE(OFFSET($H$3,0,0,'Données projet'!$E$14+1,1))</f>
        <v>293.15557501692803</v>
      </c>
      <c r="DU167" s="59">
        <f t="shared" si="152"/>
        <v>237.1930412773068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44.152475626882676</v>
      </c>
      <c r="EB167" s="21">
        <f>EXP(-LN(2)/25)*EB166+(1-EXP(-LN(2)/25))/(LN(2)/25)*Calculateur!DW167*Calculateur!DY167*VLOOKUP('Données projet'!$B$14,Paramètres!$A$1:$I$89,3,0)*0.475*44/12</f>
        <v>9.1154085061280483</v>
      </c>
      <c r="EC167" s="21">
        <f>EXP(-LN(2)/2)*EC166+(1-EXP(-LN(2)/2))/(LN(2)/2)*DW167*DZ167*VLOOKUP('Données projet'!$B$14,Paramètres!$A$1:$I$89,3,0)*0.475*44/12</f>
        <v>1.6588946373413393E-7</v>
      </c>
      <c r="ED167" s="22">
        <f t="shared" si="178"/>
        <v>53.267884298900185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-1.7053025658242404E-13</v>
      </c>
      <c r="EK167" s="17">
        <f>EJ167*VLOOKUP('Données projet'!$B$15,Paramètres!$A$1:$I$89,3,0)*VLOOKUP('Données projet'!$B$15,Paramètres!$A$1:$I$89,5,0)</f>
        <v>-1.0197709343628959E-13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225.86663363047296</v>
      </c>
      <c r="EP167" s="59">
        <f t="shared" si="154"/>
        <v>258.08349727304397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13.560012720188464</v>
      </c>
      <c r="EW167" s="21">
        <f>EXP(-LN(2)/25)*EW166+(1-EXP(-LN(2)/25))/(LN(2)/25)*Calculateur!ER167*Calculateur!ET167*VLOOKUP('Données projet'!$B$15,Paramètres!$A$1:$I$89,3,0)*0.475*44/12</f>
        <v>2.2101998717367395</v>
      </c>
      <c r="EX167" s="21">
        <f>EXP(-LN(2)/2)*EX166+(1-EXP(-LN(2)/2))/(LN(2)/2)*ER167*EU167*VLOOKUP('Données projet'!$B$15,Paramètres!$A$1:$I$89,3,0)*0.475*44/12</f>
        <v>1.9859192618558228E-14</v>
      </c>
      <c r="EY167" s="22">
        <f t="shared" si="181"/>
        <v>15.770212591925223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388.12151914648013</v>
      </c>
      <c r="T168" s="59">
        <f t="shared" si="142"/>
        <v>481.43684454382793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20.557838026672385</v>
      </c>
      <c r="AA168" s="21">
        <f>EXP(-LN(2)/25)*AA167+(1-EXP(-LN(2)/25))/(LN(2)/25)*Calculateur!V168*Calculateur!X168*VLOOKUP('Données projet'!$B$9,Paramètres!$A$1:$I$89,3,0)*0.475*44/12</f>
        <v>3.0031433758057795</v>
      </c>
      <c r="AB168" s="21">
        <f>EXP(-LN(2)/2)*AB167+(1-EXP(-LN(2)/2))/(LN(2)/2)*V168*Y168*VLOOKUP('Données projet'!$B$9,Paramètres!$A$1:$I$89,3,0)*0.475*44/12</f>
        <v>3.0343729340236023E-15</v>
      </c>
      <c r="AC168" s="22">
        <f t="shared" si="163"/>
        <v>23.56098140247817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-1.3596945791505279E-13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349.71285006949597</v>
      </c>
      <c r="AO168" s="59">
        <f t="shared" si="144"/>
        <v>258.51550516456842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28.469323204027553</v>
      </c>
      <c r="AV168" s="21">
        <f>EXP(-LN(2)/25)*AV167+(1-EXP(-LN(2)/25))/(LN(2)/25)*Calculateur!AQ168*Calculateur!AS168*VLOOKUP('Données projet'!$B$10,Paramètres!$A$1:$I$89,3,0)*0.475*44/12</f>
        <v>4.9018626902347435</v>
      </c>
      <c r="AW168" s="21">
        <f>EXP(-LN(2)/2)*AW167+(1-EXP(-LN(2)/2))/(LN(2)/2)*AQ168*AT168*VLOOKUP('Données projet'!$B$10,Paramètres!$A$1:$I$89,3,0)*0.475*44/12</f>
        <v>1.1369642758718675E-11</v>
      </c>
      <c r="AX168" s="21">
        <f t="shared" si="166"/>
        <v>33.371185894273665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8.5265128291212022E-14</v>
      </c>
      <c r="BE168" s="13">
        <f>BD168*VLOOKUP('Données projet'!$B$11,Paramètres!$A$1:$I$89,3,0)*VLOOKUP('Données projet'!$B$11,Paramètres!$A$1:$I$89,5,0)</f>
        <v>8.9119112089974823E-14</v>
      </c>
      <c r="BF168" s="13">
        <f t="shared" si="167"/>
        <v>1.3568952080113142E-12</v>
      </c>
      <c r="BG168" s="20">
        <f t="shared" si="168"/>
        <v>2.5184749408430782E-12</v>
      </c>
      <c r="BH168" s="59">
        <f t="shared" si="116"/>
        <v>293.33333333333582</v>
      </c>
      <c r="BI168" s="59">
        <f ca="1">AVERAGE(OFFSET($BH$3,0,0,'Données projet'!$E$11+1,1))-AVERAGE(OFFSET($H$3,0,0,'Données projet'!$E$11+1,1))</f>
        <v>260.74709892624571</v>
      </c>
      <c r="BJ168" s="59">
        <f t="shared" si="146"/>
        <v>237.17381692184887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4.9129997014256865</v>
      </c>
      <c r="BQ168" s="21">
        <f>EXP(-LN(2)/25)*BQ167+(1-EXP(-LN(2)/25))/(LN(2)/25)*Calculateur!BL168*Calculateur!BN168*VLOOKUP('Données projet'!$B$11,Paramètres!$A$1:$I$89,3,0)*0.475*44/12</f>
        <v>7.4959153499851077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12.408915051410794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3.979039320256561E-13</v>
      </c>
      <c r="BZ168" s="13">
        <f>BY168*VLOOKUP('Données projet'!$B$12,Paramètres!$A$1:$I$89,3,0)*VLOOKUP('Données projet'!$B$12,Paramètres!$A$1:$I$89,5,0)</f>
        <v>3.6002347769681362E-13</v>
      </c>
      <c r="CA168" s="13">
        <f t="shared" si="170"/>
        <v>4.6593569189922594E-12</v>
      </c>
      <c r="CB168" s="20">
        <f t="shared" si="171"/>
        <v>8.7420875242334695E-12</v>
      </c>
      <c r="CC168" s="59">
        <f t="shared" si="119"/>
        <v>293.33333333334207</v>
      </c>
      <c r="CD168" s="59">
        <f ca="1">AVERAGE(OFFSET($CC$3,0,0,'Données projet'!$E$12+1,1))-AVERAGE(OFFSET($H$3,0,0,'Données projet'!$E$12+1,1))</f>
        <v>695.0879239758051</v>
      </c>
      <c r="CE168" s="59">
        <f t="shared" si="148"/>
        <v>226.22150997227476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154.74745175273105</v>
      </c>
      <c r="CL168" s="21">
        <f>EXP(-LN(2)/25)*CL167+(1-EXP(-LN(2)/25))/(LN(2)/25)*Calculateur!CG168*Calculateur!CI168*VLOOKUP('Données projet'!$B$12,Paramètres!$A$1:$I$89,3,0)*0.475*44/12</f>
        <v>25.753714895759213</v>
      </c>
      <c r="CM168" s="21">
        <f>EXP(-LN(2)/2)*CM167+(1-EXP(-LN(2)/2))/(LN(2)/2)*CG168*CJ168*VLOOKUP('Données projet'!$B$12,Paramètres!$A$1:$I$89,3,0)*0.475*44/12</f>
        <v>1.4227841131256709</v>
      </c>
      <c r="CN168" s="22">
        <f t="shared" si="172"/>
        <v>181.92395076161591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3.979039320256561E-13</v>
      </c>
      <c r="CU168" s="17">
        <f>CT168*VLOOKUP('Données projet'!$B$13,Paramètres!$A$1:$I$89,3,0)*VLOOKUP('Données projet'!$B$13,Paramètres!$A$1:$I$89,5,0)</f>
        <v>4.0347458707401528E-13</v>
      </c>
      <c r="CV168" s="13">
        <f t="shared" si="173"/>
        <v>5.1528944501892313E-12</v>
      </c>
      <c r="CW168" s="20">
        <f t="shared" si="174"/>
        <v>9.6773427399001538E-12</v>
      </c>
      <c r="CX168" s="59">
        <f t="shared" si="122"/>
        <v>293.33333333334298</v>
      </c>
      <c r="CY168" s="59">
        <f ca="1">AVERAGE(OFFSET($CX$3,0,0,'Données projet'!$E$13+1,1))-AVERAGE(OFFSET($H$3,0,0,'Données projet'!$E$13+1,1))</f>
        <v>773.15074145293738</v>
      </c>
      <c r="CZ168" s="59">
        <f t="shared" si="150"/>
        <v>248.49577986312505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173.42386834357796</v>
      </c>
      <c r="DG168" s="21">
        <f>EXP(-LN(2)/25)*DG167+(1-EXP(-LN(2)/25))/(LN(2)/25)*Calculateur!DB168*Calculateur!DD168*VLOOKUP('Données projet'!$B$13,Paramètres!$A$1:$I$89,3,0)*0.475*44/12</f>
        <v>28.861921865937052</v>
      </c>
      <c r="DH168" s="21">
        <f>EXP(-LN(2)/2)*DH167+(1-EXP(-LN(2)/2))/(LN(2)/2)*DB168*DE168*VLOOKUP('Données projet'!$B$13,Paramètres!$A$1:$I$89,3,0)*0.475*44/12</f>
        <v>1.5944994371235963</v>
      </c>
      <c r="DI168" s="22">
        <f t="shared" si="175"/>
        <v>203.88028964663863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3.4106051316484809E-13</v>
      </c>
      <c r="DP168" s="17">
        <f>DO168*VLOOKUP('Données projet'!$B$14,Paramètres!$A$1:$I$89,3,0)*VLOOKUP('Données projet'!$B$14,Paramètres!$A$1:$I$89,5,0)</f>
        <v>1.5961632016114892E-13</v>
      </c>
      <c r="DQ168" s="13">
        <f t="shared" si="176"/>
        <v>2.2708641912150958E-12</v>
      </c>
      <c r="DR168" s="20">
        <f t="shared" si="177"/>
        <v>4.2330868906469593E-12</v>
      </c>
      <c r="DS168" s="59">
        <f t="shared" si="125"/>
        <v>293.33333333333752</v>
      </c>
      <c r="DT168" s="59">
        <f ca="1">AVERAGE(OFFSET($DS$3,0,0,'Données projet'!$E$14+1,1))-AVERAGE(OFFSET($H$3,0,0,'Données projet'!$E$14+1,1))</f>
        <v>293.15557501692803</v>
      </c>
      <c r="DU168" s="59">
        <f t="shared" si="152"/>
        <v>237.1930412773068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43.286672510190485</v>
      </c>
      <c r="EB168" s="21">
        <f>EXP(-LN(2)/25)*EB167+(1-EXP(-LN(2)/25))/(LN(2)/25)*Calculateur!DW168*Calculateur!DY168*VLOOKUP('Données projet'!$B$14,Paramètres!$A$1:$I$89,3,0)*0.475*44/12</f>
        <v>8.8661471811694774</v>
      </c>
      <c r="EC168" s="21">
        <f>EXP(-LN(2)/2)*EC167+(1-EXP(-LN(2)/2))/(LN(2)/2)*DW168*DZ168*VLOOKUP('Données projet'!$B$14,Paramètres!$A$1:$I$89,3,0)*0.475*44/12</f>
        <v>1.1730156473380596E-7</v>
      </c>
      <c r="ED168" s="22">
        <f t="shared" si="178"/>
        <v>52.152819808661533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-1.7053025658242404E-13</v>
      </c>
      <c r="EK168" s="17">
        <f>EJ168*VLOOKUP('Données projet'!$B$15,Paramètres!$A$1:$I$89,3,0)*VLOOKUP('Données projet'!$B$15,Paramètres!$A$1:$I$89,5,0)</f>
        <v>-1.0197709343628959E-13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225.86663363047296</v>
      </c>
      <c r="EP168" s="59">
        <f t="shared" si="154"/>
        <v>258.08349727304397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13.294109141536655</v>
      </c>
      <c r="EW168" s="21">
        <f>EXP(-LN(2)/25)*EW167+(1-EXP(-LN(2)/25))/(LN(2)/25)*Calculateur!ER168*Calculateur!ET168*VLOOKUP('Données projet'!$B$15,Paramètres!$A$1:$I$89,3,0)*0.475*44/12</f>
        <v>2.1497618400147385</v>
      </c>
      <c r="EX168" s="21">
        <f>EXP(-LN(2)/2)*EX167+(1-EXP(-LN(2)/2))/(LN(2)/2)*ER168*EU168*VLOOKUP('Données projet'!$B$15,Paramètres!$A$1:$I$89,3,0)*0.475*44/12</f>
        <v>1.4042569769472354E-14</v>
      </c>
      <c r="EY168" s="22">
        <f t="shared" si="181"/>
        <v>15.443870981551408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388.12151914648013</v>
      </c>
      <c r="T169" s="59">
        <f t="shared" si="142"/>
        <v>481.43684454382793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20.15471136201241</v>
      </c>
      <c r="AA169" s="21">
        <f>EXP(-LN(2)/25)*AA168+(1-EXP(-LN(2)/25))/(LN(2)/25)*Calculateur!V169*Calculateur!X169*VLOOKUP('Données projet'!$B$9,Paramètres!$A$1:$I$89,3,0)*0.475*44/12</f>
        <v>2.9210222622659243</v>
      </c>
      <c r="AB169" s="21">
        <f>EXP(-LN(2)/2)*AB168+(1-EXP(-LN(2)/2))/(LN(2)/2)*V169*Y169*VLOOKUP('Données projet'!$B$9,Paramètres!$A$1:$I$89,3,0)*0.475*44/12</f>
        <v>2.1456256782970096E-15</v>
      </c>
      <c r="AC169" s="22">
        <f t="shared" si="163"/>
        <v>23.075733624278339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-1.3596945791505279E-13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349.71285006949597</v>
      </c>
      <c r="AO169" s="59">
        <f t="shared" si="144"/>
        <v>258.51550516456842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27.911057140569117</v>
      </c>
      <c r="AV169" s="21">
        <f>EXP(-LN(2)/25)*AV168+(1-EXP(-LN(2)/25))/(LN(2)/25)*Calculateur!AQ169*Calculateur!AS169*VLOOKUP('Données projet'!$B$10,Paramètres!$A$1:$I$89,3,0)*0.475*44/12</f>
        <v>4.7678209971925192</v>
      </c>
      <c r="AW169" s="21">
        <f>EXP(-LN(2)/2)*AW168+(1-EXP(-LN(2)/2))/(LN(2)/2)*AQ169*AT169*VLOOKUP('Données projet'!$B$10,Paramètres!$A$1:$I$89,3,0)*0.475*44/12</f>
        <v>8.0395514943585007E-12</v>
      </c>
      <c r="AX169" s="21">
        <f t="shared" si="166"/>
        <v>32.678878137769672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8.5265128291212022E-14</v>
      </c>
      <c r="BE169" s="13">
        <f>BD169*VLOOKUP('Données projet'!$B$11,Paramètres!$A$1:$I$89,3,0)*VLOOKUP('Données projet'!$B$11,Paramètres!$A$1:$I$89,5,0)</f>
        <v>8.9119112089974823E-14</v>
      </c>
      <c r="BF169" s="13">
        <f t="shared" si="167"/>
        <v>1.3568952080113142E-12</v>
      </c>
      <c r="BG169" s="20">
        <f t="shared" si="168"/>
        <v>2.5184749408430782E-12</v>
      </c>
      <c r="BH169" s="59">
        <f t="shared" si="116"/>
        <v>293.33333333333582</v>
      </c>
      <c r="BI169" s="59">
        <f ca="1">AVERAGE(OFFSET($BH$3,0,0,'Données projet'!$E$11+1,1))-AVERAGE(OFFSET($H$3,0,0,'Données projet'!$E$11+1,1))</f>
        <v>260.74709892624571</v>
      </c>
      <c r="BJ169" s="59">
        <f t="shared" si="146"/>
        <v>237.17381692184887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4.8166587739146536</v>
      </c>
      <c r="BQ169" s="21">
        <f>EXP(-LN(2)/25)*BQ168+(1-EXP(-LN(2)/25))/(LN(2)/25)*Calculateur!BL169*Calculateur!BN169*VLOOKUP('Données projet'!$B$11,Paramètres!$A$1:$I$89,3,0)*0.475*44/12</f>
        <v>7.2909391505467092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12.107597924461363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3.979039320256561E-13</v>
      </c>
      <c r="BZ169" s="13">
        <f>BY169*VLOOKUP('Données projet'!$B$12,Paramètres!$A$1:$I$89,3,0)*VLOOKUP('Données projet'!$B$12,Paramètres!$A$1:$I$89,5,0)</f>
        <v>3.6002347769681362E-13</v>
      </c>
      <c r="CA169" s="13">
        <f t="shared" si="170"/>
        <v>4.6593569189922594E-12</v>
      </c>
      <c r="CB169" s="20">
        <f t="shared" si="171"/>
        <v>8.7420875242334695E-12</v>
      </c>
      <c r="CC169" s="59">
        <f t="shared" si="119"/>
        <v>293.33333333334207</v>
      </c>
      <c r="CD169" s="59">
        <f ca="1">AVERAGE(OFFSET($CC$3,0,0,'Données projet'!$E$12+1,1))-AVERAGE(OFFSET($H$3,0,0,'Données projet'!$E$12+1,1))</f>
        <v>695.0879239758051</v>
      </c>
      <c r="CE169" s="59">
        <f t="shared" si="148"/>
        <v>226.22150997227476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151.71294861048565</v>
      </c>
      <c r="CL169" s="21">
        <f>EXP(-LN(2)/25)*CL168+(1-EXP(-LN(2)/25))/(LN(2)/25)*Calculateur!CG169*Calculateur!CI169*VLOOKUP('Données projet'!$B$12,Paramètres!$A$1:$I$89,3,0)*0.475*44/12</f>
        <v>25.04947820760567</v>
      </c>
      <c r="CM169" s="21">
        <f>EXP(-LN(2)/2)*CM168+(1-EXP(-LN(2)/2))/(LN(2)/2)*CG169*CJ169*VLOOKUP('Données projet'!$B$12,Paramètres!$A$1:$I$89,3,0)*0.475*44/12</f>
        <v>1.0060602945556498</v>
      </c>
      <c r="CN169" s="22">
        <f t="shared" si="172"/>
        <v>177.76848711264697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3.979039320256561E-13</v>
      </c>
      <c r="CU169" s="17">
        <f>CT169*VLOOKUP('Données projet'!$B$13,Paramètres!$A$1:$I$89,3,0)*VLOOKUP('Données projet'!$B$13,Paramètres!$A$1:$I$89,5,0)</f>
        <v>4.0347458707401528E-13</v>
      </c>
      <c r="CV169" s="13">
        <f t="shared" si="173"/>
        <v>5.1528944501892313E-12</v>
      </c>
      <c r="CW169" s="20">
        <f t="shared" si="174"/>
        <v>9.6773427399001538E-12</v>
      </c>
      <c r="CX169" s="59">
        <f t="shared" si="122"/>
        <v>293.33333333334298</v>
      </c>
      <c r="CY169" s="59">
        <f ca="1">AVERAGE(OFFSET($CX$3,0,0,'Données projet'!$E$13+1,1))-AVERAGE(OFFSET($H$3,0,0,'Données projet'!$E$13+1,1))</f>
        <v>773.15074145293738</v>
      </c>
      <c r="CZ169" s="59">
        <f t="shared" si="150"/>
        <v>248.49577986312505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170.02313206347537</v>
      </c>
      <c r="DG169" s="21">
        <f>EXP(-LN(2)/25)*DG168+(1-EXP(-LN(2)/25))/(LN(2)/25)*Calculateur!DB169*Calculateur!DD169*VLOOKUP('Données projet'!$B$13,Paramètres!$A$1:$I$89,3,0)*0.475*44/12</f>
        <v>28.072691094730498</v>
      </c>
      <c r="DH169" s="21">
        <f>EXP(-LN(2)/2)*DH168+(1-EXP(-LN(2)/2))/(LN(2)/2)*DB169*DE169*VLOOKUP('Données projet'!$B$13,Paramètres!$A$1:$I$89,3,0)*0.475*44/12</f>
        <v>1.127481364588228</v>
      </c>
      <c r="DI169" s="22">
        <f t="shared" si="175"/>
        <v>199.22330452279408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3.4106051316484809E-13</v>
      </c>
      <c r="DP169" s="17">
        <f>DO169*VLOOKUP('Données projet'!$B$14,Paramètres!$A$1:$I$89,3,0)*VLOOKUP('Données projet'!$B$14,Paramètres!$A$1:$I$89,5,0)</f>
        <v>1.5961632016114892E-13</v>
      </c>
      <c r="DQ169" s="13">
        <f t="shared" si="176"/>
        <v>2.2708641912150958E-12</v>
      </c>
      <c r="DR169" s="20">
        <f t="shared" si="177"/>
        <v>4.2330868906469593E-12</v>
      </c>
      <c r="DS169" s="59">
        <f t="shared" si="125"/>
        <v>293.33333333333752</v>
      </c>
      <c r="DT169" s="59">
        <f ca="1">AVERAGE(OFFSET($DS$3,0,0,'Données projet'!$E$14+1,1))-AVERAGE(OFFSET($H$3,0,0,'Données projet'!$E$14+1,1))</f>
        <v>293.15557501692803</v>
      </c>
      <c r="DU169" s="59">
        <f t="shared" si="152"/>
        <v>237.1930412773068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42.437847264528877</v>
      </c>
      <c r="EB169" s="21">
        <f>EXP(-LN(2)/25)*EB168+(1-EXP(-LN(2)/25))/(LN(2)/25)*Calculateur!DW169*Calculateur!DY169*VLOOKUP('Données projet'!$B$14,Paramètres!$A$1:$I$89,3,0)*0.475*44/12</f>
        <v>8.6237019202499816</v>
      </c>
      <c r="EC169" s="21">
        <f>EXP(-LN(2)/2)*EC168+(1-EXP(-LN(2)/2))/(LN(2)/2)*DW169*DZ169*VLOOKUP('Données projet'!$B$14,Paramètres!$A$1:$I$89,3,0)*0.475*44/12</f>
        <v>8.294473186706698E-8</v>
      </c>
      <c r="ED169" s="22">
        <f t="shared" si="178"/>
        <v>51.061549267723585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-1.7053025658242404E-13</v>
      </c>
      <c r="EK169" s="17">
        <f>EJ169*VLOOKUP('Données projet'!$B$15,Paramètres!$A$1:$I$89,3,0)*VLOOKUP('Données projet'!$B$15,Paramètres!$A$1:$I$89,5,0)</f>
        <v>-1.0197709343628959E-13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225.86663363047296</v>
      </c>
      <c r="EP169" s="59">
        <f t="shared" si="154"/>
        <v>258.08349727304397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13.033419769877039</v>
      </c>
      <c r="EW169" s="21">
        <f>EXP(-LN(2)/25)*EW168+(1-EXP(-LN(2)/25))/(LN(2)/25)*Calculateur!ER169*Calculateur!ET169*VLOOKUP('Données projet'!$B$15,Paramètres!$A$1:$I$89,3,0)*0.475*44/12</f>
        <v>2.0909764894484737</v>
      </c>
      <c r="EX169" s="21">
        <f>EXP(-LN(2)/2)*EX168+(1-EXP(-LN(2)/2))/(LN(2)/2)*ER169*EU169*VLOOKUP('Données projet'!$B$15,Paramètres!$A$1:$I$89,3,0)*0.475*44/12</f>
        <v>9.9295963092791154E-15</v>
      </c>
      <c r="EY169" s="22">
        <f t="shared" si="181"/>
        <v>15.124396259325524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388.12151914648013</v>
      </c>
      <c r="T170" s="59">
        <f t="shared" si="142"/>
        <v>481.43684454382793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19.75948976536343</v>
      </c>
      <c r="AA170" s="21">
        <f>EXP(-LN(2)/25)*AA169+(1-EXP(-LN(2)/25))/(LN(2)/25)*Calculateur!V170*Calculateur!X170*VLOOKUP('Données projet'!$B$9,Paramètres!$A$1:$I$89,3,0)*0.475*44/12</f>
        <v>2.8411467548943778</v>
      </c>
      <c r="AB170" s="21">
        <f>EXP(-LN(2)/2)*AB169+(1-EXP(-LN(2)/2))/(LN(2)/2)*V170*Y170*VLOOKUP('Données projet'!$B$9,Paramètres!$A$1:$I$89,3,0)*0.475*44/12</f>
        <v>1.5171864670118012E-15</v>
      </c>
      <c r="AC170" s="22">
        <f t="shared" si="163"/>
        <v>22.600636520257808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-1.3596945791505279E-13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349.71285006949597</v>
      </c>
      <c r="AO170" s="59">
        <f t="shared" si="144"/>
        <v>258.51550516456842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27.363738334106426</v>
      </c>
      <c r="AV170" s="21">
        <f>EXP(-LN(2)/25)*AV169+(1-EXP(-LN(2)/25))/(LN(2)/25)*Calculateur!AQ170*Calculateur!AS170*VLOOKUP('Données projet'!$B$10,Paramètres!$A$1:$I$89,3,0)*0.475*44/12</f>
        <v>4.6374446812954808</v>
      </c>
      <c r="AW170" s="21">
        <f>EXP(-LN(2)/2)*AW169+(1-EXP(-LN(2)/2))/(LN(2)/2)*AQ170*AT170*VLOOKUP('Données projet'!$B$10,Paramètres!$A$1:$I$89,3,0)*0.475*44/12</f>
        <v>5.6848213793593375E-12</v>
      </c>
      <c r="AX170" s="21">
        <f t="shared" si="166"/>
        <v>32.001183015407591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8.5265128291212022E-14</v>
      </c>
      <c r="BE170" s="13">
        <f>BD170*VLOOKUP('Données projet'!$B$11,Paramètres!$A$1:$I$89,3,0)*VLOOKUP('Données projet'!$B$11,Paramètres!$A$1:$I$89,5,0)</f>
        <v>8.9119112089974823E-14</v>
      </c>
      <c r="BF170" s="13">
        <f t="shared" si="167"/>
        <v>1.3568952080113142E-12</v>
      </c>
      <c r="BG170" s="20">
        <f t="shared" si="168"/>
        <v>2.5184749408430782E-12</v>
      </c>
      <c r="BH170" s="59">
        <f t="shared" si="116"/>
        <v>293.33333333333582</v>
      </c>
      <c r="BI170" s="59">
        <f ca="1">AVERAGE(OFFSET($BH$3,0,0,'Données projet'!$E$11+1,1))-AVERAGE(OFFSET($H$3,0,0,'Données projet'!$E$11+1,1))</f>
        <v>260.74709892624571</v>
      </c>
      <c r="BJ170" s="59">
        <f t="shared" si="146"/>
        <v>237.17381692184887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4.7222070332299486</v>
      </c>
      <c r="BQ170" s="21">
        <f>EXP(-LN(2)/25)*BQ169+(1-EXP(-LN(2)/25))/(LN(2)/25)*Calculateur!BL170*Calculateur!BN170*VLOOKUP('Données projet'!$B$11,Paramètres!$A$1:$I$89,3,0)*0.475*44/12</f>
        <v>7.091568036061183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11.813775069291133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3.979039320256561E-13</v>
      </c>
      <c r="BZ170" s="13">
        <f>BY170*VLOOKUP('Données projet'!$B$12,Paramètres!$A$1:$I$89,3,0)*VLOOKUP('Données projet'!$B$12,Paramètres!$A$1:$I$89,5,0)</f>
        <v>3.6002347769681362E-13</v>
      </c>
      <c r="CA170" s="13">
        <f t="shared" si="170"/>
        <v>4.6593569189922594E-12</v>
      </c>
      <c r="CB170" s="20">
        <f t="shared" si="171"/>
        <v>8.7420875242334695E-12</v>
      </c>
      <c r="CC170" s="59">
        <f t="shared" si="119"/>
        <v>293.33333333334207</v>
      </c>
      <c r="CD170" s="59">
        <f ca="1">AVERAGE(OFFSET($CC$3,0,0,'Données projet'!$E$12+1,1))-AVERAGE(OFFSET($H$3,0,0,'Données projet'!$E$12+1,1))</f>
        <v>695.0879239758051</v>
      </c>
      <c r="CE170" s="59">
        <f t="shared" si="148"/>
        <v>226.22150997227476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148.73795022399554</v>
      </c>
      <c r="CL170" s="21">
        <f>EXP(-LN(2)/25)*CL169+(1-EXP(-LN(2)/25))/(LN(2)/25)*Calculateur!CG170*Calculateur!CI170*VLOOKUP('Données projet'!$B$12,Paramètres!$A$1:$I$89,3,0)*0.475*44/12</f>
        <v>24.364498908723885</v>
      </c>
      <c r="CM170" s="21">
        <f>EXP(-LN(2)/2)*CM169+(1-EXP(-LN(2)/2))/(LN(2)/2)*CG170*CJ170*VLOOKUP('Données projet'!$B$12,Paramètres!$A$1:$I$89,3,0)*0.475*44/12</f>
        <v>0.71139205656283544</v>
      </c>
      <c r="CN170" s="22">
        <f t="shared" si="172"/>
        <v>173.81384118928224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3.979039320256561E-13</v>
      </c>
      <c r="CU170" s="17">
        <f>CT170*VLOOKUP('Données projet'!$B$13,Paramètres!$A$1:$I$89,3,0)*VLOOKUP('Données projet'!$B$13,Paramètres!$A$1:$I$89,5,0)</f>
        <v>4.0347458707401528E-13</v>
      </c>
      <c r="CV170" s="13">
        <f t="shared" si="173"/>
        <v>5.1528944501892313E-12</v>
      </c>
      <c r="CW170" s="20">
        <f t="shared" si="174"/>
        <v>9.6773427399001538E-12</v>
      </c>
      <c r="CX170" s="59">
        <f t="shared" si="122"/>
        <v>293.33333333334298</v>
      </c>
      <c r="CY170" s="59">
        <f ca="1">AVERAGE(OFFSET($CX$3,0,0,'Données projet'!$E$13+1,1))-AVERAGE(OFFSET($H$3,0,0,'Données projet'!$E$13+1,1))</f>
        <v>773.15074145293738</v>
      </c>
      <c r="CZ170" s="59">
        <f t="shared" si="150"/>
        <v>248.49577986312505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166.68908214758127</v>
      </c>
      <c r="DG170" s="21">
        <f>EXP(-LN(2)/25)*DG169+(1-EXP(-LN(2)/25))/(LN(2)/25)*Calculateur!DB170*Calculateur!DD170*VLOOKUP('Données projet'!$B$13,Paramètres!$A$1:$I$89,3,0)*0.475*44/12</f>
        <v>27.30504188046643</v>
      </c>
      <c r="DH170" s="21">
        <f>EXP(-LN(2)/2)*DH169+(1-EXP(-LN(2)/2))/(LN(2)/2)*DB170*DE170*VLOOKUP('Données projet'!$B$13,Paramètres!$A$1:$I$89,3,0)*0.475*44/12</f>
        <v>0.79724971856179816</v>
      </c>
      <c r="DI170" s="22">
        <f t="shared" si="175"/>
        <v>194.79137374660951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3.4106051316484809E-13</v>
      </c>
      <c r="DP170" s="17">
        <f>DO170*VLOOKUP('Données projet'!$B$14,Paramètres!$A$1:$I$89,3,0)*VLOOKUP('Données projet'!$B$14,Paramètres!$A$1:$I$89,5,0)</f>
        <v>1.5961632016114892E-13</v>
      </c>
      <c r="DQ170" s="13">
        <f t="shared" si="176"/>
        <v>2.2708641912150958E-12</v>
      </c>
      <c r="DR170" s="20">
        <f t="shared" si="177"/>
        <v>4.2330868906469593E-12</v>
      </c>
      <c r="DS170" s="59">
        <f t="shared" si="125"/>
        <v>293.33333333333752</v>
      </c>
      <c r="DT170" s="59">
        <f ca="1">AVERAGE(OFFSET($DS$3,0,0,'Données projet'!$E$14+1,1))-AVERAGE(OFFSET($H$3,0,0,'Données projet'!$E$14+1,1))</f>
        <v>293.15557501692803</v>
      </c>
      <c r="DU170" s="59">
        <f t="shared" si="152"/>
        <v>237.1930412773068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41.605666964202413</v>
      </c>
      <c r="EB170" s="21">
        <f>EXP(-LN(2)/25)*EB169+(1-EXP(-LN(2)/25))/(LN(2)/25)*Calculateur!DW170*Calculateur!DY170*VLOOKUP('Données projet'!$B$14,Paramètres!$A$1:$I$89,3,0)*0.475*44/12</f>
        <v>8.3878863377399711</v>
      </c>
      <c r="EC170" s="21">
        <f>EXP(-LN(2)/2)*EC169+(1-EXP(-LN(2)/2))/(LN(2)/2)*DW170*DZ170*VLOOKUP('Données projet'!$B$14,Paramètres!$A$1:$I$89,3,0)*0.475*44/12</f>
        <v>5.8650782366902992E-8</v>
      </c>
      <c r="ED170" s="22">
        <f t="shared" si="178"/>
        <v>49.993553360593168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-1.7053025658242404E-13</v>
      </c>
      <c r="EK170" s="17">
        <f>EJ170*VLOOKUP('Données projet'!$B$15,Paramètres!$A$1:$I$89,3,0)*VLOOKUP('Données projet'!$B$15,Paramètres!$A$1:$I$89,5,0)</f>
        <v>-1.0197709343628959E-13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225.86663363047296</v>
      </c>
      <c r="EP170" s="59">
        <f t="shared" si="154"/>
        <v>258.08349727304397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12.777842357790853</v>
      </c>
      <c r="EW170" s="21">
        <f>EXP(-LN(2)/25)*EW169+(1-EXP(-LN(2)/25))/(LN(2)/25)*Calculateur!ER170*Calculateur!ET170*VLOOKUP('Données projet'!$B$15,Paramètres!$A$1:$I$89,3,0)*0.475*44/12</f>
        <v>2.0337986273848307</v>
      </c>
      <c r="EX170" s="21">
        <f>EXP(-LN(2)/2)*EX169+(1-EXP(-LN(2)/2))/(LN(2)/2)*ER170*EU170*VLOOKUP('Données projet'!$B$15,Paramètres!$A$1:$I$89,3,0)*0.475*44/12</f>
        <v>7.0212848847361776E-15</v>
      </c>
      <c r="EY170" s="22">
        <f t="shared" si="181"/>
        <v>14.811640985175691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388.12151914648013</v>
      </c>
      <c r="T171" s="59">
        <f t="shared" si="142"/>
        <v>481.43684454382793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19.372018223163362</v>
      </c>
      <c r="AA171" s="21">
        <f>EXP(-LN(2)/25)*AA170+(1-EXP(-LN(2)/25))/(LN(2)/25)*Calculateur!V171*Calculateur!X171*VLOOKUP('Données projet'!$B$9,Paramètres!$A$1:$I$89,3,0)*0.475*44/12</f>
        <v>2.7634554474723769</v>
      </c>
      <c r="AB171" s="21">
        <f>EXP(-LN(2)/2)*AB170+(1-EXP(-LN(2)/2))/(LN(2)/2)*V171*Y171*VLOOKUP('Données projet'!$B$9,Paramètres!$A$1:$I$89,3,0)*0.475*44/12</f>
        <v>1.0728128391485048E-15</v>
      </c>
      <c r="AC171" s="22">
        <f t="shared" si="163"/>
        <v>22.13547367063574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-1.3596945791505279E-13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349.71285006949597</v>
      </c>
      <c r="AO171" s="59">
        <f t="shared" si="144"/>
        <v>258.51550516456842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26.82715211560696</v>
      </c>
      <c r="AV171" s="21">
        <f>EXP(-LN(2)/25)*AV170+(1-EXP(-LN(2)/25))/(LN(2)/25)*Calculateur!AQ171*Calculateur!AS171*VLOOKUP('Données projet'!$B$10,Paramètres!$A$1:$I$89,3,0)*0.475*44/12</f>
        <v>4.5106335126128387</v>
      </c>
      <c r="AW171" s="21">
        <f>EXP(-LN(2)/2)*AW170+(1-EXP(-LN(2)/2))/(LN(2)/2)*AQ171*AT171*VLOOKUP('Données projet'!$B$10,Paramètres!$A$1:$I$89,3,0)*0.475*44/12</f>
        <v>4.0197757471792503E-12</v>
      </c>
      <c r="AX171" s="21">
        <f t="shared" si="166"/>
        <v>31.337785628223816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8.5265128291212022E-14</v>
      </c>
      <c r="BE171" s="13">
        <f>BD171*VLOOKUP('Données projet'!$B$11,Paramètres!$A$1:$I$89,3,0)*VLOOKUP('Données projet'!$B$11,Paramètres!$A$1:$I$89,5,0)</f>
        <v>8.9119112089974823E-14</v>
      </c>
      <c r="BF171" s="13">
        <f t="shared" si="167"/>
        <v>1.3568952080113142E-12</v>
      </c>
      <c r="BG171" s="20">
        <f t="shared" si="168"/>
        <v>2.5184749408430782E-12</v>
      </c>
      <c r="BH171" s="59">
        <f t="shared" si="116"/>
        <v>293.33333333333582</v>
      </c>
      <c r="BI171" s="59">
        <f ca="1">AVERAGE(OFFSET($BH$3,0,0,'Données projet'!$E$11+1,1))-AVERAGE(OFFSET($H$3,0,0,'Données projet'!$E$11+1,1))</f>
        <v>260.74709892624571</v>
      </c>
      <c r="BJ171" s="59">
        <f t="shared" si="146"/>
        <v>237.17381692184887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4.6296074335701975</v>
      </c>
      <c r="BQ171" s="21">
        <f>EXP(-LN(2)/25)*BQ170+(1-EXP(-LN(2)/25))/(LN(2)/25)*Calculateur!BL171*Calculateur!BN171*VLOOKUP('Données projet'!$B$11,Paramètres!$A$1:$I$89,3,0)*0.475*44/12</f>
        <v>6.8976487351857347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11.527256168755933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3.979039320256561E-13</v>
      </c>
      <c r="BZ171" s="13">
        <f>BY171*VLOOKUP('Données projet'!$B$12,Paramètres!$A$1:$I$89,3,0)*VLOOKUP('Données projet'!$B$12,Paramètres!$A$1:$I$89,5,0)</f>
        <v>3.6002347769681362E-13</v>
      </c>
      <c r="CA171" s="13">
        <f t="shared" si="170"/>
        <v>4.6593569189922594E-12</v>
      </c>
      <c r="CB171" s="20">
        <f t="shared" si="171"/>
        <v>8.7420875242334695E-12</v>
      </c>
      <c r="CC171" s="59">
        <f t="shared" si="119"/>
        <v>293.33333333334207</v>
      </c>
      <c r="CD171" s="59">
        <f ca="1">AVERAGE(OFFSET($CC$3,0,0,'Données projet'!$E$12+1,1))-AVERAGE(OFFSET($H$3,0,0,'Données projet'!$E$12+1,1))</f>
        <v>695.0879239758051</v>
      </c>
      <c r="CE171" s="59">
        <f t="shared" si="148"/>
        <v>226.22150997227476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145.82128974129466</v>
      </c>
      <c r="CL171" s="21">
        <f>EXP(-LN(2)/25)*CL170+(1-EXP(-LN(2)/25))/(LN(2)/25)*Calculateur!CG171*Calculateur!CI171*VLOOKUP('Données projet'!$B$12,Paramètres!$A$1:$I$89,3,0)*0.475*44/12</f>
        <v>23.698250404791519</v>
      </c>
      <c r="CM171" s="21">
        <f>EXP(-LN(2)/2)*CM170+(1-EXP(-LN(2)/2))/(LN(2)/2)*CG171*CJ171*VLOOKUP('Données projet'!$B$12,Paramètres!$A$1:$I$89,3,0)*0.475*44/12</f>
        <v>0.50303014727782491</v>
      </c>
      <c r="CN171" s="22">
        <f t="shared" si="172"/>
        <v>170.022570293364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3.979039320256561E-13</v>
      </c>
      <c r="CU171" s="17">
        <f>CT171*VLOOKUP('Données projet'!$B$13,Paramètres!$A$1:$I$89,3,0)*VLOOKUP('Données projet'!$B$13,Paramètres!$A$1:$I$89,5,0)</f>
        <v>4.0347458707401528E-13</v>
      </c>
      <c r="CV171" s="13">
        <f t="shared" si="173"/>
        <v>5.1528944501892313E-12</v>
      </c>
      <c r="CW171" s="20">
        <f t="shared" si="174"/>
        <v>9.6773427399001538E-12</v>
      </c>
      <c r="CX171" s="59">
        <f t="shared" si="122"/>
        <v>293.33333333334298</v>
      </c>
      <c r="CY171" s="59">
        <f ca="1">AVERAGE(OFFSET($CX$3,0,0,'Données projet'!$E$13+1,1))-AVERAGE(OFFSET($H$3,0,0,'Données projet'!$E$13+1,1))</f>
        <v>773.15074145293738</v>
      </c>
      <c r="CZ171" s="59">
        <f t="shared" si="150"/>
        <v>248.49577986312505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163.42041091696819</v>
      </c>
      <c r="DG171" s="21">
        <f>EXP(-LN(2)/25)*DG170+(1-EXP(-LN(2)/25))/(LN(2)/25)*Calculateur!DB171*Calculateur!DD171*VLOOKUP('Données projet'!$B$13,Paramètres!$A$1:$I$89,3,0)*0.475*44/12</f>
        <v>26.558384074335329</v>
      </c>
      <c r="DH171" s="21">
        <f>EXP(-LN(2)/2)*DH170+(1-EXP(-LN(2)/2))/(LN(2)/2)*DB171*DE171*VLOOKUP('Données projet'!$B$13,Paramètres!$A$1:$I$89,3,0)*0.475*44/12</f>
        <v>0.563740682294114</v>
      </c>
      <c r="DI171" s="22">
        <f t="shared" si="175"/>
        <v>190.54253567359763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3.4106051316484809E-13</v>
      </c>
      <c r="DP171" s="17">
        <f>DO171*VLOOKUP('Données projet'!$B$14,Paramètres!$A$1:$I$89,3,0)*VLOOKUP('Données projet'!$B$14,Paramètres!$A$1:$I$89,5,0)</f>
        <v>1.5961632016114892E-13</v>
      </c>
      <c r="DQ171" s="13">
        <f t="shared" si="176"/>
        <v>2.2708641912150958E-12</v>
      </c>
      <c r="DR171" s="20">
        <f t="shared" si="177"/>
        <v>4.2330868906469593E-12</v>
      </c>
      <c r="DS171" s="59">
        <f t="shared" si="125"/>
        <v>293.33333333333752</v>
      </c>
      <c r="DT171" s="59">
        <f ca="1">AVERAGE(OFFSET($DS$3,0,0,'Données projet'!$E$14+1,1))-AVERAGE(OFFSET($H$3,0,0,'Données projet'!$E$14+1,1))</f>
        <v>293.15557501692803</v>
      </c>
      <c r="DU171" s="59">
        <f t="shared" si="152"/>
        <v>237.1930412773068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40.789805211985488</v>
      </c>
      <c r="EB171" s="21">
        <f>EXP(-LN(2)/25)*EB170+(1-EXP(-LN(2)/25))/(LN(2)/25)*Calculateur!DW171*Calculateur!DY171*VLOOKUP('Données projet'!$B$14,Paramètres!$A$1:$I$89,3,0)*0.475*44/12</f>
        <v>8.158519144734699</v>
      </c>
      <c r="EC171" s="21">
        <f>EXP(-LN(2)/2)*EC170+(1-EXP(-LN(2)/2))/(LN(2)/2)*DW171*DZ171*VLOOKUP('Données projet'!$B$14,Paramètres!$A$1:$I$89,3,0)*0.475*44/12</f>
        <v>4.1472365933533497E-8</v>
      </c>
      <c r="ED171" s="22">
        <f t="shared" si="178"/>
        <v>48.948324398192554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-1.7053025658242404E-13</v>
      </c>
      <c r="EK171" s="17">
        <f>EJ171*VLOOKUP('Données projet'!$B$15,Paramètres!$A$1:$I$89,3,0)*VLOOKUP('Données projet'!$B$15,Paramètres!$A$1:$I$89,5,0)</f>
        <v>-1.0197709343628959E-13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225.86663363047296</v>
      </c>
      <c r="EP171" s="59">
        <f t="shared" si="154"/>
        <v>258.08349727304397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12.527276662868847</v>
      </c>
      <c r="EW171" s="21">
        <f>EXP(-LN(2)/25)*EW170+(1-EXP(-LN(2)/25))/(LN(2)/25)*Calculateur!ER171*Calculateur!ET171*VLOOKUP('Données projet'!$B$15,Paramètres!$A$1:$I$89,3,0)*0.475*44/12</f>
        <v>1.9781842969661712</v>
      </c>
      <c r="EX171" s="21">
        <f>EXP(-LN(2)/2)*EX170+(1-EXP(-LN(2)/2))/(LN(2)/2)*ER171*EU171*VLOOKUP('Données projet'!$B$15,Paramètres!$A$1:$I$89,3,0)*0.475*44/12</f>
        <v>4.9647981546395585E-15</v>
      </c>
      <c r="EY171" s="22">
        <f t="shared" si="181"/>
        <v>14.505460959835023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388.12151914648013</v>
      </c>
      <c r="T172" s="59">
        <f t="shared" si="142"/>
        <v>481.43684454382793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18.992144761571534</v>
      </c>
      <c r="AA172" s="21">
        <f>EXP(-LN(2)/25)*AA171+(1-EXP(-LN(2)/25))/(LN(2)/25)*Calculateur!V172*Calculateur!X172*VLOOKUP('Données projet'!$B$9,Paramètres!$A$1:$I$89,3,0)*0.475*44/12</f>
        <v>2.6878886129374386</v>
      </c>
      <c r="AB172" s="21">
        <f>EXP(-LN(2)/2)*AB171+(1-EXP(-LN(2)/2))/(LN(2)/2)*V172*Y172*VLOOKUP('Données projet'!$B$9,Paramètres!$A$1:$I$89,3,0)*0.475*44/12</f>
        <v>7.5859323350590058E-16</v>
      </c>
      <c r="AC172" s="22">
        <f t="shared" si="163"/>
        <v>21.680033374508973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-1.3596945791505279E-13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349.71285006949597</v>
      </c>
      <c r="AO172" s="59">
        <f t="shared" si="144"/>
        <v>258.51550516456842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26.30108802556699</v>
      </c>
      <c r="AV172" s="21">
        <f>EXP(-LN(2)/25)*AV171+(1-EXP(-LN(2)/25))/(LN(2)/25)*Calculateur!AQ172*Calculateur!AS172*VLOOKUP('Données projet'!$B$10,Paramètres!$A$1:$I$89,3,0)*0.475*44/12</f>
        <v>4.3872900020065337</v>
      </c>
      <c r="AW172" s="21">
        <f>EXP(-LN(2)/2)*AW171+(1-EXP(-LN(2)/2))/(LN(2)/2)*AQ172*AT172*VLOOKUP('Données projet'!$B$10,Paramètres!$A$1:$I$89,3,0)*0.475*44/12</f>
        <v>2.8424106896796688E-12</v>
      </c>
      <c r="AX172" s="21">
        <f t="shared" si="166"/>
        <v>30.688378027576366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8.5265128291212022E-14</v>
      </c>
      <c r="BE172" s="13">
        <f>BD172*VLOOKUP('Données projet'!$B$11,Paramètres!$A$1:$I$89,3,0)*VLOOKUP('Données projet'!$B$11,Paramètres!$A$1:$I$89,5,0)</f>
        <v>8.9119112089974823E-14</v>
      </c>
      <c r="BF172" s="13">
        <f t="shared" si="167"/>
        <v>1.3568952080113142E-12</v>
      </c>
      <c r="BG172" s="20">
        <f t="shared" si="168"/>
        <v>2.5184749408430782E-12</v>
      </c>
      <c r="BH172" s="59">
        <f t="shared" si="116"/>
        <v>293.33333333333582</v>
      </c>
      <c r="BI172" s="59">
        <f ca="1">AVERAGE(OFFSET($BH$3,0,0,'Données projet'!$E$11+1,1))-AVERAGE(OFFSET($H$3,0,0,'Données projet'!$E$11+1,1))</f>
        <v>260.74709892624571</v>
      </c>
      <c r="BJ172" s="59">
        <f t="shared" si="146"/>
        <v>237.17381692184887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4.5388236555795949</v>
      </c>
      <c r="BQ172" s="21">
        <f>EXP(-LN(2)/25)*BQ171+(1-EXP(-LN(2)/25))/(LN(2)/25)*Calculateur!BL172*Calculateur!BN172*VLOOKUP('Données projet'!$B$11,Paramètres!$A$1:$I$89,3,0)*0.475*44/12</f>
        <v>6.7090321677904985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11.247855823370093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3.979039320256561E-13</v>
      </c>
      <c r="BZ172" s="13">
        <f>BY172*VLOOKUP('Données projet'!$B$12,Paramètres!$A$1:$I$89,3,0)*VLOOKUP('Données projet'!$B$12,Paramètres!$A$1:$I$89,5,0)</f>
        <v>3.6002347769681362E-13</v>
      </c>
      <c r="CA172" s="13">
        <f t="shared" si="170"/>
        <v>4.6593569189922594E-12</v>
      </c>
      <c r="CB172" s="20">
        <f t="shared" si="171"/>
        <v>8.7420875242334695E-12</v>
      </c>
      <c r="CC172" s="59">
        <f t="shared" si="119"/>
        <v>293.33333333334207</v>
      </c>
      <c r="CD172" s="59">
        <f ca="1">AVERAGE(OFFSET($CC$3,0,0,'Données projet'!$E$12+1,1))-AVERAGE(OFFSET($H$3,0,0,'Données projet'!$E$12+1,1))</f>
        <v>695.0879239758051</v>
      </c>
      <c r="CE172" s="59">
        <f t="shared" si="148"/>
        <v>226.22150997227476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142.96182319167229</v>
      </c>
      <c r="CL172" s="21">
        <f>EXP(-LN(2)/25)*CL171+(1-EXP(-LN(2)/25))/(LN(2)/25)*Calculateur!CG172*Calculateur!CI172*VLOOKUP('Données projet'!$B$12,Paramètres!$A$1:$I$89,3,0)*0.475*44/12</f>
        <v>23.050220501235671</v>
      </c>
      <c r="CM172" s="21">
        <f>EXP(-LN(2)/2)*CM171+(1-EXP(-LN(2)/2))/(LN(2)/2)*CG172*CJ172*VLOOKUP('Données projet'!$B$12,Paramètres!$A$1:$I$89,3,0)*0.475*44/12</f>
        <v>0.35569602828141772</v>
      </c>
      <c r="CN172" s="22">
        <f t="shared" si="172"/>
        <v>166.36773972118939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3.979039320256561E-13</v>
      </c>
      <c r="CU172" s="17">
        <f>CT172*VLOOKUP('Données projet'!$B$13,Paramètres!$A$1:$I$89,3,0)*VLOOKUP('Données projet'!$B$13,Paramètres!$A$1:$I$89,5,0)</f>
        <v>4.0347458707401528E-13</v>
      </c>
      <c r="CV172" s="13">
        <f t="shared" si="173"/>
        <v>5.1528944501892313E-12</v>
      </c>
      <c r="CW172" s="20">
        <f t="shared" si="174"/>
        <v>9.6773427399001538E-12</v>
      </c>
      <c r="CX172" s="59">
        <f t="shared" si="122"/>
        <v>293.33333333334298</v>
      </c>
      <c r="CY172" s="59">
        <f ca="1">AVERAGE(OFFSET($CX$3,0,0,'Données projet'!$E$13+1,1))-AVERAGE(OFFSET($H$3,0,0,'Données projet'!$E$13+1,1))</f>
        <v>773.15074145293738</v>
      </c>
      <c r="CZ172" s="59">
        <f t="shared" si="150"/>
        <v>248.49577986312505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160.21583633549486</v>
      </c>
      <c r="DG172" s="21">
        <f>EXP(-LN(2)/25)*DG171+(1-EXP(-LN(2)/25))/(LN(2)/25)*Calculateur!DB172*Calculateur!DD172*VLOOKUP('Données projet'!$B$13,Paramètres!$A$1:$I$89,3,0)*0.475*44/12</f>
        <v>25.832143665177909</v>
      </c>
      <c r="DH172" s="21">
        <f>EXP(-LN(2)/2)*DH171+(1-EXP(-LN(2)/2))/(LN(2)/2)*DB172*DE172*VLOOKUP('Données projet'!$B$13,Paramètres!$A$1:$I$89,3,0)*0.475*44/12</f>
        <v>0.39862485928089908</v>
      </c>
      <c r="DI172" s="22">
        <f t="shared" si="175"/>
        <v>186.44660485995365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3.4106051316484809E-13</v>
      </c>
      <c r="DP172" s="17">
        <f>DO172*VLOOKUP('Données projet'!$B$14,Paramètres!$A$1:$I$89,3,0)*VLOOKUP('Données projet'!$B$14,Paramètres!$A$1:$I$89,5,0)</f>
        <v>1.5961632016114892E-13</v>
      </c>
      <c r="DQ172" s="13">
        <f t="shared" si="176"/>
        <v>2.2708641912150958E-12</v>
      </c>
      <c r="DR172" s="20">
        <f t="shared" si="177"/>
        <v>4.2330868906469593E-12</v>
      </c>
      <c r="DS172" s="59">
        <f t="shared" si="125"/>
        <v>293.33333333333752</v>
      </c>
      <c r="DT172" s="59">
        <f ca="1">AVERAGE(OFFSET($DS$3,0,0,'Données projet'!$E$14+1,1))-AVERAGE(OFFSET($H$3,0,0,'Données projet'!$E$14+1,1))</f>
        <v>293.15557501692803</v>
      </c>
      <c r="DU172" s="59">
        <f t="shared" si="152"/>
        <v>237.1930412773068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39.989942011103004</v>
      </c>
      <c r="EB172" s="21">
        <f>EXP(-LN(2)/25)*EB171+(1-EXP(-LN(2)/25))/(LN(2)/25)*Calculateur!DW172*Calculateur!DY172*VLOOKUP('Données projet'!$B$14,Paramètres!$A$1:$I$89,3,0)*0.475*44/12</f>
        <v>7.9354240096840529</v>
      </c>
      <c r="EC172" s="21">
        <f>EXP(-LN(2)/2)*EC171+(1-EXP(-LN(2)/2))/(LN(2)/2)*DW172*DZ172*VLOOKUP('Données projet'!$B$14,Paramètres!$A$1:$I$89,3,0)*0.475*44/12</f>
        <v>2.9325391183451499E-8</v>
      </c>
      <c r="ED172" s="22">
        <f t="shared" si="178"/>
        <v>47.925366050112451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-1.7053025658242404E-13</v>
      </c>
      <c r="EK172" s="17">
        <f>EJ172*VLOOKUP('Données projet'!$B$15,Paramètres!$A$1:$I$89,3,0)*VLOOKUP('Données projet'!$B$15,Paramètres!$A$1:$I$89,5,0)</f>
        <v>-1.0197709343628959E-13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225.86663363047296</v>
      </c>
      <c r="EP172" s="59">
        <f t="shared" si="154"/>
        <v>258.08349727304397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12.281624408394277</v>
      </c>
      <c r="EW172" s="21">
        <f>EXP(-LN(2)/25)*EW171+(1-EXP(-LN(2)/25))/(LN(2)/25)*Calculateur!ER172*Calculateur!ET172*VLOOKUP('Données projet'!$B$15,Paramètres!$A$1:$I$89,3,0)*0.475*44/12</f>
        <v>1.9240907433374401</v>
      </c>
      <c r="EX172" s="21">
        <f>EXP(-LN(2)/2)*EX171+(1-EXP(-LN(2)/2))/(LN(2)/2)*ER172*EU172*VLOOKUP('Données projet'!$B$15,Paramètres!$A$1:$I$89,3,0)*0.475*44/12</f>
        <v>3.5106424423680896E-15</v>
      </c>
      <c r="EY172" s="22">
        <f t="shared" si="181"/>
        <v>14.20571515173172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388.12151914648013</v>
      </c>
      <c r="T173" s="59">
        <f t="shared" si="142"/>
        <v>481.43684454382793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18.619720386861591</v>
      </c>
      <c r="AA173" s="21">
        <f>EXP(-LN(2)/25)*AA172+(1-EXP(-LN(2)/25))/(LN(2)/25)*Calculateur!V173*Calculateur!X173*VLOOKUP('Données projet'!$B$9,Paramètres!$A$1:$I$89,3,0)*0.475*44/12</f>
        <v>2.6143881574667454</v>
      </c>
      <c r="AB173" s="21">
        <f>EXP(-LN(2)/2)*AB172+(1-EXP(-LN(2)/2))/(LN(2)/2)*V173*Y173*VLOOKUP('Données projet'!$B$9,Paramètres!$A$1:$I$89,3,0)*0.475*44/12</f>
        <v>5.3640641957425239E-16</v>
      </c>
      <c r="AC173" s="22">
        <f t="shared" si="163"/>
        <v>21.234108544328336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-1.3596945791505279E-13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349.71285006949597</v>
      </c>
      <c r="AO173" s="59">
        <f t="shared" si="144"/>
        <v>258.51550516456842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25.785339731465292</v>
      </c>
      <c r="AV173" s="21">
        <f>EXP(-LN(2)/25)*AV172+(1-EXP(-LN(2)/25))/(LN(2)/25)*Calculateur!AQ173*Calculateur!AS173*VLOOKUP('Données projet'!$B$10,Paramètres!$A$1:$I$89,3,0)*0.475*44/12</f>
        <v>4.2673193261841114</v>
      </c>
      <c r="AW173" s="21">
        <f>EXP(-LN(2)/2)*AW172+(1-EXP(-LN(2)/2))/(LN(2)/2)*AQ173*AT173*VLOOKUP('Données projet'!$B$10,Paramètres!$A$1:$I$89,3,0)*0.475*44/12</f>
        <v>2.0098878735896252E-12</v>
      </c>
      <c r="AX173" s="21">
        <f t="shared" si="166"/>
        <v>30.052659057651415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8.5265128291212022E-14</v>
      </c>
      <c r="BE173" s="13">
        <f>BD173*VLOOKUP('Données projet'!$B$11,Paramètres!$A$1:$I$89,3,0)*VLOOKUP('Données projet'!$B$11,Paramètres!$A$1:$I$89,5,0)</f>
        <v>8.9119112089974823E-14</v>
      </c>
      <c r="BF173" s="13">
        <f t="shared" si="167"/>
        <v>1.3568952080113142E-12</v>
      </c>
      <c r="BG173" s="20">
        <f t="shared" si="168"/>
        <v>2.5184749408430782E-12</v>
      </c>
      <c r="BH173" s="59">
        <f t="shared" si="116"/>
        <v>293.33333333333582</v>
      </c>
      <c r="BI173" s="59">
        <f ca="1">AVERAGE(OFFSET($BH$3,0,0,'Données projet'!$E$11+1,1))-AVERAGE(OFFSET($H$3,0,0,'Données projet'!$E$11+1,1))</f>
        <v>260.74709892624571</v>
      </c>
      <c r="BJ173" s="59">
        <f t="shared" si="146"/>
        <v>237.17381692184887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4.4498200921027511</v>
      </c>
      <c r="BQ173" s="21">
        <f>EXP(-LN(2)/25)*BQ172+(1-EXP(-LN(2)/25))/(LN(2)/25)*Calculateur!BL173*Calculateur!BN173*VLOOKUP('Données projet'!$B$11,Paramètres!$A$1:$I$89,3,0)*0.475*44/12</f>
        <v>6.5255733303495997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10.975393422452351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3.979039320256561E-13</v>
      </c>
      <c r="BZ173" s="13">
        <f>BY173*VLOOKUP('Données projet'!$B$12,Paramètres!$A$1:$I$89,3,0)*VLOOKUP('Données projet'!$B$12,Paramètres!$A$1:$I$89,5,0)</f>
        <v>3.6002347769681362E-13</v>
      </c>
      <c r="CA173" s="13">
        <f t="shared" si="170"/>
        <v>4.6593569189922594E-12</v>
      </c>
      <c r="CB173" s="20">
        <f t="shared" si="171"/>
        <v>8.7420875242334695E-12</v>
      </c>
      <c r="CC173" s="59">
        <f t="shared" si="119"/>
        <v>293.33333333334207</v>
      </c>
      <c r="CD173" s="59">
        <f ca="1">AVERAGE(OFFSET($CC$3,0,0,'Données projet'!$E$12+1,1))-AVERAGE(OFFSET($H$3,0,0,'Données projet'!$E$12+1,1))</f>
        <v>695.0879239758051</v>
      </c>
      <c r="CE173" s="59">
        <f t="shared" si="148"/>
        <v>226.22150997227476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140.15842903698564</v>
      </c>
      <c r="CL173" s="21">
        <f>EXP(-LN(2)/25)*CL172+(1-EXP(-LN(2)/25))/(LN(2)/25)*Calculateur!CG173*Calculateur!CI173*VLOOKUP('Données projet'!$B$12,Paramètres!$A$1:$I$89,3,0)*0.475*44/12</f>
        <v>22.419911009470969</v>
      </c>
      <c r="CM173" s="21">
        <f>EXP(-LN(2)/2)*CM172+(1-EXP(-LN(2)/2))/(LN(2)/2)*CG173*CJ173*VLOOKUP('Données projet'!$B$12,Paramètres!$A$1:$I$89,3,0)*0.475*44/12</f>
        <v>0.25151507363891246</v>
      </c>
      <c r="CN173" s="22">
        <f t="shared" si="172"/>
        <v>162.82985512009552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3.979039320256561E-13</v>
      </c>
      <c r="CU173" s="17">
        <f>CT173*VLOOKUP('Données projet'!$B$13,Paramètres!$A$1:$I$89,3,0)*VLOOKUP('Données projet'!$B$13,Paramètres!$A$1:$I$89,5,0)</f>
        <v>4.0347458707401528E-13</v>
      </c>
      <c r="CV173" s="13">
        <f t="shared" si="173"/>
        <v>5.1528944501892313E-12</v>
      </c>
      <c r="CW173" s="20">
        <f t="shared" si="174"/>
        <v>9.6773427399001538E-12</v>
      </c>
      <c r="CX173" s="59">
        <f t="shared" si="122"/>
        <v>293.33333333334298</v>
      </c>
      <c r="CY173" s="59">
        <f ca="1">AVERAGE(OFFSET($CX$3,0,0,'Données projet'!$E$13+1,1))-AVERAGE(OFFSET($H$3,0,0,'Données projet'!$E$13+1,1))</f>
        <v>773.15074145293738</v>
      </c>
      <c r="CZ173" s="59">
        <f t="shared" si="150"/>
        <v>248.49577986312505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157.07410150696671</v>
      </c>
      <c r="DG173" s="21">
        <f>EXP(-LN(2)/25)*DG172+(1-EXP(-LN(2)/25))/(LN(2)/25)*Calculateur!DB173*Calculateur!DD173*VLOOKUP('Données projet'!$B$13,Paramètres!$A$1:$I$89,3,0)*0.475*44/12</f>
        <v>25.125762338200225</v>
      </c>
      <c r="DH173" s="21">
        <f>EXP(-LN(2)/2)*DH172+(1-EXP(-LN(2)/2))/(LN(2)/2)*DB173*DE173*VLOOKUP('Données projet'!$B$13,Paramètres!$A$1:$I$89,3,0)*0.475*44/12</f>
        <v>0.281870341147057</v>
      </c>
      <c r="DI173" s="22">
        <f t="shared" si="175"/>
        <v>182.48173418631399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3.4106051316484809E-13</v>
      </c>
      <c r="DP173" s="17">
        <f>DO173*VLOOKUP('Données projet'!$B$14,Paramètres!$A$1:$I$89,3,0)*VLOOKUP('Données projet'!$B$14,Paramètres!$A$1:$I$89,5,0)</f>
        <v>1.5961632016114892E-13</v>
      </c>
      <c r="DQ173" s="13">
        <f t="shared" si="176"/>
        <v>2.2708641912150958E-12</v>
      </c>
      <c r="DR173" s="20">
        <f t="shared" si="177"/>
        <v>4.2330868906469593E-12</v>
      </c>
      <c r="DS173" s="59">
        <f t="shared" si="125"/>
        <v>293.33333333333752</v>
      </c>
      <c r="DT173" s="59">
        <f ca="1">AVERAGE(OFFSET($DS$3,0,0,'Données projet'!$E$14+1,1))-AVERAGE(OFFSET($H$3,0,0,'Données projet'!$E$14+1,1))</f>
        <v>293.15557501692803</v>
      </c>
      <c r="DU173" s="59">
        <f t="shared" si="152"/>
        <v>237.1930412773068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39.205763639721447</v>
      </c>
      <c r="EB173" s="21">
        <f>EXP(-LN(2)/25)*EB172+(1-EXP(-LN(2)/25))/(LN(2)/25)*Calculateur!DW173*Calculateur!DY173*VLOOKUP('Données projet'!$B$14,Paramètres!$A$1:$I$89,3,0)*0.475*44/12</f>
        <v>7.7184294228334309</v>
      </c>
      <c r="EC173" s="21">
        <f>EXP(-LN(2)/2)*EC172+(1-EXP(-LN(2)/2))/(LN(2)/2)*DW173*DZ173*VLOOKUP('Données projet'!$B$14,Paramètres!$A$1:$I$89,3,0)*0.475*44/12</f>
        <v>2.0736182966766752E-8</v>
      </c>
      <c r="ED173" s="22">
        <f t="shared" si="178"/>
        <v>46.924193083291058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-1.7053025658242404E-13</v>
      </c>
      <c r="EK173" s="17">
        <f>EJ173*VLOOKUP('Données projet'!$B$15,Paramètres!$A$1:$I$89,3,0)*VLOOKUP('Données projet'!$B$15,Paramètres!$A$1:$I$89,5,0)</f>
        <v>-1.0197709343628959E-13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225.86663363047296</v>
      </c>
      <c r="EP173" s="59">
        <f t="shared" si="154"/>
        <v>258.08349727304397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12.040789244796875</v>
      </c>
      <c r="EW173" s="21">
        <f>EXP(-LN(2)/25)*EW172+(1-EXP(-LN(2)/25))/(LN(2)/25)*Calculateur!ER173*Calculateur!ET173*VLOOKUP('Données projet'!$B$15,Paramètres!$A$1:$I$89,3,0)*0.475*44/12</f>
        <v>1.8714763807773431</v>
      </c>
      <c r="EX173" s="21">
        <f>EXP(-LN(2)/2)*EX172+(1-EXP(-LN(2)/2))/(LN(2)/2)*ER173*EU173*VLOOKUP('Données projet'!$B$15,Paramètres!$A$1:$I$89,3,0)*0.475*44/12</f>
        <v>2.4823990773197796E-15</v>
      </c>
      <c r="EY173" s="22">
        <f t="shared" si="181"/>
        <v>13.91226562557422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388.12151914648013</v>
      </c>
      <c r="T174" s="59">
        <f t="shared" si="142"/>
        <v>481.43684454382793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18.254599026983268</v>
      </c>
      <c r="AA174" s="21">
        <f>EXP(-LN(2)/25)*AA173+(1-EXP(-LN(2)/25))/(LN(2)/25)*Calculateur!V174*Calculateur!X174*VLOOKUP('Données projet'!$B$9,Paramètres!$A$1:$I$89,3,0)*0.475*44/12</f>
        <v>2.5428975758161192</v>
      </c>
      <c r="AB174" s="21">
        <f>EXP(-LN(2)/2)*AB173+(1-EXP(-LN(2)/2))/(LN(2)/2)*V174*Y174*VLOOKUP('Données projet'!$B$9,Paramètres!$A$1:$I$89,3,0)*0.475*44/12</f>
        <v>3.7929661675295029E-16</v>
      </c>
      <c r="AC174" s="22">
        <f t="shared" si="163"/>
        <v>20.797496602799388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-1.3596945791505279E-13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349.71285006949597</v>
      </c>
      <c r="AO174" s="59">
        <f t="shared" si="144"/>
        <v>258.51550516456842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25.279704946835533</v>
      </c>
      <c r="AV174" s="21">
        <f>EXP(-LN(2)/25)*AV173+(1-EXP(-LN(2)/25))/(LN(2)/25)*Calculateur!AQ174*Calculateur!AS174*VLOOKUP('Données projet'!$B$10,Paramètres!$A$1:$I$89,3,0)*0.475*44/12</f>
        <v>4.1506292548010366</v>
      </c>
      <c r="AW174" s="21">
        <f>EXP(-LN(2)/2)*AW173+(1-EXP(-LN(2)/2))/(LN(2)/2)*AQ174*AT174*VLOOKUP('Données projet'!$B$10,Paramètres!$A$1:$I$89,3,0)*0.475*44/12</f>
        <v>1.4212053448398344E-12</v>
      </c>
      <c r="AX174" s="21">
        <f t="shared" si="166"/>
        <v>29.43033420163799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8.5265128291212022E-14</v>
      </c>
      <c r="BE174" s="13">
        <f>BD174*VLOOKUP('Données projet'!$B$11,Paramètres!$A$1:$I$89,3,0)*VLOOKUP('Données projet'!$B$11,Paramètres!$A$1:$I$89,5,0)</f>
        <v>8.9119112089974823E-14</v>
      </c>
      <c r="BF174" s="13">
        <f t="shared" si="167"/>
        <v>1.3568952080113142E-12</v>
      </c>
      <c r="BG174" s="20">
        <f t="shared" si="168"/>
        <v>2.5184749408430782E-12</v>
      </c>
      <c r="BH174" s="59">
        <f t="shared" si="116"/>
        <v>293.33333333333582</v>
      </c>
      <c r="BI174" s="59">
        <f ca="1">AVERAGE(OFFSET($BH$3,0,0,'Données projet'!$E$11+1,1))-AVERAGE(OFFSET($H$3,0,0,'Données projet'!$E$11+1,1))</f>
        <v>260.74709892624571</v>
      </c>
      <c r="BJ174" s="59">
        <f t="shared" si="146"/>
        <v>237.17381692184887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4.3625618342188748</v>
      </c>
      <c r="BQ174" s="21">
        <f>EXP(-LN(2)/25)*BQ173+(1-EXP(-LN(2)/25))/(LN(2)/25)*Calculateur!BL174*Calculateur!BN174*VLOOKUP('Données projet'!$B$11,Paramètres!$A$1:$I$89,3,0)*0.475*44/12</f>
        <v>6.3471311844662033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10.709693018685078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3.979039320256561E-13</v>
      </c>
      <c r="BZ174" s="13">
        <f>BY174*VLOOKUP('Données projet'!$B$12,Paramètres!$A$1:$I$89,3,0)*VLOOKUP('Données projet'!$B$12,Paramètres!$A$1:$I$89,5,0)</f>
        <v>3.6002347769681362E-13</v>
      </c>
      <c r="CA174" s="13">
        <f t="shared" si="170"/>
        <v>4.6593569189922594E-12</v>
      </c>
      <c r="CB174" s="20">
        <f t="shared" si="171"/>
        <v>8.7420875242334695E-12</v>
      </c>
      <c r="CC174" s="59">
        <f t="shared" si="119"/>
        <v>293.33333333334207</v>
      </c>
      <c r="CD174" s="59">
        <f ca="1">AVERAGE(OFFSET($CC$3,0,0,'Données projet'!$E$12+1,1))-AVERAGE(OFFSET($H$3,0,0,'Données projet'!$E$12+1,1))</f>
        <v>695.0879239758051</v>
      </c>
      <c r="CE174" s="59">
        <f t="shared" si="148"/>
        <v>226.22150997227476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137.4100077317708</v>
      </c>
      <c r="CL174" s="21">
        <f>EXP(-LN(2)/25)*CL173+(1-EXP(-LN(2)/25))/(LN(2)/25)*Calculateur!CG174*Calculateur!CI174*VLOOKUP('Données projet'!$B$12,Paramètres!$A$1:$I$89,3,0)*0.475*44/12</f>
        <v>21.806837363905107</v>
      </c>
      <c r="CM174" s="21">
        <f>EXP(-LN(2)/2)*CM173+(1-EXP(-LN(2)/2))/(LN(2)/2)*CG174*CJ174*VLOOKUP('Données projet'!$B$12,Paramètres!$A$1:$I$89,3,0)*0.475*44/12</f>
        <v>0.17784801414070886</v>
      </c>
      <c r="CN174" s="22">
        <f t="shared" si="172"/>
        <v>159.39469310981664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3.979039320256561E-13</v>
      </c>
      <c r="CU174" s="17">
        <f>CT174*VLOOKUP('Données projet'!$B$13,Paramètres!$A$1:$I$89,3,0)*VLOOKUP('Données projet'!$B$13,Paramètres!$A$1:$I$89,5,0)</f>
        <v>4.0347458707401528E-13</v>
      </c>
      <c r="CV174" s="13">
        <f t="shared" si="173"/>
        <v>5.1528944501892313E-12</v>
      </c>
      <c r="CW174" s="20">
        <f t="shared" si="174"/>
        <v>9.6773427399001538E-12</v>
      </c>
      <c r="CX174" s="59">
        <f t="shared" si="122"/>
        <v>293.33333333334298</v>
      </c>
      <c r="CY174" s="59">
        <f ca="1">AVERAGE(OFFSET($CX$3,0,0,'Données projet'!$E$13+1,1))-AVERAGE(OFFSET($H$3,0,0,'Données projet'!$E$13+1,1))</f>
        <v>773.15074145293738</v>
      </c>
      <c r="CZ174" s="59">
        <f t="shared" si="150"/>
        <v>248.49577986312505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153.99397418215699</v>
      </c>
      <c r="DG174" s="21">
        <f>EXP(-LN(2)/25)*DG173+(1-EXP(-LN(2)/25))/(LN(2)/25)*Calculateur!DB174*Calculateur!DD174*VLOOKUP('Données projet'!$B$13,Paramètres!$A$1:$I$89,3,0)*0.475*44/12</f>
        <v>24.438697045755724</v>
      </c>
      <c r="DH174" s="21">
        <f>EXP(-LN(2)/2)*DH173+(1-EXP(-LN(2)/2))/(LN(2)/2)*DB174*DE174*VLOOKUP('Données projet'!$B$13,Paramètres!$A$1:$I$89,3,0)*0.475*44/12</f>
        <v>0.19931242964044954</v>
      </c>
      <c r="DI174" s="22">
        <f t="shared" si="175"/>
        <v>178.63198365755318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3.4106051316484809E-13</v>
      </c>
      <c r="DP174" s="17">
        <f>DO174*VLOOKUP('Données projet'!$B$14,Paramètres!$A$1:$I$89,3,0)*VLOOKUP('Données projet'!$B$14,Paramètres!$A$1:$I$89,5,0)</f>
        <v>1.5961632016114892E-13</v>
      </c>
      <c r="DQ174" s="13">
        <f t="shared" si="176"/>
        <v>2.2708641912150958E-12</v>
      </c>
      <c r="DR174" s="20">
        <f t="shared" si="177"/>
        <v>4.2330868906469593E-12</v>
      </c>
      <c r="DS174" s="59">
        <f t="shared" si="125"/>
        <v>293.33333333333752</v>
      </c>
      <c r="DT174" s="59">
        <f ca="1">AVERAGE(OFFSET($DS$3,0,0,'Données projet'!$E$14+1,1))-AVERAGE(OFFSET($H$3,0,0,'Données projet'!$E$14+1,1))</f>
        <v>293.15557501692803</v>
      </c>
      <c r="DU174" s="59">
        <f t="shared" si="152"/>
        <v>237.1930412773068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38.436962527901102</v>
      </c>
      <c r="EB174" s="21">
        <f>EXP(-LN(2)/25)*EB173+(1-EXP(-LN(2)/25))/(LN(2)/25)*Calculateur!DW174*Calculateur!DY174*VLOOKUP('Données projet'!$B$14,Paramètres!$A$1:$I$89,3,0)*0.475*44/12</f>
        <v>7.5073685643714878</v>
      </c>
      <c r="EC174" s="21">
        <f>EXP(-LN(2)/2)*EC173+(1-EXP(-LN(2)/2))/(LN(2)/2)*DW174*DZ174*VLOOKUP('Données projet'!$B$14,Paramètres!$A$1:$I$89,3,0)*0.475*44/12</f>
        <v>1.4662695591725753E-8</v>
      </c>
      <c r="ED174" s="22">
        <f t="shared" si="178"/>
        <v>45.944331106935287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-1.7053025658242404E-13</v>
      </c>
      <c r="EK174" s="17">
        <f>EJ174*VLOOKUP('Données projet'!$B$15,Paramètres!$A$1:$I$89,3,0)*VLOOKUP('Données projet'!$B$15,Paramètres!$A$1:$I$89,5,0)</f>
        <v>-1.0197709343628959E-13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225.86663363047296</v>
      </c>
      <c r="EP174" s="59">
        <f t="shared" si="154"/>
        <v>258.08349727304397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11.804676711862673</v>
      </c>
      <c r="EW174" s="21">
        <f>EXP(-LN(2)/25)*EW173+(1-EXP(-LN(2)/25))/(LN(2)/25)*Calculateur!ER174*Calculateur!ET174*VLOOKUP('Données projet'!$B$15,Paramètres!$A$1:$I$89,3,0)*0.475*44/12</f>
        <v>1.820300760728321</v>
      </c>
      <c r="EX174" s="21">
        <f>EXP(-LN(2)/2)*EX173+(1-EXP(-LN(2)/2))/(LN(2)/2)*ER174*EU174*VLOOKUP('Données projet'!$B$15,Paramètres!$A$1:$I$89,3,0)*0.475*44/12</f>
        <v>1.755321221184045E-15</v>
      </c>
      <c r="EY174" s="22">
        <f t="shared" si="181"/>
        <v>13.624977472590995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388.12151914648013</v>
      </c>
      <c r="T175" s="59">
        <f t="shared" si="142"/>
        <v>481.43684454382793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17.896637474270122</v>
      </c>
      <c r="AA175" s="21">
        <f>EXP(-LN(2)/25)*AA174+(1-EXP(-LN(2)/25))/(LN(2)/25)*Calculateur!V175*Calculateur!X175*VLOOKUP('Données projet'!$B$9,Paramètres!$A$1:$I$89,3,0)*0.475*44/12</f>
        <v>2.4733619078802556</v>
      </c>
      <c r="AB175" s="21">
        <f>EXP(-LN(2)/2)*AB174+(1-EXP(-LN(2)/2))/(LN(2)/2)*V175*Y175*VLOOKUP('Données projet'!$B$9,Paramètres!$A$1:$I$89,3,0)*0.475*44/12</f>
        <v>2.6820320978712619E-16</v>
      </c>
      <c r="AC175" s="22">
        <f t="shared" si="163"/>
        <v>20.369999382150379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-1.3596945791505279E-13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349.71285006949597</v>
      </c>
      <c r="AO175" s="59">
        <f t="shared" si="144"/>
        <v>258.51550516456842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24.783985351925597</v>
      </c>
      <c r="AV175" s="21">
        <f>EXP(-LN(2)/25)*AV174+(1-EXP(-LN(2)/25))/(LN(2)/25)*Calculateur!AQ175*Calculateur!AS175*VLOOKUP('Données projet'!$B$10,Paramètres!$A$1:$I$89,3,0)*0.475*44/12</f>
        <v>4.0371300795563965</v>
      </c>
      <c r="AW175" s="21">
        <f>EXP(-LN(2)/2)*AW174+(1-EXP(-LN(2)/2))/(LN(2)/2)*AQ175*AT175*VLOOKUP('Données projet'!$B$10,Paramètres!$A$1:$I$89,3,0)*0.475*44/12</f>
        <v>1.0049439367948126E-12</v>
      </c>
      <c r="AX175" s="21">
        <f t="shared" si="166"/>
        <v>28.821115431482998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8.5265128291212022E-14</v>
      </c>
      <c r="BE175" s="13">
        <f>BD175*VLOOKUP('Données projet'!$B$11,Paramètres!$A$1:$I$89,3,0)*VLOOKUP('Données projet'!$B$11,Paramètres!$A$1:$I$89,5,0)</f>
        <v>8.9119112089974823E-14</v>
      </c>
      <c r="BF175" s="13">
        <f t="shared" si="167"/>
        <v>1.3568952080113142E-12</v>
      </c>
      <c r="BG175" s="20">
        <f t="shared" si="168"/>
        <v>2.5184749408430782E-12</v>
      </c>
      <c r="BH175" s="59">
        <f t="shared" si="116"/>
        <v>293.33333333333582</v>
      </c>
      <c r="BI175" s="59">
        <f ca="1">AVERAGE(OFFSET($BH$3,0,0,'Données projet'!$E$11+1,1))-AVERAGE(OFFSET($H$3,0,0,'Données projet'!$E$11+1,1))</f>
        <v>260.74709892624571</v>
      </c>
      <c r="BJ175" s="59">
        <f t="shared" si="146"/>
        <v>237.17381692184887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4.2770146575498194</v>
      </c>
      <c r="BQ175" s="21">
        <f>EXP(-LN(2)/25)*BQ174+(1-EXP(-LN(2)/25))/(LN(2)/25)*Calculateur!BL175*Calculateur!BN175*VLOOKUP('Données projet'!$B$11,Paramètres!$A$1:$I$89,3,0)*0.475*44/12</f>
        <v>6.1735685484458527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10.450583205995672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3.979039320256561E-13</v>
      </c>
      <c r="BZ175" s="13">
        <f>BY175*VLOOKUP('Données projet'!$B$12,Paramètres!$A$1:$I$89,3,0)*VLOOKUP('Données projet'!$B$12,Paramètres!$A$1:$I$89,5,0)</f>
        <v>3.6002347769681362E-13</v>
      </c>
      <c r="CA175" s="13">
        <f t="shared" si="170"/>
        <v>4.6593569189922594E-12</v>
      </c>
      <c r="CB175" s="20">
        <f t="shared" si="171"/>
        <v>8.7420875242334695E-12</v>
      </c>
      <c r="CC175" s="59">
        <f t="shared" si="119"/>
        <v>293.33333333334207</v>
      </c>
      <c r="CD175" s="59">
        <f ca="1">AVERAGE(OFFSET($CC$3,0,0,'Données projet'!$E$12+1,1))-AVERAGE(OFFSET($H$3,0,0,'Données projet'!$E$12+1,1))</f>
        <v>695.0879239758051</v>
      </c>
      <c r="CE175" s="59">
        <f t="shared" si="148"/>
        <v>226.22150997227476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134.71548129197976</v>
      </c>
      <c r="CL175" s="21">
        <f>EXP(-LN(2)/25)*CL174+(1-EXP(-LN(2)/25))/(LN(2)/25)*Calculateur!CG175*Calculateur!CI175*VLOOKUP('Données projet'!$B$12,Paramètres!$A$1:$I$89,3,0)*0.475*44/12</f>
        <v>21.210528249417386</v>
      </c>
      <c r="CM175" s="21">
        <f>EXP(-LN(2)/2)*CM174+(1-EXP(-LN(2)/2))/(LN(2)/2)*CG175*CJ175*VLOOKUP('Données projet'!$B$12,Paramètres!$A$1:$I$89,3,0)*0.475*44/12</f>
        <v>0.12575753681945623</v>
      </c>
      <c r="CN175" s="22">
        <f t="shared" si="172"/>
        <v>156.05176707821661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3.979039320256561E-13</v>
      </c>
      <c r="CU175" s="17">
        <f>CT175*VLOOKUP('Données projet'!$B$13,Paramètres!$A$1:$I$89,3,0)*VLOOKUP('Données projet'!$B$13,Paramètres!$A$1:$I$89,5,0)</f>
        <v>4.0347458707401528E-13</v>
      </c>
      <c r="CV175" s="13">
        <f t="shared" si="173"/>
        <v>5.1528944501892313E-12</v>
      </c>
      <c r="CW175" s="20">
        <f t="shared" si="174"/>
        <v>9.6773427399001538E-12</v>
      </c>
      <c r="CX175" s="59">
        <f t="shared" si="122"/>
        <v>293.33333333334298</v>
      </c>
      <c r="CY175" s="59">
        <f ca="1">AVERAGE(OFFSET($CX$3,0,0,'Données projet'!$E$13+1,1))-AVERAGE(OFFSET($H$3,0,0,'Données projet'!$E$13+1,1))</f>
        <v>773.15074145293738</v>
      </c>
      <c r="CZ175" s="59">
        <f t="shared" si="150"/>
        <v>248.49577986312505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150.97424627549461</v>
      </c>
      <c r="DG175" s="21">
        <f>EXP(-LN(2)/25)*DG174+(1-EXP(-LN(2)/25))/(LN(2)/25)*Calculateur!DB175*Calculateur!DD175*VLOOKUP('Données projet'!$B$13,Paramètres!$A$1:$I$89,3,0)*0.475*44/12</f>
        <v>23.770419589864311</v>
      </c>
      <c r="DH175" s="21">
        <f>EXP(-LN(2)/2)*DH174+(1-EXP(-LN(2)/2))/(LN(2)/2)*DB175*DE175*VLOOKUP('Données projet'!$B$13,Paramètres!$A$1:$I$89,3,0)*0.475*44/12</f>
        <v>0.1409351705735285</v>
      </c>
      <c r="DI175" s="22">
        <f t="shared" si="175"/>
        <v>174.88560103593244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3.4106051316484809E-13</v>
      </c>
      <c r="DP175" s="17">
        <f>DO175*VLOOKUP('Données projet'!$B$14,Paramètres!$A$1:$I$89,3,0)*VLOOKUP('Données projet'!$B$14,Paramètres!$A$1:$I$89,5,0)</f>
        <v>1.5961632016114892E-13</v>
      </c>
      <c r="DQ175" s="13">
        <f t="shared" si="176"/>
        <v>2.2708641912150958E-12</v>
      </c>
      <c r="DR175" s="20">
        <f t="shared" si="177"/>
        <v>4.2330868906469593E-12</v>
      </c>
      <c r="DS175" s="59">
        <f t="shared" si="125"/>
        <v>293.33333333333752</v>
      </c>
      <c r="DT175" s="59">
        <f ca="1">AVERAGE(OFFSET($DS$3,0,0,'Données projet'!$E$14+1,1))-AVERAGE(OFFSET($H$3,0,0,'Données projet'!$E$14+1,1))</f>
        <v>293.15557501692803</v>
      </c>
      <c r="DU175" s="59">
        <f t="shared" si="152"/>
        <v>237.1930412773068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37.683237136961175</v>
      </c>
      <c r="EB175" s="21">
        <f>EXP(-LN(2)/25)*EB174+(1-EXP(-LN(2)/25))/(LN(2)/25)*Calculateur!DW175*Calculateur!DY175*VLOOKUP('Données projet'!$B$14,Paramètres!$A$1:$I$89,3,0)*0.475*44/12</f>
        <v>7.302079176183395</v>
      </c>
      <c r="EC175" s="21">
        <f>EXP(-LN(2)/2)*EC174+(1-EXP(-LN(2)/2))/(LN(2)/2)*DW175*DZ175*VLOOKUP('Données projet'!$B$14,Paramètres!$A$1:$I$89,3,0)*0.475*44/12</f>
        <v>1.0368091483383377E-8</v>
      </c>
      <c r="ED175" s="22">
        <f t="shared" si="178"/>
        <v>44.985316323512663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-1.7053025658242404E-13</v>
      </c>
      <c r="EK175" s="17">
        <f>EJ175*VLOOKUP('Données projet'!$B$15,Paramètres!$A$1:$I$89,3,0)*VLOOKUP('Données projet'!$B$15,Paramètres!$A$1:$I$89,5,0)</f>
        <v>-1.0197709343628959E-13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225.86663363047296</v>
      </c>
      <c r="EP175" s="59">
        <f t="shared" si="154"/>
        <v>258.08349727304397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11.573194201684885</v>
      </c>
      <c r="EW175" s="21">
        <f>EXP(-LN(2)/25)*EW174+(1-EXP(-LN(2)/25))/(LN(2)/25)*Calculateur!ER175*Calculateur!ET175*VLOOKUP('Données projet'!$B$15,Paramètres!$A$1:$I$89,3,0)*0.475*44/12</f>
        <v>1.7705245407007484</v>
      </c>
      <c r="EX175" s="21">
        <f>EXP(-LN(2)/2)*EX174+(1-EXP(-LN(2)/2))/(LN(2)/2)*ER175*EU175*VLOOKUP('Données projet'!$B$15,Paramètres!$A$1:$I$89,3,0)*0.475*44/12</f>
        <v>1.24119953865989E-15</v>
      </c>
      <c r="EY175" s="22">
        <f t="shared" si="181"/>
        <v>13.343718742385635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388.12151914648013</v>
      </c>
      <c r="T176" s="59">
        <f t="shared" si="142"/>
        <v>481.43684454382793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17.545695329270693</v>
      </c>
      <c r="AA176" s="21">
        <f>EXP(-LN(2)/25)*AA175+(1-EXP(-LN(2)/25))/(LN(2)/25)*Calculateur!V176*Calculateur!X176*VLOOKUP('Données projet'!$B$9,Paramètres!$A$1:$I$89,3,0)*0.475*44/12</f>
        <v>2.4057276964408203</v>
      </c>
      <c r="AB176" s="21">
        <f>EXP(-LN(2)/2)*AB175+(1-EXP(-LN(2)/2))/(LN(2)/2)*V176*Y176*VLOOKUP('Données projet'!$B$9,Paramètres!$A$1:$I$89,3,0)*0.475*44/12</f>
        <v>1.8964830837647514E-16</v>
      </c>
      <c r="AC176" s="22">
        <f t="shared" si="163"/>
        <v>19.951423025711513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-1.3596945791505279E-13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349.71285006949597</v>
      </c>
      <c r="AO176" s="59">
        <f t="shared" si="144"/>
        <v>258.51550516456842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24.297986515912747</v>
      </c>
      <c r="AV176" s="21">
        <f>EXP(-LN(2)/25)*AV175+(1-EXP(-LN(2)/25))/(LN(2)/25)*Calculateur!AQ176*Calculateur!AS176*VLOOKUP('Données projet'!$B$10,Paramètres!$A$1:$I$89,3,0)*0.475*44/12</f>
        <v>3.9267345452274829</v>
      </c>
      <c r="AW176" s="21">
        <f>EXP(-LN(2)/2)*AW175+(1-EXP(-LN(2)/2))/(LN(2)/2)*AQ176*AT176*VLOOKUP('Données projet'!$B$10,Paramètres!$A$1:$I$89,3,0)*0.475*44/12</f>
        <v>7.1060267241991719E-13</v>
      </c>
      <c r="AX176" s="21">
        <f t="shared" si="166"/>
        <v>28.22472106114094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8.5265128291212022E-14</v>
      </c>
      <c r="BE176" s="13">
        <f>BD176*VLOOKUP('Données projet'!$B$11,Paramètres!$A$1:$I$89,3,0)*VLOOKUP('Données projet'!$B$11,Paramètres!$A$1:$I$89,5,0)</f>
        <v>8.9119112089974823E-14</v>
      </c>
      <c r="BF176" s="13">
        <f t="shared" si="167"/>
        <v>1.3568952080113142E-12</v>
      </c>
      <c r="BG176" s="20">
        <f t="shared" si="168"/>
        <v>2.5184749408430782E-12</v>
      </c>
      <c r="BH176" s="59">
        <f t="shared" si="116"/>
        <v>293.33333333333582</v>
      </c>
      <c r="BI176" s="59">
        <f ca="1">AVERAGE(OFFSET($BH$3,0,0,'Données projet'!$E$11+1,1))-AVERAGE(OFFSET($H$3,0,0,'Données projet'!$E$11+1,1))</f>
        <v>260.74709892624571</v>
      </c>
      <c r="BJ176" s="59">
        <f t="shared" si="146"/>
        <v>237.17381692184887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4.1931450088366189</v>
      </c>
      <c r="BQ176" s="21">
        <f>EXP(-LN(2)/25)*BQ175+(1-EXP(-LN(2)/25))/(LN(2)/25)*Calculateur!BL176*Calculateur!BN176*VLOOKUP('Données projet'!$B$11,Paramètres!$A$1:$I$89,3,0)*0.475*44/12</f>
        <v>6.0047519918347412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10.197897000671361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3.979039320256561E-13</v>
      </c>
      <c r="BZ176" s="13">
        <f>BY176*VLOOKUP('Données projet'!$B$12,Paramètres!$A$1:$I$89,3,0)*VLOOKUP('Données projet'!$B$12,Paramètres!$A$1:$I$89,5,0)</f>
        <v>3.6002347769681362E-13</v>
      </c>
      <c r="CA176" s="13">
        <f t="shared" si="170"/>
        <v>4.6593569189922594E-12</v>
      </c>
      <c r="CB176" s="20">
        <f t="shared" si="171"/>
        <v>8.7420875242334695E-12</v>
      </c>
      <c r="CC176" s="59">
        <f t="shared" si="119"/>
        <v>293.33333333334207</v>
      </c>
      <c r="CD176" s="59">
        <f ca="1">AVERAGE(OFFSET($CC$3,0,0,'Données projet'!$E$12+1,1))-AVERAGE(OFFSET($H$3,0,0,'Données projet'!$E$12+1,1))</f>
        <v>695.0879239758051</v>
      </c>
      <c r="CE176" s="59">
        <f t="shared" si="148"/>
        <v>226.22150997227476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132.07379287217418</v>
      </c>
      <c r="CL176" s="21">
        <f>EXP(-LN(2)/25)*CL175+(1-EXP(-LN(2)/25))/(LN(2)/25)*Calculateur!CG176*Calculateur!CI176*VLOOKUP('Données projet'!$B$12,Paramètres!$A$1:$I$89,3,0)*0.475*44/12</f>
        <v>20.630525239023864</v>
      </c>
      <c r="CM176" s="21">
        <f>EXP(-LN(2)/2)*CM175+(1-EXP(-LN(2)/2))/(LN(2)/2)*CG176*CJ176*VLOOKUP('Données projet'!$B$12,Paramètres!$A$1:$I$89,3,0)*0.475*44/12</f>
        <v>8.892400707035443E-2</v>
      </c>
      <c r="CN176" s="22">
        <f t="shared" si="172"/>
        <v>152.79324211826838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3.979039320256561E-13</v>
      </c>
      <c r="CU176" s="17">
        <f>CT176*VLOOKUP('Données projet'!$B$13,Paramètres!$A$1:$I$89,3,0)*VLOOKUP('Données projet'!$B$13,Paramètres!$A$1:$I$89,5,0)</f>
        <v>4.0347458707401528E-13</v>
      </c>
      <c r="CV176" s="13">
        <f t="shared" si="173"/>
        <v>5.1528944501892313E-12</v>
      </c>
      <c r="CW176" s="20">
        <f t="shared" si="174"/>
        <v>9.6773427399001538E-12</v>
      </c>
      <c r="CX176" s="59">
        <f t="shared" si="122"/>
        <v>293.33333333334298</v>
      </c>
      <c r="CY176" s="59">
        <f ca="1">AVERAGE(OFFSET($CX$3,0,0,'Données projet'!$E$13+1,1))-AVERAGE(OFFSET($H$3,0,0,'Données projet'!$E$13+1,1))</f>
        <v>773.15074145293738</v>
      </c>
      <c r="CZ176" s="59">
        <f t="shared" si="150"/>
        <v>248.49577986312505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148.01373339122972</v>
      </c>
      <c r="DG176" s="21">
        <f>EXP(-LN(2)/25)*DG175+(1-EXP(-LN(2)/25))/(LN(2)/25)*Calculateur!DB176*Calculateur!DD176*VLOOKUP('Données projet'!$B$13,Paramètres!$A$1:$I$89,3,0)*0.475*44/12</f>
        <v>23.120416216147433</v>
      </c>
      <c r="DH176" s="21">
        <f>EXP(-LN(2)/2)*DH175+(1-EXP(-LN(2)/2))/(LN(2)/2)*DB176*DE176*VLOOKUP('Données projet'!$B$13,Paramètres!$A$1:$I$89,3,0)*0.475*44/12</f>
        <v>9.965621482022477E-2</v>
      </c>
      <c r="DI176" s="22">
        <f t="shared" si="175"/>
        <v>171.23380582219735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3.4106051316484809E-13</v>
      </c>
      <c r="DP176" s="17">
        <f>DO176*VLOOKUP('Données projet'!$B$14,Paramètres!$A$1:$I$89,3,0)*VLOOKUP('Données projet'!$B$14,Paramètres!$A$1:$I$89,5,0)</f>
        <v>1.5961632016114892E-13</v>
      </c>
      <c r="DQ176" s="13">
        <f t="shared" si="176"/>
        <v>2.2708641912150958E-12</v>
      </c>
      <c r="DR176" s="20">
        <f t="shared" si="177"/>
        <v>4.2330868906469593E-12</v>
      </c>
      <c r="DS176" s="59">
        <f t="shared" si="125"/>
        <v>293.33333333333752</v>
      </c>
      <c r="DT176" s="59">
        <f ca="1">AVERAGE(OFFSET($DS$3,0,0,'Données projet'!$E$14+1,1))-AVERAGE(OFFSET($H$3,0,0,'Données projet'!$E$14+1,1))</f>
        <v>293.15557501692803</v>
      </c>
      <c r="DU176" s="59">
        <f t="shared" si="152"/>
        <v>237.1930412773068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36.944291841210486</v>
      </c>
      <c r="EB176" s="21">
        <f>EXP(-LN(2)/25)*EB175+(1-EXP(-LN(2)/25))/(LN(2)/25)*Calculateur!DW176*Calculateur!DY176*VLOOKUP('Données projet'!$B$14,Paramètres!$A$1:$I$89,3,0)*0.475*44/12</f>
        <v>7.102403437111005</v>
      </c>
      <c r="EC176" s="21">
        <f>EXP(-LN(2)/2)*EC175+(1-EXP(-LN(2)/2))/(LN(2)/2)*DW176*DZ176*VLOOKUP('Données projet'!$B$14,Paramètres!$A$1:$I$89,3,0)*0.475*44/12</f>
        <v>7.3313477958628773E-9</v>
      </c>
      <c r="ED176" s="22">
        <f t="shared" si="178"/>
        <v>44.046695285652838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-1.7053025658242404E-13</v>
      </c>
      <c r="EK176" s="17">
        <f>EJ176*VLOOKUP('Données projet'!$B$15,Paramètres!$A$1:$I$89,3,0)*VLOOKUP('Données projet'!$B$15,Paramètres!$A$1:$I$89,5,0)</f>
        <v>-1.0197709343628959E-13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225.86663363047296</v>
      </c>
      <c r="EP176" s="59">
        <f t="shared" si="154"/>
        <v>258.08349727304397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11.346250922341294</v>
      </c>
      <c r="EW176" s="21">
        <f>EXP(-LN(2)/25)*EW175+(1-EXP(-LN(2)/25))/(LN(2)/25)*Calculateur!ER176*Calculateur!ET176*VLOOKUP('Données projet'!$B$15,Paramètres!$A$1:$I$89,3,0)*0.475*44/12</f>
        <v>1.7221094540274473</v>
      </c>
      <c r="EX176" s="21">
        <f>EXP(-LN(2)/2)*EX175+(1-EXP(-LN(2)/2))/(LN(2)/2)*ER176*EU176*VLOOKUP('Données projet'!$B$15,Paramètres!$A$1:$I$89,3,0)*0.475*44/12</f>
        <v>8.7766061059202269E-16</v>
      </c>
      <c r="EY176" s="22">
        <f t="shared" si="181"/>
        <v>13.068360376368741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388.12151914648013</v>
      </c>
      <c r="T177" s="59">
        <f t="shared" si="142"/>
        <v>481.43684454382793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17.201634945681128</v>
      </c>
      <c r="AA177" s="21">
        <f>EXP(-LN(2)/25)*AA176+(1-EXP(-LN(2)/25))/(LN(2)/25)*Calculateur!V177*Calculateur!X177*VLOOKUP('Données projet'!$B$9,Paramètres!$A$1:$I$89,3,0)*0.475*44/12</f>
        <v>2.3399429460699248</v>
      </c>
      <c r="AB177" s="21">
        <f>EXP(-LN(2)/2)*AB176+(1-EXP(-LN(2)/2))/(LN(2)/2)*V177*Y177*VLOOKUP('Données projet'!$B$9,Paramètres!$A$1:$I$89,3,0)*0.475*44/12</f>
        <v>1.341016048935631E-16</v>
      </c>
      <c r="AC177" s="22">
        <f t="shared" si="163"/>
        <v>19.541577891751054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-1.3596945791505279E-13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349.71285006949597</v>
      </c>
      <c r="AO177" s="59">
        <f t="shared" si="144"/>
        <v>258.51550516456842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23.82151782064409</v>
      </c>
      <c r="AV177" s="21">
        <f>EXP(-LN(2)/25)*AV176+(1-EXP(-LN(2)/25))/(LN(2)/25)*Calculateur!AQ177*Calculateur!AS177*VLOOKUP('Données projet'!$B$10,Paramètres!$A$1:$I$89,3,0)*0.475*44/12</f>
        <v>3.8193577825902425</v>
      </c>
      <c r="AW177" s="21">
        <f>EXP(-LN(2)/2)*AW176+(1-EXP(-LN(2)/2))/(LN(2)/2)*AQ177*AT177*VLOOKUP('Données projet'!$B$10,Paramètres!$A$1:$I$89,3,0)*0.475*44/12</f>
        <v>5.0247196839740629E-13</v>
      </c>
      <c r="AX177" s="21">
        <f t="shared" si="166"/>
        <v>27.640875603234832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8.5265128291212022E-14</v>
      </c>
      <c r="BE177" s="13">
        <f>BD177*VLOOKUP('Données projet'!$B$11,Paramètres!$A$1:$I$89,3,0)*VLOOKUP('Données projet'!$B$11,Paramètres!$A$1:$I$89,5,0)</f>
        <v>8.9119112089974823E-14</v>
      </c>
      <c r="BF177" s="13">
        <f t="shared" si="167"/>
        <v>1.3568952080113142E-12</v>
      </c>
      <c r="BG177" s="20">
        <f t="shared" si="168"/>
        <v>2.5184749408430782E-12</v>
      </c>
      <c r="BH177" s="59">
        <f t="shared" si="116"/>
        <v>293.33333333333582</v>
      </c>
      <c r="BI177" s="59">
        <f ca="1">AVERAGE(OFFSET($BH$3,0,0,'Données projet'!$E$11+1,1))-AVERAGE(OFFSET($H$3,0,0,'Données projet'!$E$11+1,1))</f>
        <v>260.74709892624571</v>
      </c>
      <c r="BJ177" s="59">
        <f t="shared" si="146"/>
        <v>237.17381692184887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4.1109199927792499</v>
      </c>
      <c r="BQ177" s="21">
        <f>EXP(-LN(2)/25)*BQ176+(1-EXP(-LN(2)/25))/(LN(2)/25)*Calculateur!BL177*Calculateur!BN177*VLOOKUP('Données projet'!$B$11,Paramètres!$A$1:$I$89,3,0)*0.475*44/12</f>
        <v>5.8405517328418366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9.9514717256210865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3.979039320256561E-13</v>
      </c>
      <c r="BZ177" s="13">
        <f>BY177*VLOOKUP('Données projet'!$B$12,Paramètres!$A$1:$I$89,3,0)*VLOOKUP('Données projet'!$B$12,Paramètres!$A$1:$I$89,5,0)</f>
        <v>3.6002347769681362E-13</v>
      </c>
      <c r="CA177" s="13">
        <f t="shared" si="170"/>
        <v>4.6593569189922594E-12</v>
      </c>
      <c r="CB177" s="20">
        <f t="shared" si="171"/>
        <v>8.7420875242334695E-12</v>
      </c>
      <c r="CC177" s="59">
        <f t="shared" si="119"/>
        <v>293.33333333334207</v>
      </c>
      <c r="CD177" s="59">
        <f ca="1">AVERAGE(OFFSET($CC$3,0,0,'Données projet'!$E$12+1,1))-AVERAGE(OFFSET($H$3,0,0,'Données projet'!$E$12+1,1))</f>
        <v>695.0879239758051</v>
      </c>
      <c r="CE177" s="59">
        <f t="shared" si="148"/>
        <v>226.22150997227476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129.48390635101015</v>
      </c>
      <c r="CL177" s="21">
        <f>EXP(-LN(2)/25)*CL176+(1-EXP(-LN(2)/25))/(LN(2)/25)*Calculateur!CG177*Calculateur!CI177*VLOOKUP('Données projet'!$B$12,Paramètres!$A$1:$I$89,3,0)*0.475*44/12</f>
        <v>20.066382441450585</v>
      </c>
      <c r="CM177" s="21">
        <f>EXP(-LN(2)/2)*CM176+(1-EXP(-LN(2)/2))/(LN(2)/2)*CG177*CJ177*VLOOKUP('Données projet'!$B$12,Paramètres!$A$1:$I$89,3,0)*0.475*44/12</f>
        <v>6.2878768409728114E-2</v>
      </c>
      <c r="CN177" s="22">
        <f t="shared" si="172"/>
        <v>149.61316756087044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3.979039320256561E-13</v>
      </c>
      <c r="CU177" s="17">
        <f>CT177*VLOOKUP('Données projet'!$B$13,Paramètres!$A$1:$I$89,3,0)*VLOOKUP('Données projet'!$B$13,Paramètres!$A$1:$I$89,5,0)</f>
        <v>4.0347458707401528E-13</v>
      </c>
      <c r="CV177" s="13">
        <f t="shared" si="173"/>
        <v>5.1528944501892313E-12</v>
      </c>
      <c r="CW177" s="20">
        <f t="shared" si="174"/>
        <v>9.6773427399001538E-12</v>
      </c>
      <c r="CX177" s="59">
        <f t="shared" si="122"/>
        <v>293.33333333334298</v>
      </c>
      <c r="CY177" s="59">
        <f ca="1">AVERAGE(OFFSET($CX$3,0,0,'Données projet'!$E$13+1,1))-AVERAGE(OFFSET($H$3,0,0,'Données projet'!$E$13+1,1))</f>
        <v>773.15074145293738</v>
      </c>
      <c r="CZ177" s="59">
        <f t="shared" si="150"/>
        <v>248.49577986312505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145.11127435889071</v>
      </c>
      <c r="DG177" s="21">
        <f>EXP(-LN(2)/25)*DG176+(1-EXP(-LN(2)/25))/(LN(2)/25)*Calculateur!DB177*Calculateur!DD177*VLOOKUP('Données projet'!$B$13,Paramètres!$A$1:$I$89,3,0)*0.475*44/12</f>
        <v>22.488187218867036</v>
      </c>
      <c r="DH177" s="21">
        <f>EXP(-LN(2)/2)*DH176+(1-EXP(-LN(2)/2))/(LN(2)/2)*DB177*DE177*VLOOKUP('Données projet'!$B$13,Paramètres!$A$1:$I$89,3,0)*0.475*44/12</f>
        <v>7.046758528676425E-2</v>
      </c>
      <c r="DI177" s="22">
        <f t="shared" si="175"/>
        <v>167.66992916304451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3.4106051316484809E-13</v>
      </c>
      <c r="DP177" s="17">
        <f>DO177*VLOOKUP('Données projet'!$B$14,Paramètres!$A$1:$I$89,3,0)*VLOOKUP('Données projet'!$B$14,Paramètres!$A$1:$I$89,5,0)</f>
        <v>1.5961632016114892E-13</v>
      </c>
      <c r="DQ177" s="13">
        <f t="shared" si="176"/>
        <v>2.2708641912150958E-12</v>
      </c>
      <c r="DR177" s="20">
        <f t="shared" si="177"/>
        <v>4.2330868906469593E-12</v>
      </c>
      <c r="DS177" s="59">
        <f t="shared" si="125"/>
        <v>293.33333333333752</v>
      </c>
      <c r="DT177" s="59">
        <f ca="1">AVERAGE(OFFSET($DS$3,0,0,'Données projet'!$E$14+1,1))-AVERAGE(OFFSET($H$3,0,0,'Données projet'!$E$14+1,1))</f>
        <v>293.15557501692803</v>
      </c>
      <c r="DU177" s="59">
        <f t="shared" si="152"/>
        <v>237.1930412773068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36.219836811997347</v>
      </c>
      <c r="EB177" s="21">
        <f>EXP(-LN(2)/25)*EB176+(1-EXP(-LN(2)/25))/(LN(2)/25)*Calculateur!DW177*Calculateur!DY177*VLOOKUP('Données projet'!$B$14,Paramètres!$A$1:$I$89,3,0)*0.475*44/12</f>
        <v>6.9081878416240405</v>
      </c>
      <c r="EC177" s="21">
        <f>EXP(-LN(2)/2)*EC176+(1-EXP(-LN(2)/2))/(LN(2)/2)*DW177*DZ177*VLOOKUP('Données projet'!$B$14,Paramètres!$A$1:$I$89,3,0)*0.475*44/12</f>
        <v>5.1840457416916896E-9</v>
      </c>
      <c r="ED177" s="22">
        <f t="shared" si="178"/>
        <v>43.128024658805437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-1.7053025658242404E-13</v>
      </c>
      <c r="EK177" s="17">
        <f>EJ177*VLOOKUP('Données projet'!$B$15,Paramètres!$A$1:$I$89,3,0)*VLOOKUP('Données projet'!$B$15,Paramètres!$A$1:$I$89,5,0)</f>
        <v>-1.0197709343628959E-13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225.86663363047296</v>
      </c>
      <c r="EP177" s="59">
        <f t="shared" si="154"/>
        <v>258.08349727304397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11.123757862283899</v>
      </c>
      <c r="EW177" s="21">
        <f>EXP(-LN(2)/25)*EW176+(1-EXP(-LN(2)/25))/(LN(2)/25)*Calculateur!ER177*Calculateur!ET177*VLOOKUP('Données projet'!$B$15,Paramètres!$A$1:$I$89,3,0)*0.475*44/12</f>
        <v>1.6750182804452665</v>
      </c>
      <c r="EX177" s="21">
        <f>EXP(-LN(2)/2)*EX176+(1-EXP(-LN(2)/2))/(LN(2)/2)*ER177*EU177*VLOOKUP('Données projet'!$B$15,Paramètres!$A$1:$I$89,3,0)*0.475*44/12</f>
        <v>6.2059976932994511E-16</v>
      </c>
      <c r="EY177" s="22">
        <f t="shared" si="181"/>
        <v>12.798776142729166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388.12151914648013</v>
      </c>
      <c r="T178" s="59">
        <f t="shared" si="142"/>
        <v>481.43684454382793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16.864321376357644</v>
      </c>
      <c r="AA178" s="21">
        <f>EXP(-LN(2)/25)*AA177+(1-EXP(-LN(2)/25))/(LN(2)/25)*Calculateur!V178*Calculateur!X178*VLOOKUP('Données projet'!$B$9,Paramètres!$A$1:$I$89,3,0)*0.475*44/12</f>
        <v>2.2759570831573912</v>
      </c>
      <c r="AB178" s="21">
        <f>EXP(-LN(2)/2)*AB177+(1-EXP(-LN(2)/2))/(LN(2)/2)*V178*Y178*VLOOKUP('Données projet'!$B$9,Paramètres!$A$1:$I$89,3,0)*0.475*44/12</f>
        <v>9.4824154188237572E-17</v>
      </c>
      <c r="AC178" s="22">
        <f t="shared" si="163"/>
        <v>19.140278459515034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-1.3596945791505279E-13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349.71285006949597</v>
      </c>
      <c r="AO178" s="59">
        <f t="shared" si="144"/>
        <v>258.51550516456842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23.35439238587244</v>
      </c>
      <c r="AV178" s="21">
        <f>EXP(-LN(2)/25)*AV177+(1-EXP(-LN(2)/25))/(LN(2)/25)*Calculateur!AQ178*Calculateur!AS178*VLOOKUP('Données projet'!$B$10,Paramètres!$A$1:$I$89,3,0)*0.475*44/12</f>
        <v>3.7149172431740158</v>
      </c>
      <c r="AW178" s="21">
        <f>EXP(-LN(2)/2)*AW177+(1-EXP(-LN(2)/2))/(LN(2)/2)*AQ178*AT178*VLOOKUP('Données projet'!$B$10,Paramètres!$A$1:$I$89,3,0)*0.475*44/12</f>
        <v>3.553013362099586E-13</v>
      </c>
      <c r="AX178" s="21">
        <f t="shared" si="166"/>
        <v>27.069309629046813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8.5265128291212022E-14</v>
      </c>
      <c r="BE178" s="13">
        <f>BD178*VLOOKUP('Données projet'!$B$11,Paramètres!$A$1:$I$89,3,0)*VLOOKUP('Données projet'!$B$11,Paramètres!$A$1:$I$89,5,0)</f>
        <v>8.9119112089974823E-14</v>
      </c>
      <c r="BF178" s="13">
        <f t="shared" si="167"/>
        <v>1.3568952080113142E-12</v>
      </c>
      <c r="BG178" s="20">
        <f t="shared" si="168"/>
        <v>2.5184749408430782E-12</v>
      </c>
      <c r="BH178" s="59">
        <f t="shared" si="116"/>
        <v>293.33333333333582</v>
      </c>
      <c r="BI178" s="59">
        <f ca="1">AVERAGE(OFFSET($BH$3,0,0,'Données projet'!$E$11+1,1))-AVERAGE(OFFSET($H$3,0,0,'Données projet'!$E$11+1,1))</f>
        <v>260.74709892624571</v>
      </c>
      <c r="BJ178" s="59">
        <f t="shared" si="146"/>
        <v>237.17381692184887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4.0303073591344578</v>
      </c>
      <c r="BQ178" s="21">
        <f>EXP(-LN(2)/25)*BQ177+(1-EXP(-LN(2)/25))/(LN(2)/25)*Calculateur!BL178*Calculateur!BN178*VLOOKUP('Données projet'!$B$11,Paramètres!$A$1:$I$89,3,0)*0.475*44/12</f>
        <v>5.6808415385660096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9.7111488977004683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3.979039320256561E-13</v>
      </c>
      <c r="BZ178" s="13">
        <f>BY178*VLOOKUP('Données projet'!$B$12,Paramètres!$A$1:$I$89,3,0)*VLOOKUP('Données projet'!$B$12,Paramètres!$A$1:$I$89,5,0)</f>
        <v>3.6002347769681362E-13</v>
      </c>
      <c r="CA178" s="13">
        <f t="shared" si="170"/>
        <v>4.6593569189922594E-12</v>
      </c>
      <c r="CB178" s="20">
        <f t="shared" si="171"/>
        <v>8.7420875242334695E-12</v>
      </c>
      <c r="CC178" s="59">
        <f t="shared" si="119"/>
        <v>293.33333333334207</v>
      </c>
      <c r="CD178" s="59">
        <f ca="1">AVERAGE(OFFSET($CC$3,0,0,'Données projet'!$E$12+1,1))-AVERAGE(OFFSET($H$3,0,0,'Données projet'!$E$12+1,1))</f>
        <v>695.0879239758051</v>
      </c>
      <c r="CE178" s="59">
        <f t="shared" si="148"/>
        <v>226.22150997227476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126.94480592485134</v>
      </c>
      <c r="CL178" s="21">
        <f>EXP(-LN(2)/25)*CL177+(1-EXP(-LN(2)/25))/(LN(2)/25)*Calculateur!CG178*Calculateur!CI178*VLOOKUP('Données projet'!$B$12,Paramètres!$A$1:$I$89,3,0)*0.475*44/12</f>
        <v>19.517666158343928</v>
      </c>
      <c r="CM178" s="21">
        <f>EXP(-LN(2)/2)*CM177+(1-EXP(-LN(2)/2))/(LN(2)/2)*CG178*CJ178*VLOOKUP('Données projet'!$B$12,Paramètres!$A$1:$I$89,3,0)*0.475*44/12</f>
        <v>4.4462003535177215E-2</v>
      </c>
      <c r="CN178" s="22">
        <f t="shared" si="172"/>
        <v>146.50693408673047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3.979039320256561E-13</v>
      </c>
      <c r="CU178" s="17">
        <f>CT178*VLOOKUP('Données projet'!$B$13,Paramètres!$A$1:$I$89,3,0)*VLOOKUP('Données projet'!$B$13,Paramètres!$A$1:$I$89,5,0)</f>
        <v>4.0347458707401528E-13</v>
      </c>
      <c r="CV178" s="13">
        <f t="shared" si="173"/>
        <v>5.1528944501892313E-12</v>
      </c>
      <c r="CW178" s="20">
        <f t="shared" si="174"/>
        <v>9.6773427399001538E-12</v>
      </c>
      <c r="CX178" s="59">
        <f t="shared" si="122"/>
        <v>293.33333333334298</v>
      </c>
      <c r="CY178" s="59">
        <f ca="1">AVERAGE(OFFSET($CX$3,0,0,'Données projet'!$E$13+1,1))-AVERAGE(OFFSET($H$3,0,0,'Données projet'!$E$13+1,1))</f>
        <v>773.15074145293738</v>
      </c>
      <c r="CZ178" s="59">
        <f t="shared" si="150"/>
        <v>248.49577986312505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142.26573077785068</v>
      </c>
      <c r="DG178" s="21">
        <f>EXP(-LN(2)/25)*DG177+(1-EXP(-LN(2)/25))/(LN(2)/25)*Calculateur!DB178*Calculateur!DD178*VLOOKUP('Données projet'!$B$13,Paramètres!$A$1:$I$89,3,0)*0.475*44/12</f>
        <v>21.873246556764748</v>
      </c>
      <c r="DH178" s="21">
        <f>EXP(-LN(2)/2)*DH177+(1-EXP(-LN(2)/2))/(LN(2)/2)*DB178*DE178*VLOOKUP('Données projet'!$B$13,Paramètres!$A$1:$I$89,3,0)*0.475*44/12</f>
        <v>4.9828107410112385E-2</v>
      </c>
      <c r="DI178" s="22">
        <f t="shared" si="175"/>
        <v>164.18880544202554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3.4106051316484809E-13</v>
      </c>
      <c r="DP178" s="17">
        <f>DO178*VLOOKUP('Données projet'!$B$14,Paramètres!$A$1:$I$89,3,0)*VLOOKUP('Données projet'!$B$14,Paramètres!$A$1:$I$89,5,0)</f>
        <v>1.5961632016114892E-13</v>
      </c>
      <c r="DQ178" s="13">
        <f t="shared" si="176"/>
        <v>2.2708641912150958E-12</v>
      </c>
      <c r="DR178" s="20">
        <f t="shared" si="177"/>
        <v>4.2330868906469593E-12</v>
      </c>
      <c r="DS178" s="59">
        <f t="shared" si="125"/>
        <v>293.33333333333752</v>
      </c>
      <c r="DT178" s="59">
        <f ca="1">AVERAGE(OFFSET($DS$3,0,0,'Données projet'!$E$14+1,1))-AVERAGE(OFFSET($H$3,0,0,'Données projet'!$E$14+1,1))</f>
        <v>293.15557501692803</v>
      </c>
      <c r="DU178" s="59">
        <f t="shared" si="152"/>
        <v>237.1930412773068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35.50958790403314</v>
      </c>
      <c r="EB178" s="21">
        <f>EXP(-LN(2)/25)*EB177+(1-EXP(-LN(2)/25))/(LN(2)/25)*Calculateur!DW178*Calculateur!DY178*VLOOKUP('Données projet'!$B$14,Paramètres!$A$1:$I$89,3,0)*0.475*44/12</f>
        <v>6.7192830818090217</v>
      </c>
      <c r="EC178" s="21">
        <f>EXP(-LN(2)/2)*EC177+(1-EXP(-LN(2)/2))/(LN(2)/2)*DW178*DZ178*VLOOKUP('Données projet'!$B$14,Paramètres!$A$1:$I$89,3,0)*0.475*44/12</f>
        <v>3.6656738979314391E-9</v>
      </c>
      <c r="ED178" s="22">
        <f t="shared" si="178"/>
        <v>42.22887098950784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-1.7053025658242404E-13</v>
      </c>
      <c r="EK178" s="17">
        <f>EJ178*VLOOKUP('Données projet'!$B$15,Paramètres!$A$1:$I$89,3,0)*VLOOKUP('Données projet'!$B$15,Paramètres!$A$1:$I$89,5,0)</f>
        <v>-1.0197709343628959E-13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225.86663363047296</v>
      </c>
      <c r="EP178" s="59">
        <f t="shared" si="154"/>
        <v>258.08349727304397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10.905627755426861</v>
      </c>
      <c r="EW178" s="21">
        <f>EXP(-LN(2)/25)*EW177+(1-EXP(-LN(2)/25))/(LN(2)/25)*Calculateur!ER178*Calculateur!ET178*VLOOKUP('Données projet'!$B$15,Paramètres!$A$1:$I$89,3,0)*0.475*44/12</f>
        <v>1.6292148174811076</v>
      </c>
      <c r="EX178" s="21">
        <f>EXP(-LN(2)/2)*EX177+(1-EXP(-LN(2)/2))/(LN(2)/2)*ER178*EU178*VLOOKUP('Données projet'!$B$15,Paramètres!$A$1:$I$89,3,0)*0.475*44/12</f>
        <v>4.3883030529601139E-16</v>
      </c>
      <c r="EY178" s="22">
        <f t="shared" si="181"/>
        <v>12.534842572907969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388.12151914648013</v>
      </c>
      <c r="T179" s="59">
        <f t="shared" si="142"/>
        <v>481.43684454382793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16.533622320387629</v>
      </c>
      <c r="AA179" s="21">
        <f>EXP(-LN(2)/25)*AA178+(1-EXP(-LN(2)/25))/(LN(2)/25)*Calculateur!V179*Calculateur!X179*VLOOKUP('Données projet'!$B$9,Paramètres!$A$1:$I$89,3,0)*0.475*44/12</f>
        <v>2.213720917031071</v>
      </c>
      <c r="AB179" s="21">
        <f>EXP(-LN(2)/2)*AB178+(1-EXP(-LN(2)/2))/(LN(2)/2)*V179*Y179*VLOOKUP('Données projet'!$B$9,Paramètres!$A$1:$I$89,3,0)*0.475*44/12</f>
        <v>6.7050802446781548E-17</v>
      </c>
      <c r="AC179" s="22">
        <f t="shared" si="163"/>
        <v>18.747343237418701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-1.3596945791505279E-13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349.71285006949597</v>
      </c>
      <c r="AO179" s="59">
        <f t="shared" si="144"/>
        <v>258.51550516456842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22.896426995958283</v>
      </c>
      <c r="AV179" s="21">
        <f>EXP(-LN(2)/25)*AV178+(1-EXP(-LN(2)/25))/(LN(2)/25)*Calculateur!AQ179*Calculateur!AS179*VLOOKUP('Données projet'!$B$10,Paramètres!$A$1:$I$89,3,0)*0.475*44/12</f>
        <v>3.6133326358004152</v>
      </c>
      <c r="AW179" s="21">
        <f>EXP(-LN(2)/2)*AW178+(1-EXP(-LN(2)/2))/(LN(2)/2)*AQ179*AT179*VLOOKUP('Données projet'!$B$10,Paramètres!$A$1:$I$89,3,0)*0.475*44/12</f>
        <v>2.5123598419870315E-13</v>
      </c>
      <c r="AX179" s="21">
        <f t="shared" si="166"/>
        <v>26.50975963175895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8.5265128291212022E-14</v>
      </c>
      <c r="BE179" s="13">
        <f>BD179*VLOOKUP('Données projet'!$B$11,Paramètres!$A$1:$I$89,3,0)*VLOOKUP('Données projet'!$B$11,Paramètres!$A$1:$I$89,5,0)</f>
        <v>8.9119112089974823E-14</v>
      </c>
      <c r="BF179" s="13">
        <f t="shared" si="167"/>
        <v>1.3568952080113142E-12</v>
      </c>
      <c r="BG179" s="20">
        <f t="shared" si="168"/>
        <v>2.5184749408430782E-12</v>
      </c>
      <c r="BH179" s="59">
        <f t="shared" si="116"/>
        <v>293.33333333333582</v>
      </c>
      <c r="BI179" s="59">
        <f ca="1">AVERAGE(OFFSET($BH$3,0,0,'Données projet'!$E$11+1,1))-AVERAGE(OFFSET($H$3,0,0,'Données projet'!$E$11+1,1))</f>
        <v>260.74709892624571</v>
      </c>
      <c r="BJ179" s="59">
        <f t="shared" si="146"/>
        <v>237.17381692184887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3.9512754900665885</v>
      </c>
      <c r="BQ179" s="21">
        <f>EXP(-LN(2)/25)*BQ178+(1-EXP(-LN(2)/25))/(LN(2)/25)*Calculateur!BL179*Calculateur!BN179*VLOOKUP('Données projet'!$B$11,Paramètres!$A$1:$I$89,3,0)*0.475*44/12</f>
        <v>5.5254986279514489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9.4767741180180369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3.979039320256561E-13</v>
      </c>
      <c r="BZ179" s="13">
        <f>BY179*VLOOKUP('Données projet'!$B$12,Paramètres!$A$1:$I$89,3,0)*VLOOKUP('Données projet'!$B$12,Paramètres!$A$1:$I$89,5,0)</f>
        <v>3.6002347769681362E-13</v>
      </c>
      <c r="CA179" s="13">
        <f t="shared" si="170"/>
        <v>4.6593569189922594E-12</v>
      </c>
      <c r="CB179" s="20">
        <f t="shared" si="171"/>
        <v>8.7420875242334695E-12</v>
      </c>
      <c r="CC179" s="59">
        <f t="shared" si="119"/>
        <v>293.33333333334207</v>
      </c>
      <c r="CD179" s="59">
        <f ca="1">AVERAGE(OFFSET($CC$3,0,0,'Données projet'!$E$12+1,1))-AVERAGE(OFFSET($H$3,0,0,'Données projet'!$E$12+1,1))</f>
        <v>695.0879239758051</v>
      </c>
      <c r="CE179" s="59">
        <f t="shared" si="148"/>
        <v>226.22150997227476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124.45549570935117</v>
      </c>
      <c r="CL179" s="21">
        <f>EXP(-LN(2)/25)*CL178+(1-EXP(-LN(2)/25))/(LN(2)/25)*Calculateur!CG179*Calculateur!CI179*VLOOKUP('Données projet'!$B$12,Paramètres!$A$1:$I$89,3,0)*0.475*44/12</f>
        <v>18.983954550854559</v>
      </c>
      <c r="CM179" s="21">
        <f>EXP(-LN(2)/2)*CM178+(1-EXP(-LN(2)/2))/(LN(2)/2)*CG179*CJ179*VLOOKUP('Données projet'!$B$12,Paramètres!$A$1:$I$89,3,0)*0.475*44/12</f>
        <v>3.1439384204864057E-2</v>
      </c>
      <c r="CN179" s="22">
        <f t="shared" si="172"/>
        <v>143.47088964441059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3.979039320256561E-13</v>
      </c>
      <c r="CU179" s="17">
        <f>CT179*VLOOKUP('Données projet'!$B$13,Paramètres!$A$1:$I$89,3,0)*VLOOKUP('Données projet'!$B$13,Paramètres!$A$1:$I$89,5,0)</f>
        <v>4.0347458707401528E-13</v>
      </c>
      <c r="CV179" s="13">
        <f t="shared" si="173"/>
        <v>5.1528944501892313E-12</v>
      </c>
      <c r="CW179" s="20">
        <f t="shared" si="174"/>
        <v>9.6773427399001538E-12</v>
      </c>
      <c r="CX179" s="59">
        <f t="shared" si="122"/>
        <v>293.33333333334298</v>
      </c>
      <c r="CY179" s="59">
        <f ca="1">AVERAGE(OFFSET($CX$3,0,0,'Données projet'!$E$13+1,1))-AVERAGE(OFFSET($H$3,0,0,'Données projet'!$E$13+1,1))</f>
        <v>773.15074145293738</v>
      </c>
      <c r="CZ179" s="59">
        <f t="shared" si="150"/>
        <v>248.49577986312505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139.47598657082463</v>
      </c>
      <c r="DG179" s="21">
        <f>EXP(-LN(2)/25)*DG178+(1-EXP(-LN(2)/25))/(LN(2)/25)*Calculateur!DB179*Calculateur!DD179*VLOOKUP('Données projet'!$B$13,Paramètres!$A$1:$I$89,3,0)*0.475*44/12</f>
        <v>21.275121479405971</v>
      </c>
      <c r="DH179" s="21">
        <f>EXP(-LN(2)/2)*DH178+(1-EXP(-LN(2)/2))/(LN(2)/2)*DB179*DE179*VLOOKUP('Données projet'!$B$13,Paramètres!$A$1:$I$89,3,0)*0.475*44/12</f>
        <v>3.5233792643382125E-2</v>
      </c>
      <c r="DI179" s="22">
        <f t="shared" si="175"/>
        <v>160.78634184287401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3.4106051316484809E-13</v>
      </c>
      <c r="DP179" s="17">
        <f>DO179*VLOOKUP('Données projet'!$B$14,Paramètres!$A$1:$I$89,3,0)*VLOOKUP('Données projet'!$B$14,Paramètres!$A$1:$I$89,5,0)</f>
        <v>1.5961632016114892E-13</v>
      </c>
      <c r="DQ179" s="13">
        <f t="shared" si="176"/>
        <v>2.2708641912150958E-12</v>
      </c>
      <c r="DR179" s="20">
        <f t="shared" si="177"/>
        <v>4.2330868906469593E-12</v>
      </c>
      <c r="DS179" s="59">
        <f t="shared" si="125"/>
        <v>293.33333333333752</v>
      </c>
      <c r="DT179" s="59">
        <f ca="1">AVERAGE(OFFSET($DS$3,0,0,'Données projet'!$E$14+1,1))-AVERAGE(OFFSET($H$3,0,0,'Données projet'!$E$14+1,1))</f>
        <v>293.15557501692803</v>
      </c>
      <c r="DU179" s="59">
        <f t="shared" si="152"/>
        <v>237.1930412773068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34.813266543945055</v>
      </c>
      <c r="EB179" s="21">
        <f>EXP(-LN(2)/25)*EB178+(1-EXP(-LN(2)/25))/(LN(2)/25)*Calculateur!DW179*Calculateur!DY179*VLOOKUP('Données projet'!$B$14,Paramètres!$A$1:$I$89,3,0)*0.475*44/12</f>
        <v>6.535543932585214</v>
      </c>
      <c r="EC179" s="21">
        <f>EXP(-LN(2)/2)*EC178+(1-EXP(-LN(2)/2))/(LN(2)/2)*DW179*DZ179*VLOOKUP('Données projet'!$B$14,Paramètres!$A$1:$I$89,3,0)*0.475*44/12</f>
        <v>2.5920228708458452E-9</v>
      </c>
      <c r="ED179" s="22">
        <f t="shared" si="178"/>
        <v>41.348810479122292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-1.7053025658242404E-13</v>
      </c>
      <c r="EK179" s="17">
        <f>EJ179*VLOOKUP('Données projet'!$B$15,Paramètres!$A$1:$I$89,3,0)*VLOOKUP('Données projet'!$B$15,Paramètres!$A$1:$I$89,5,0)</f>
        <v>-1.0197709343628959E-13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225.86663363047296</v>
      </c>
      <c r="EP179" s="59">
        <f t="shared" si="154"/>
        <v>258.08349727304397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10.691775046919064</v>
      </c>
      <c r="EW179" s="21">
        <f>EXP(-LN(2)/25)*EW178+(1-EXP(-LN(2)/25))/(LN(2)/25)*Calculateur!ER179*Calculateur!ET179*VLOOKUP('Données projet'!$B$15,Paramètres!$A$1:$I$89,3,0)*0.475*44/12</f>
        <v>1.5846638526204031</v>
      </c>
      <c r="EX179" s="21">
        <f>EXP(-LN(2)/2)*EX178+(1-EXP(-LN(2)/2))/(LN(2)/2)*ER179*EU179*VLOOKUP('Données projet'!$B$15,Paramètres!$A$1:$I$89,3,0)*0.475*44/12</f>
        <v>3.102998846649726E-16</v>
      </c>
      <c r="EY179" s="22">
        <f t="shared" si="181"/>
        <v>12.276438899539468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388.12151914648013</v>
      </c>
      <c r="T180" s="59">
        <f t="shared" si="142"/>
        <v>481.43684454382793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16.209408071198681</v>
      </c>
      <c r="AA180" s="21">
        <f>EXP(-LN(2)/25)*AA179+(1-EXP(-LN(2)/25))/(LN(2)/25)*Calculateur!V180*Calculateur!X180*VLOOKUP('Données projet'!$B$9,Paramètres!$A$1:$I$89,3,0)*0.475*44/12</f>
        <v>2.153186602140333</v>
      </c>
      <c r="AB180" s="21">
        <f>EXP(-LN(2)/2)*AB179+(1-EXP(-LN(2)/2))/(LN(2)/2)*V180*Y180*VLOOKUP('Données projet'!$B$9,Paramètres!$A$1:$I$89,3,0)*0.475*44/12</f>
        <v>4.7412077094118786E-17</v>
      </c>
      <c r="AC180" s="22">
        <f t="shared" si="163"/>
        <v>18.362594673339014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-1.3596945791505279E-13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349.71285006949597</v>
      </c>
      <c r="AO180" s="59">
        <f t="shared" si="144"/>
        <v>258.51550516456842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22.447442028009036</v>
      </c>
      <c r="AV180" s="21">
        <f>EXP(-LN(2)/25)*AV179+(1-EXP(-LN(2)/25))/(LN(2)/25)*Calculateur!AQ180*Calculateur!AS180*VLOOKUP('Données projet'!$B$10,Paramètres!$A$1:$I$89,3,0)*0.475*44/12</f>
        <v>3.5145258648575477</v>
      </c>
      <c r="AW180" s="21">
        <f>EXP(-LN(2)/2)*AW179+(1-EXP(-LN(2)/2))/(LN(2)/2)*AQ180*AT180*VLOOKUP('Données projet'!$B$10,Paramètres!$A$1:$I$89,3,0)*0.475*44/12</f>
        <v>1.776506681049793E-13</v>
      </c>
      <c r="AX180" s="21">
        <f t="shared" si="166"/>
        <v>25.96196789286676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8.5265128291212022E-14</v>
      </c>
      <c r="BE180" s="13">
        <f>BD180*VLOOKUP('Données projet'!$B$11,Paramètres!$A$1:$I$89,3,0)*VLOOKUP('Données projet'!$B$11,Paramètres!$A$1:$I$89,5,0)</f>
        <v>8.9119112089974823E-14</v>
      </c>
      <c r="BF180" s="13">
        <f t="shared" si="167"/>
        <v>1.3568952080113142E-12</v>
      </c>
      <c r="BG180" s="20">
        <f t="shared" si="168"/>
        <v>2.5184749408430782E-12</v>
      </c>
      <c r="BH180" s="59">
        <f t="shared" si="116"/>
        <v>293.33333333333582</v>
      </c>
      <c r="BI180" s="59">
        <f ca="1">AVERAGE(OFFSET($BH$3,0,0,'Données projet'!$E$11+1,1))-AVERAGE(OFFSET($H$3,0,0,'Données projet'!$E$11+1,1))</f>
        <v>260.74709892624571</v>
      </c>
      <c r="BJ180" s="59">
        <f t="shared" si="146"/>
        <v>237.17381692184887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3.8737933877464599</v>
      </c>
      <c r="BQ180" s="21">
        <f>EXP(-LN(2)/25)*BQ179+(1-EXP(-LN(2)/25))/(LN(2)/25)*Calculateur!BL180*Calculateur!BN180*VLOOKUP('Données projet'!$B$11,Paramètres!$A$1:$I$89,3,0)*0.475*44/12</f>
        <v>5.3744035773967722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9.248196965143233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3.979039320256561E-13</v>
      </c>
      <c r="BZ180" s="13">
        <f>BY180*VLOOKUP('Données projet'!$B$12,Paramètres!$A$1:$I$89,3,0)*VLOOKUP('Données projet'!$B$12,Paramètres!$A$1:$I$89,5,0)</f>
        <v>3.6002347769681362E-13</v>
      </c>
      <c r="CA180" s="13">
        <f t="shared" si="170"/>
        <v>4.6593569189922594E-12</v>
      </c>
      <c r="CB180" s="20">
        <f t="shared" si="171"/>
        <v>8.7420875242334695E-12</v>
      </c>
      <c r="CC180" s="59">
        <f t="shared" si="119"/>
        <v>293.33333333334207</v>
      </c>
      <c r="CD180" s="59">
        <f ca="1">AVERAGE(OFFSET($CC$3,0,0,'Données projet'!$E$12+1,1))-AVERAGE(OFFSET($H$3,0,0,'Données projet'!$E$12+1,1))</f>
        <v>695.0879239758051</v>
      </c>
      <c r="CE180" s="59">
        <f t="shared" si="148"/>
        <v>226.22150997227476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122.01499934884765</v>
      </c>
      <c r="CL180" s="21">
        <f>EXP(-LN(2)/25)*CL179+(1-EXP(-LN(2)/25))/(LN(2)/25)*Calculateur!CG180*Calculateur!CI180*VLOOKUP('Données projet'!$B$12,Paramètres!$A$1:$I$89,3,0)*0.475*44/12</f>
        <v>18.464837315338659</v>
      </c>
      <c r="CM180" s="21">
        <f>EXP(-LN(2)/2)*CM179+(1-EXP(-LN(2)/2))/(LN(2)/2)*CG180*CJ180*VLOOKUP('Données projet'!$B$12,Paramètres!$A$1:$I$89,3,0)*0.475*44/12</f>
        <v>2.2231001767588607E-2</v>
      </c>
      <c r="CN180" s="22">
        <f t="shared" si="172"/>
        <v>140.50206766595389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3.979039320256561E-13</v>
      </c>
      <c r="CU180" s="17">
        <f>CT180*VLOOKUP('Données projet'!$B$13,Paramètres!$A$1:$I$89,3,0)*VLOOKUP('Données projet'!$B$13,Paramètres!$A$1:$I$89,5,0)</f>
        <v>4.0347458707401528E-13</v>
      </c>
      <c r="CV180" s="13">
        <f t="shared" si="173"/>
        <v>5.1528944501892313E-12</v>
      </c>
      <c r="CW180" s="20">
        <f t="shared" si="174"/>
        <v>9.6773427399001538E-12</v>
      </c>
      <c r="CX180" s="59">
        <f t="shared" si="122"/>
        <v>293.33333333334298</v>
      </c>
      <c r="CY180" s="59">
        <f ca="1">AVERAGE(OFFSET($CX$3,0,0,'Données projet'!$E$13+1,1))-AVERAGE(OFFSET($H$3,0,0,'Données projet'!$E$13+1,1))</f>
        <v>773.15074145293738</v>
      </c>
      <c r="CZ180" s="59">
        <f t="shared" si="150"/>
        <v>248.49577986312505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136.74094754612241</v>
      </c>
      <c r="DG180" s="21">
        <f>EXP(-LN(2)/25)*DG179+(1-EXP(-LN(2)/25))/(LN(2)/25)*Calculateur!DB180*Calculateur!DD180*VLOOKUP('Données projet'!$B$13,Paramètres!$A$1:$I$89,3,0)*0.475*44/12</f>
        <v>20.693352163741601</v>
      </c>
      <c r="DH180" s="21">
        <f>EXP(-LN(2)/2)*DH179+(1-EXP(-LN(2)/2))/(LN(2)/2)*DB180*DE180*VLOOKUP('Données projet'!$B$13,Paramètres!$A$1:$I$89,3,0)*0.475*44/12</f>
        <v>2.4914053705056192E-2</v>
      </c>
      <c r="DI180" s="22">
        <f t="shared" si="175"/>
        <v>157.45921376356907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3.4106051316484809E-13</v>
      </c>
      <c r="DP180" s="17">
        <f>DO180*VLOOKUP('Données projet'!$B$14,Paramètres!$A$1:$I$89,3,0)*VLOOKUP('Données projet'!$B$14,Paramètres!$A$1:$I$89,5,0)</f>
        <v>1.5961632016114892E-13</v>
      </c>
      <c r="DQ180" s="13">
        <f t="shared" si="176"/>
        <v>2.2708641912150958E-12</v>
      </c>
      <c r="DR180" s="20">
        <f t="shared" si="177"/>
        <v>4.2330868906469593E-12</v>
      </c>
      <c r="DS180" s="59">
        <f t="shared" si="125"/>
        <v>293.33333333333752</v>
      </c>
      <c r="DT180" s="59">
        <f ca="1">AVERAGE(OFFSET($DS$3,0,0,'Données projet'!$E$14+1,1))-AVERAGE(OFFSET($H$3,0,0,'Données projet'!$E$14+1,1))</f>
        <v>293.15557501692803</v>
      </c>
      <c r="DU180" s="59">
        <f t="shared" si="152"/>
        <v>237.1930412773068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34.130599621014198</v>
      </c>
      <c r="EB180" s="21">
        <f>EXP(-LN(2)/25)*EB179+(1-EXP(-LN(2)/25))/(LN(2)/25)*Calculateur!DW180*Calculateur!DY180*VLOOKUP('Données projet'!$B$14,Paramètres!$A$1:$I$89,3,0)*0.475*44/12</f>
        <v>6.3568291400593528</v>
      </c>
      <c r="EC180" s="21">
        <f>EXP(-LN(2)/2)*EC179+(1-EXP(-LN(2)/2))/(LN(2)/2)*DW180*DZ180*VLOOKUP('Données projet'!$B$14,Paramètres!$A$1:$I$89,3,0)*0.475*44/12</f>
        <v>1.8328369489657199E-9</v>
      </c>
      <c r="ED180" s="22">
        <f t="shared" si="178"/>
        <v>40.48742876290639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-1.7053025658242404E-13</v>
      </c>
      <c r="EK180" s="17">
        <f>EJ180*VLOOKUP('Données projet'!$B$15,Paramètres!$A$1:$I$89,3,0)*VLOOKUP('Données projet'!$B$15,Paramètres!$A$1:$I$89,5,0)</f>
        <v>-1.0197709343628959E-13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225.86663363047296</v>
      </c>
      <c r="EP180" s="59">
        <f t="shared" si="154"/>
        <v>258.08349727304397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10.482115859587831</v>
      </c>
      <c r="EW180" s="21">
        <f>EXP(-LN(2)/25)*EW179+(1-EXP(-LN(2)/25))/(LN(2)/25)*Calculateur!ER180*Calculateur!ET180*VLOOKUP('Données projet'!$B$15,Paramètres!$A$1:$I$89,3,0)*0.475*44/12</f>
        <v>1.541331136236648</v>
      </c>
      <c r="EX180" s="21">
        <f>EXP(-LN(2)/2)*EX179+(1-EXP(-LN(2)/2))/(LN(2)/2)*ER180*EU180*VLOOKUP('Données projet'!$B$15,Paramètres!$A$1:$I$89,3,0)*0.475*44/12</f>
        <v>2.1941515264800572E-16</v>
      </c>
      <c r="EY180" s="22">
        <f t="shared" si="181"/>
        <v>12.023446995824479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388.12151914648013</v>
      </c>
      <c r="T181" s="59">
        <f t="shared" si="142"/>
        <v>481.43684454382793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15.891551465685161</v>
      </c>
      <c r="AA181" s="21">
        <f>EXP(-LN(2)/25)*AA180+(1-EXP(-LN(2)/25))/(LN(2)/25)*Calculateur!V181*Calculateur!X181*VLOOKUP('Données projet'!$B$9,Paramètres!$A$1:$I$89,3,0)*0.475*44/12</f>
        <v>2.0943076012736435</v>
      </c>
      <c r="AB181" s="21">
        <f>EXP(-LN(2)/2)*AB180+(1-EXP(-LN(2)/2))/(LN(2)/2)*V181*Y181*VLOOKUP('Données projet'!$B$9,Paramètres!$A$1:$I$89,3,0)*0.475*44/12</f>
        <v>3.3525401223390774E-17</v>
      </c>
      <c r="AC181" s="22">
        <f t="shared" si="163"/>
        <v>17.985859066958806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-1.3596945791505279E-13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349.71285006949597</v>
      </c>
      <c r="AO181" s="59">
        <f t="shared" si="144"/>
        <v>258.51550516456842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22.007261381427483</v>
      </c>
      <c r="AV181" s="21">
        <f>EXP(-LN(2)/25)*AV180+(1-EXP(-LN(2)/25))/(LN(2)/25)*Calculateur!AQ181*Calculateur!AS181*VLOOKUP('Données projet'!$B$10,Paramètres!$A$1:$I$89,3,0)*0.475*44/12</f>
        <v>3.4184209702621353</v>
      </c>
      <c r="AW181" s="21">
        <f>EXP(-LN(2)/2)*AW180+(1-EXP(-LN(2)/2))/(LN(2)/2)*AQ181*AT181*VLOOKUP('Données projet'!$B$10,Paramètres!$A$1:$I$89,3,0)*0.475*44/12</f>
        <v>1.2561799209935157E-13</v>
      </c>
      <c r="AX181" s="21">
        <f t="shared" si="166"/>
        <v>25.425682351689744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8.5265128291212022E-14</v>
      </c>
      <c r="BE181" s="13">
        <f>BD181*VLOOKUP('Données projet'!$B$11,Paramètres!$A$1:$I$89,3,0)*VLOOKUP('Données projet'!$B$11,Paramètres!$A$1:$I$89,5,0)</f>
        <v>8.9119112089974823E-14</v>
      </c>
      <c r="BF181" s="13">
        <f t="shared" si="167"/>
        <v>1.3568952080113142E-12</v>
      </c>
      <c r="BG181" s="20">
        <f t="shared" si="168"/>
        <v>2.5184749408430782E-12</v>
      </c>
      <c r="BH181" s="59">
        <f t="shared" si="116"/>
        <v>293.33333333333582</v>
      </c>
      <c r="BI181" s="59">
        <f ca="1">AVERAGE(OFFSET($BH$3,0,0,'Données projet'!$E$11+1,1))-AVERAGE(OFFSET($H$3,0,0,'Données projet'!$E$11+1,1))</f>
        <v>260.74709892624571</v>
      </c>
      <c r="BJ181" s="59">
        <f t="shared" si="146"/>
        <v>237.17381692184887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3.7978306621934133</v>
      </c>
      <c r="BQ181" s="21">
        <f>EXP(-LN(2)/25)*BQ180+(1-EXP(-LN(2)/25))/(LN(2)/25)*Calculateur!BL181*Calculateur!BN181*VLOOKUP('Données projet'!$B$11,Paramètres!$A$1:$I$89,3,0)*0.475*44/12</f>
        <v>5.2274402289452571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9.0252708911386712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3.979039320256561E-13</v>
      </c>
      <c r="BZ181" s="13">
        <f>BY181*VLOOKUP('Données projet'!$B$12,Paramètres!$A$1:$I$89,3,0)*VLOOKUP('Données projet'!$B$12,Paramètres!$A$1:$I$89,5,0)</f>
        <v>3.6002347769681362E-13</v>
      </c>
      <c r="CA181" s="13">
        <f t="shared" si="170"/>
        <v>4.6593569189922594E-12</v>
      </c>
      <c r="CB181" s="20">
        <f t="shared" si="171"/>
        <v>8.7420875242334695E-12</v>
      </c>
      <c r="CC181" s="59">
        <f t="shared" si="119"/>
        <v>293.33333333334207</v>
      </c>
      <c r="CD181" s="59">
        <f ca="1">AVERAGE(OFFSET($CC$3,0,0,'Données projet'!$E$12+1,1))-AVERAGE(OFFSET($H$3,0,0,'Données projet'!$E$12+1,1))</f>
        <v>695.0879239758051</v>
      </c>
      <c r="CE181" s="59">
        <f t="shared" si="148"/>
        <v>226.22150997227476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119.62235963341782</v>
      </c>
      <c r="CL181" s="21">
        <f>EXP(-LN(2)/25)*CL180+(1-EXP(-LN(2)/25))/(LN(2)/25)*Calculateur!CG181*Calculateur!CI181*VLOOKUP('Données projet'!$B$12,Paramètres!$A$1:$I$89,3,0)*0.475*44/12</f>
        <v>17.959915367927131</v>
      </c>
      <c r="CM181" s="21">
        <f>EXP(-LN(2)/2)*CM180+(1-EXP(-LN(2)/2))/(LN(2)/2)*CG181*CJ181*VLOOKUP('Données projet'!$B$12,Paramètres!$A$1:$I$89,3,0)*0.475*44/12</f>
        <v>1.5719692102432029E-2</v>
      </c>
      <c r="CN181" s="22">
        <f t="shared" si="172"/>
        <v>137.59799469344739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3.979039320256561E-13</v>
      </c>
      <c r="CU181" s="17">
        <f>CT181*VLOOKUP('Données projet'!$B$13,Paramètres!$A$1:$I$89,3,0)*VLOOKUP('Données projet'!$B$13,Paramètres!$A$1:$I$89,5,0)</f>
        <v>4.0347458707401528E-13</v>
      </c>
      <c r="CV181" s="13">
        <f t="shared" si="173"/>
        <v>5.1528944501892313E-12</v>
      </c>
      <c r="CW181" s="20">
        <f t="shared" si="174"/>
        <v>9.6773427399001538E-12</v>
      </c>
      <c r="CX181" s="59">
        <f t="shared" si="122"/>
        <v>293.33333333334298</v>
      </c>
      <c r="CY181" s="59">
        <f ca="1">AVERAGE(OFFSET($CX$3,0,0,'Données projet'!$E$13+1,1))-AVERAGE(OFFSET($H$3,0,0,'Données projet'!$E$13+1,1))</f>
        <v>773.15074145293738</v>
      </c>
      <c r="CZ181" s="59">
        <f t="shared" si="150"/>
        <v>248.49577986312505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134.05954096848552</v>
      </c>
      <c r="DG181" s="21">
        <f>EXP(-LN(2)/25)*DG180+(1-EXP(-LN(2)/25))/(LN(2)/25)*Calculateur!DB181*Calculateur!DD181*VLOOKUP('Données projet'!$B$13,Paramètres!$A$1:$I$89,3,0)*0.475*44/12</f>
        <v>20.127491360607991</v>
      </c>
      <c r="DH181" s="21">
        <f>EXP(-LN(2)/2)*DH180+(1-EXP(-LN(2)/2))/(LN(2)/2)*DB181*DE181*VLOOKUP('Données projet'!$B$13,Paramètres!$A$1:$I$89,3,0)*0.475*44/12</f>
        <v>1.7616896321691063E-2</v>
      </c>
      <c r="DI181" s="22">
        <f t="shared" si="175"/>
        <v>154.20464922541521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3.4106051316484809E-13</v>
      </c>
      <c r="DP181" s="17">
        <f>DO181*VLOOKUP('Données projet'!$B$14,Paramètres!$A$1:$I$89,3,0)*VLOOKUP('Données projet'!$B$14,Paramètres!$A$1:$I$89,5,0)</f>
        <v>1.5961632016114892E-13</v>
      </c>
      <c r="DQ181" s="13">
        <f t="shared" si="176"/>
        <v>2.2708641912150958E-12</v>
      </c>
      <c r="DR181" s="20">
        <f t="shared" si="177"/>
        <v>4.2330868906469593E-12</v>
      </c>
      <c r="DS181" s="59">
        <f t="shared" si="125"/>
        <v>293.33333333333752</v>
      </c>
      <c r="DT181" s="59">
        <f ca="1">AVERAGE(OFFSET($DS$3,0,0,'Données projet'!$E$14+1,1))-AVERAGE(OFFSET($H$3,0,0,'Données projet'!$E$14+1,1))</f>
        <v>293.15557501692803</v>
      </c>
      <c r="DU181" s="59">
        <f t="shared" si="152"/>
        <v>237.1930412773068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33.46131938005631</v>
      </c>
      <c r="EB181" s="21">
        <f>EXP(-LN(2)/25)*EB180+(1-EXP(-LN(2)/25))/(LN(2)/25)*Calculateur!DW181*Calculateur!DY181*VLOOKUP('Données projet'!$B$14,Paramètres!$A$1:$I$89,3,0)*0.475*44/12</f>
        <v>6.1830013129333139</v>
      </c>
      <c r="EC181" s="21">
        <f>EXP(-LN(2)/2)*EC180+(1-EXP(-LN(2)/2))/(LN(2)/2)*DW181*DZ181*VLOOKUP('Données projet'!$B$14,Paramètres!$A$1:$I$89,3,0)*0.475*44/12</f>
        <v>1.2960114354229228E-9</v>
      </c>
      <c r="ED181" s="22">
        <f t="shared" si="178"/>
        <v>39.644320694285632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-1.7053025658242404E-13</v>
      </c>
      <c r="EK181" s="17">
        <f>EJ181*VLOOKUP('Données projet'!$B$15,Paramètres!$A$1:$I$89,3,0)*VLOOKUP('Données projet'!$B$15,Paramètres!$A$1:$I$89,5,0)</f>
        <v>-1.0197709343628959E-13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225.86663363047296</v>
      </c>
      <c r="EP181" s="59">
        <f t="shared" si="154"/>
        <v>258.08349727304397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10.276567961040685</v>
      </c>
      <c r="EW181" s="21">
        <f>EXP(-LN(2)/25)*EW180+(1-EXP(-LN(2)/25))/(LN(2)/25)*Calculateur!ER181*Calculateur!ET181*VLOOKUP('Données projet'!$B$15,Paramètres!$A$1:$I$89,3,0)*0.475*44/12</f>
        <v>1.4991833552611751</v>
      </c>
      <c r="EX181" s="21">
        <f>EXP(-LN(2)/2)*EX180+(1-EXP(-LN(2)/2))/(LN(2)/2)*ER181*EU181*VLOOKUP('Données projet'!$B$15,Paramètres!$A$1:$I$89,3,0)*0.475*44/12</f>
        <v>1.5514994233248633E-16</v>
      </c>
      <c r="EY181" s="22">
        <f t="shared" si="181"/>
        <v>11.775751316301861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388.12151914648013</v>
      </c>
      <c r="T182" s="59">
        <f t="shared" si="142"/>
        <v>481.43684454382793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15.579927834332375</v>
      </c>
      <c r="AA182" s="21">
        <f>EXP(-LN(2)/25)*AA181+(1-EXP(-LN(2)/25))/(LN(2)/25)*Calculateur!V182*Calculateur!X182*VLOOKUP('Données projet'!$B$9,Paramètres!$A$1:$I$89,3,0)*0.475*44/12</f>
        <v>2.0370386497819655</v>
      </c>
      <c r="AB182" s="21">
        <f>EXP(-LN(2)/2)*AB181+(1-EXP(-LN(2)/2))/(LN(2)/2)*V182*Y182*VLOOKUP('Données projet'!$B$9,Paramètres!$A$1:$I$89,3,0)*0.475*44/12</f>
        <v>2.3706038547059393E-17</v>
      </c>
      <c r="AC182" s="22">
        <f t="shared" si="163"/>
        <v>17.616966484114339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-1.3596945791505279E-13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349.71285006949597</v>
      </c>
      <c r="AO182" s="59">
        <f t="shared" si="144"/>
        <v>258.51550516456842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21.57571240884171</v>
      </c>
      <c r="AV182" s="21">
        <f>EXP(-LN(2)/25)*AV181+(1-EXP(-LN(2)/25))/(LN(2)/25)*Calculateur!AQ182*Calculateur!AS182*VLOOKUP('Données projet'!$B$10,Paramètres!$A$1:$I$89,3,0)*0.475*44/12</f>
        <v>3.3249440690633714</v>
      </c>
      <c r="AW182" s="21">
        <f>EXP(-LN(2)/2)*AW181+(1-EXP(-LN(2)/2))/(LN(2)/2)*AQ182*AT182*VLOOKUP('Données projet'!$B$10,Paramètres!$A$1:$I$89,3,0)*0.475*44/12</f>
        <v>8.8825334052489649E-14</v>
      </c>
      <c r="AX182" s="21">
        <f t="shared" si="166"/>
        <v>24.900656477905169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8.5265128291212022E-14</v>
      </c>
      <c r="BE182" s="13">
        <f>BD182*VLOOKUP('Données projet'!$B$11,Paramètres!$A$1:$I$89,3,0)*VLOOKUP('Données projet'!$B$11,Paramètres!$A$1:$I$89,5,0)</f>
        <v>8.9119112089974823E-14</v>
      </c>
      <c r="BF182" s="13">
        <f t="shared" si="167"/>
        <v>1.3568952080113142E-12</v>
      </c>
      <c r="BG182" s="20">
        <f t="shared" si="168"/>
        <v>2.5184749408430782E-12</v>
      </c>
      <c r="BH182" s="59">
        <f t="shared" si="116"/>
        <v>293.33333333333582</v>
      </c>
      <c r="BI182" s="59">
        <f ca="1">AVERAGE(OFFSET($BH$3,0,0,'Données projet'!$E$11+1,1))-AVERAGE(OFFSET($H$3,0,0,'Données projet'!$E$11+1,1))</f>
        <v>260.74709892624571</v>
      </c>
      <c r="BJ182" s="59">
        <f t="shared" si="146"/>
        <v>237.17381692184887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3.723357519355774</v>
      </c>
      <c r="BQ182" s="21">
        <f>EXP(-LN(2)/25)*BQ181+(1-EXP(-LN(2)/25))/(LN(2)/25)*Calculateur!BL182*Calculateur!BN182*VLOOKUP('Données projet'!$B$11,Paramètres!$A$1:$I$89,3,0)*0.475*44/12</f>
        <v>5.0844956009856146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8.8078531203413881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3.979039320256561E-13</v>
      </c>
      <c r="BZ182" s="13">
        <f>BY182*VLOOKUP('Données projet'!$B$12,Paramètres!$A$1:$I$89,3,0)*VLOOKUP('Données projet'!$B$12,Paramètres!$A$1:$I$89,5,0)</f>
        <v>3.6002347769681362E-13</v>
      </c>
      <c r="CA182" s="13">
        <f t="shared" si="170"/>
        <v>4.6593569189922594E-12</v>
      </c>
      <c r="CB182" s="20">
        <f t="shared" si="171"/>
        <v>8.7420875242334695E-12</v>
      </c>
      <c r="CC182" s="59">
        <f t="shared" si="119"/>
        <v>293.33333333334207</v>
      </c>
      <c r="CD182" s="59">
        <f ca="1">AVERAGE(OFFSET($CC$3,0,0,'Données projet'!$E$12+1,1))-AVERAGE(OFFSET($H$3,0,0,'Données projet'!$E$12+1,1))</f>
        <v>695.0879239758051</v>
      </c>
      <c r="CE182" s="59">
        <f t="shared" si="148"/>
        <v>226.22150997227476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117.27663812344143</v>
      </c>
      <c r="CL182" s="21">
        <f>EXP(-LN(2)/25)*CL181+(1-EXP(-LN(2)/25))/(LN(2)/25)*Calculateur!CG182*Calculateur!CI182*VLOOKUP('Données projet'!$B$12,Paramètres!$A$1:$I$89,3,0)*0.475*44/12</f>
        <v>17.468800537720263</v>
      </c>
      <c r="CM182" s="21">
        <f>EXP(-LN(2)/2)*CM181+(1-EXP(-LN(2)/2))/(LN(2)/2)*CG182*CJ182*VLOOKUP('Données projet'!$B$12,Paramètres!$A$1:$I$89,3,0)*0.475*44/12</f>
        <v>1.1115500883794304E-2</v>
      </c>
      <c r="CN182" s="22">
        <f t="shared" si="172"/>
        <v>134.75655416204549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3.979039320256561E-13</v>
      </c>
      <c r="CU182" s="17">
        <f>CT182*VLOOKUP('Données projet'!$B$13,Paramètres!$A$1:$I$89,3,0)*VLOOKUP('Données projet'!$B$13,Paramètres!$A$1:$I$89,5,0)</f>
        <v>4.0347458707401528E-13</v>
      </c>
      <c r="CV182" s="13">
        <f t="shared" si="173"/>
        <v>5.1528944501892313E-12</v>
      </c>
      <c r="CW182" s="20">
        <f t="shared" si="174"/>
        <v>9.6773427399001538E-12</v>
      </c>
      <c r="CX182" s="59">
        <f t="shared" si="122"/>
        <v>293.33333333334298</v>
      </c>
      <c r="CY182" s="59">
        <f ca="1">AVERAGE(OFFSET($CX$3,0,0,'Données projet'!$E$13+1,1))-AVERAGE(OFFSET($H$3,0,0,'Données projet'!$E$13+1,1))</f>
        <v>773.15074145293738</v>
      </c>
      <c r="CZ182" s="59">
        <f t="shared" si="150"/>
        <v>248.49577986312505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131.43071513833956</v>
      </c>
      <c r="DG182" s="21">
        <f>EXP(-LN(2)/25)*DG181+(1-EXP(-LN(2)/25))/(LN(2)/25)*Calculateur!DB182*Calculateur!DD182*VLOOKUP('Données projet'!$B$13,Paramètres!$A$1:$I$89,3,0)*0.475*44/12</f>
        <v>19.577104050893396</v>
      </c>
      <c r="DH182" s="21">
        <f>EXP(-LN(2)/2)*DH181+(1-EXP(-LN(2)/2))/(LN(2)/2)*DB182*DE182*VLOOKUP('Données projet'!$B$13,Paramètres!$A$1:$I$89,3,0)*0.475*44/12</f>
        <v>1.2457026852528096E-2</v>
      </c>
      <c r="DI182" s="22">
        <f t="shared" si="175"/>
        <v>151.02027621608551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3.4106051316484809E-13</v>
      </c>
      <c r="DP182" s="17">
        <f>DO182*VLOOKUP('Données projet'!$B$14,Paramètres!$A$1:$I$89,3,0)*VLOOKUP('Données projet'!$B$14,Paramètres!$A$1:$I$89,5,0)</f>
        <v>1.5961632016114892E-13</v>
      </c>
      <c r="DQ182" s="13">
        <f t="shared" si="176"/>
        <v>2.2708641912150958E-12</v>
      </c>
      <c r="DR182" s="20">
        <f t="shared" si="177"/>
        <v>4.2330868906469593E-12</v>
      </c>
      <c r="DS182" s="59">
        <f t="shared" si="125"/>
        <v>293.33333333333752</v>
      </c>
      <c r="DT182" s="59">
        <f ca="1">AVERAGE(OFFSET($DS$3,0,0,'Données projet'!$E$14+1,1))-AVERAGE(OFFSET($H$3,0,0,'Données projet'!$E$14+1,1))</f>
        <v>293.15557501692803</v>
      </c>
      <c r="DU182" s="59">
        <f t="shared" si="152"/>
        <v>237.1930412773068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32.805163316402968</v>
      </c>
      <c r="EB182" s="21">
        <f>EXP(-LN(2)/25)*EB181+(1-EXP(-LN(2)/25))/(LN(2)/25)*Calculateur!DW182*Calculateur!DY182*VLOOKUP('Données projet'!$B$14,Paramètres!$A$1:$I$89,3,0)*0.475*44/12</f>
        <v>6.013926816881245</v>
      </c>
      <c r="EC182" s="21">
        <f>EXP(-LN(2)/2)*EC181+(1-EXP(-LN(2)/2))/(LN(2)/2)*DW182*DZ182*VLOOKUP('Données projet'!$B$14,Paramètres!$A$1:$I$89,3,0)*0.475*44/12</f>
        <v>9.1641847448286008E-10</v>
      </c>
      <c r="ED182" s="22">
        <f t="shared" si="178"/>
        <v>38.819090134200628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-1.7053025658242404E-13</v>
      </c>
      <c r="EK182" s="17">
        <f>EJ182*VLOOKUP('Données projet'!$B$15,Paramètres!$A$1:$I$89,3,0)*VLOOKUP('Données projet'!$B$15,Paramètres!$A$1:$I$89,5,0)</f>
        <v>-1.0197709343628959E-13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225.86663363047296</v>
      </c>
      <c r="EP182" s="59">
        <f t="shared" si="154"/>
        <v>258.08349727304397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10.075050731412212</v>
      </c>
      <c r="EW182" s="21">
        <f>EXP(-LN(2)/25)*EW181+(1-EXP(-LN(2)/25))/(LN(2)/25)*Calculateur!ER182*Calculateur!ET182*VLOOKUP('Données projet'!$B$15,Paramètres!$A$1:$I$89,3,0)*0.475*44/12</f>
        <v>1.4581881075729319</v>
      </c>
      <c r="EX182" s="21">
        <f>EXP(-LN(2)/2)*EX181+(1-EXP(-LN(2)/2))/(LN(2)/2)*ER182*EU182*VLOOKUP('Données projet'!$B$15,Paramètres!$A$1:$I$89,3,0)*0.475*44/12</f>
        <v>1.0970757632400289E-16</v>
      </c>
      <c r="EY182" s="22">
        <f t="shared" si="181"/>
        <v>11.533238838985143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388.12151914648013</v>
      </c>
      <c r="T183" s="59">
        <f t="shared" si="142"/>
        <v>481.43684454382793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15.274414952318772</v>
      </c>
      <c r="AA183" s="21">
        <f>EXP(-LN(2)/25)*AA182+(1-EXP(-LN(2)/25))/(LN(2)/25)*Calculateur!V183*Calculateur!X183*VLOOKUP('Données projet'!$B$9,Paramètres!$A$1:$I$89,3,0)*0.475*44/12</f>
        <v>1.9813357207804707</v>
      </c>
      <c r="AB183" s="21">
        <f>EXP(-LN(2)/2)*AB182+(1-EXP(-LN(2)/2))/(LN(2)/2)*V183*Y183*VLOOKUP('Données projet'!$B$9,Paramètres!$A$1:$I$89,3,0)*0.475*44/12</f>
        <v>1.6762700611695387E-17</v>
      </c>
      <c r="AC183" s="22">
        <f t="shared" si="163"/>
        <v>17.255750673099243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-1.3596945791505279E-13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349.71285006949597</v>
      </c>
      <c r="AO183" s="59">
        <f t="shared" si="144"/>
        <v>258.51550516456842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21.152625848389462</v>
      </c>
      <c r="AV183" s="21">
        <f>EXP(-LN(2)/25)*AV182+(1-EXP(-LN(2)/25))/(LN(2)/25)*Calculateur!AQ183*Calculateur!AS183*VLOOKUP('Données projet'!$B$10,Paramètres!$A$1:$I$89,3,0)*0.475*44/12</f>
        <v>3.2340232986436241</v>
      </c>
      <c r="AW183" s="21">
        <f>EXP(-LN(2)/2)*AW182+(1-EXP(-LN(2)/2))/(LN(2)/2)*AQ183*AT183*VLOOKUP('Données projet'!$B$10,Paramètres!$A$1:$I$89,3,0)*0.475*44/12</f>
        <v>6.2808996049675786E-14</v>
      </c>
      <c r="AX183" s="21">
        <f t="shared" si="166"/>
        <v>24.38664914703315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8.5265128291212022E-14</v>
      </c>
      <c r="BE183" s="13">
        <f>BD183*VLOOKUP('Données projet'!$B$11,Paramètres!$A$1:$I$89,3,0)*VLOOKUP('Données projet'!$B$11,Paramètres!$A$1:$I$89,5,0)</f>
        <v>8.9119112089974823E-14</v>
      </c>
      <c r="BF183" s="13">
        <f t="shared" si="167"/>
        <v>1.3568952080113142E-12</v>
      </c>
      <c r="BG183" s="20">
        <f t="shared" si="168"/>
        <v>2.5184749408430782E-12</v>
      </c>
      <c r="BH183" s="59">
        <f t="shared" si="116"/>
        <v>293.33333333333582</v>
      </c>
      <c r="BI183" s="59">
        <f ca="1">AVERAGE(OFFSET($BH$3,0,0,'Données projet'!$E$11+1,1))-AVERAGE(OFFSET($H$3,0,0,'Données projet'!$E$11+1,1))</f>
        <v>260.74709892624571</v>
      </c>
      <c r="BJ183" s="59">
        <f t="shared" si="146"/>
        <v>237.17381692184887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3.6503447494250492</v>
      </c>
      <c r="BQ183" s="21">
        <f>EXP(-LN(2)/25)*BQ182+(1-EXP(-LN(2)/25))/(LN(2)/25)*Calculateur!BL183*Calculateur!BN183*VLOOKUP('Données projet'!$B$11,Paramètres!$A$1:$I$89,3,0)*0.475*44/12</f>
        <v>4.9454598013946605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8.5958045508197092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3.979039320256561E-13</v>
      </c>
      <c r="BZ183" s="13">
        <f>BY183*VLOOKUP('Données projet'!$B$12,Paramètres!$A$1:$I$89,3,0)*VLOOKUP('Données projet'!$B$12,Paramètres!$A$1:$I$89,5,0)</f>
        <v>3.6002347769681362E-13</v>
      </c>
      <c r="CA183" s="13">
        <f t="shared" si="170"/>
        <v>4.6593569189922594E-12</v>
      </c>
      <c r="CB183" s="20">
        <f t="shared" si="171"/>
        <v>8.7420875242334695E-12</v>
      </c>
      <c r="CC183" s="59">
        <f t="shared" si="119"/>
        <v>293.33333333334207</v>
      </c>
      <c r="CD183" s="59">
        <f ca="1">AVERAGE(OFFSET($CC$3,0,0,'Données projet'!$E$12+1,1))-AVERAGE(OFFSET($H$3,0,0,'Données projet'!$E$12+1,1))</f>
        <v>695.0879239758051</v>
      </c>
      <c r="CE183" s="59">
        <f t="shared" si="148"/>
        <v>226.22150997227476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114.97691478152683</v>
      </c>
      <c r="CL183" s="21">
        <f>EXP(-LN(2)/25)*CL182+(1-EXP(-LN(2)/25))/(LN(2)/25)*Calculateur!CG183*Calculateur!CI183*VLOOKUP('Données projet'!$B$12,Paramètres!$A$1:$I$89,3,0)*0.475*44/12</f>
        <v>16.991115268372006</v>
      </c>
      <c r="CM183" s="21">
        <f>EXP(-LN(2)/2)*CM182+(1-EXP(-LN(2)/2))/(LN(2)/2)*CG183*CJ183*VLOOKUP('Données projet'!$B$12,Paramètres!$A$1:$I$89,3,0)*0.475*44/12</f>
        <v>7.8598460512160143E-3</v>
      </c>
      <c r="CN183" s="22">
        <f t="shared" si="172"/>
        <v>131.97588989595005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3.979039320256561E-13</v>
      </c>
      <c r="CU183" s="17">
        <f>CT183*VLOOKUP('Données projet'!$B$13,Paramètres!$A$1:$I$89,3,0)*VLOOKUP('Données projet'!$B$13,Paramètres!$A$1:$I$89,5,0)</f>
        <v>4.0347458707401528E-13</v>
      </c>
      <c r="CV183" s="13">
        <f t="shared" si="173"/>
        <v>5.1528944501892313E-12</v>
      </c>
      <c r="CW183" s="20">
        <f t="shared" si="174"/>
        <v>9.6773427399001538E-12</v>
      </c>
      <c r="CX183" s="59">
        <f t="shared" si="122"/>
        <v>293.33333333334298</v>
      </c>
      <c r="CY183" s="59">
        <f ca="1">AVERAGE(OFFSET($CX$3,0,0,'Données projet'!$E$13+1,1))-AVERAGE(OFFSET($H$3,0,0,'Données projet'!$E$13+1,1))</f>
        <v>773.15074145293738</v>
      </c>
      <c r="CZ183" s="59">
        <f t="shared" si="150"/>
        <v>248.49577986312505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128.85343897929735</v>
      </c>
      <c r="DG183" s="21">
        <f>EXP(-LN(2)/25)*DG182+(1-EXP(-LN(2)/25))/(LN(2)/25)*Calculateur!DB183*Calculateur!DD183*VLOOKUP('Données projet'!$B$13,Paramètres!$A$1:$I$89,3,0)*0.475*44/12</f>
        <v>19.041767111106559</v>
      </c>
      <c r="DH183" s="21">
        <f>EXP(-LN(2)/2)*DH182+(1-EXP(-LN(2)/2))/(LN(2)/2)*DB183*DE183*VLOOKUP('Données projet'!$B$13,Paramètres!$A$1:$I$89,3,0)*0.475*44/12</f>
        <v>8.8084481608455313E-3</v>
      </c>
      <c r="DI183" s="22">
        <f t="shared" si="175"/>
        <v>147.90401453856475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3.4106051316484809E-13</v>
      </c>
      <c r="DP183" s="17">
        <f>DO183*VLOOKUP('Données projet'!$B$14,Paramètres!$A$1:$I$89,3,0)*VLOOKUP('Données projet'!$B$14,Paramètres!$A$1:$I$89,5,0)</f>
        <v>1.5961632016114892E-13</v>
      </c>
      <c r="DQ183" s="13">
        <f t="shared" si="176"/>
        <v>2.2708641912150958E-12</v>
      </c>
      <c r="DR183" s="20">
        <f t="shared" si="177"/>
        <v>4.2330868906469593E-12</v>
      </c>
      <c r="DS183" s="59">
        <f t="shared" si="125"/>
        <v>293.33333333333752</v>
      </c>
      <c r="DT183" s="59">
        <f ca="1">AVERAGE(OFFSET($DS$3,0,0,'Données projet'!$E$14+1,1))-AVERAGE(OFFSET($H$3,0,0,'Données projet'!$E$14+1,1))</f>
        <v>293.15557501692803</v>
      </c>
      <c r="DU183" s="59">
        <f t="shared" si="152"/>
        <v>237.1930412773068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32.16187407294219</v>
      </c>
      <c r="EB183" s="21">
        <f>EXP(-LN(2)/25)*EB182+(1-EXP(-LN(2)/25))/(LN(2)/25)*Calculateur!DW183*Calculateur!DY183*VLOOKUP('Données projet'!$B$14,Paramètres!$A$1:$I$89,3,0)*0.475*44/12</f>
        <v>5.849475671814961</v>
      </c>
      <c r="EC183" s="21">
        <f>EXP(-LN(2)/2)*EC182+(1-EXP(-LN(2)/2))/(LN(2)/2)*DW183*DZ183*VLOOKUP('Données projet'!$B$14,Paramètres!$A$1:$I$89,3,0)*0.475*44/12</f>
        <v>6.480057177114615E-10</v>
      </c>
      <c r="ED183" s="22">
        <f t="shared" si="178"/>
        <v>38.011349745405163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-1.7053025658242404E-13</v>
      </c>
      <c r="EK183" s="17">
        <f>EJ183*VLOOKUP('Données projet'!$B$15,Paramètres!$A$1:$I$89,3,0)*VLOOKUP('Données projet'!$B$15,Paramètres!$A$1:$I$89,5,0)</f>
        <v>-1.0197709343628959E-13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225.86663363047296</v>
      </c>
      <c r="EP183" s="59">
        <f t="shared" si="154"/>
        <v>258.08349727304397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9.8774851317433789</v>
      </c>
      <c r="EW183" s="21">
        <f>EXP(-LN(2)/25)*EW182+(1-EXP(-LN(2)/25))/(LN(2)/25)*Calculateur!ER183*Calculateur!ET183*VLOOKUP('Données projet'!$B$15,Paramètres!$A$1:$I$89,3,0)*0.475*44/12</f>
        <v>1.4183138770885704</v>
      </c>
      <c r="EX183" s="21">
        <f>EXP(-LN(2)/2)*EX182+(1-EXP(-LN(2)/2))/(LN(2)/2)*ER183*EU183*VLOOKUP('Données projet'!$B$15,Paramètres!$A$1:$I$89,3,0)*0.475*44/12</f>
        <v>7.7574971166243175E-17</v>
      </c>
      <c r="EY183" s="22">
        <f t="shared" si="181"/>
        <v>11.295799008831949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388.12151914648013</v>
      </c>
      <c r="T184" s="59">
        <f t="shared" si="142"/>
        <v>481.43684454382793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14.974892991576995</v>
      </c>
      <c r="AA184" s="21">
        <f>EXP(-LN(2)/25)*AA183+(1-EXP(-LN(2)/25))/(LN(2)/25)*Calculateur!V184*Calculateur!X184*VLOOKUP('Données projet'!$B$9,Paramètres!$A$1:$I$89,3,0)*0.475*44/12</f>
        <v>1.9271559913018115</v>
      </c>
      <c r="AB184" s="21">
        <f>EXP(-LN(2)/2)*AB183+(1-EXP(-LN(2)/2))/(LN(2)/2)*V184*Y184*VLOOKUP('Données projet'!$B$9,Paramètres!$A$1:$I$89,3,0)*0.475*44/12</f>
        <v>1.1853019273529697E-17</v>
      </c>
      <c r="AC184" s="22">
        <f t="shared" si="163"/>
        <v>16.902048982878807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-1.3596945791505279E-13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349.71285006949597</v>
      </c>
      <c r="AO184" s="59">
        <f t="shared" si="144"/>
        <v>258.51550516456842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20.737835757330362</v>
      </c>
      <c r="AV184" s="21">
        <f>EXP(-LN(2)/25)*AV183+(1-EXP(-LN(2)/25))/(LN(2)/25)*Calculateur!AQ184*Calculateur!AS184*VLOOKUP('Données projet'!$B$10,Paramètres!$A$1:$I$89,3,0)*0.475*44/12</f>
        <v>3.1455887614723204</v>
      </c>
      <c r="AW184" s="21">
        <f>EXP(-LN(2)/2)*AW183+(1-EXP(-LN(2)/2))/(LN(2)/2)*AQ184*AT184*VLOOKUP('Données projet'!$B$10,Paramètres!$A$1:$I$89,3,0)*0.475*44/12</f>
        <v>4.4412667026244825E-14</v>
      </c>
      <c r="AX184" s="21">
        <f t="shared" si="166"/>
        <v>23.88342451880273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8.5265128291212022E-14</v>
      </c>
      <c r="BE184" s="13">
        <f>BD184*VLOOKUP('Données projet'!$B$11,Paramètres!$A$1:$I$89,3,0)*VLOOKUP('Données projet'!$B$11,Paramètres!$A$1:$I$89,5,0)</f>
        <v>8.9119112089974823E-14</v>
      </c>
      <c r="BF184" s="13">
        <f t="shared" si="167"/>
        <v>1.3568952080113142E-12</v>
      </c>
      <c r="BG184" s="20">
        <f t="shared" si="168"/>
        <v>2.5184749408430782E-12</v>
      </c>
      <c r="BH184" s="59">
        <f t="shared" si="116"/>
        <v>293.33333333333582</v>
      </c>
      <c r="BI184" s="59">
        <f ca="1">AVERAGE(OFFSET($BH$3,0,0,'Données projet'!$E$11+1,1))-AVERAGE(OFFSET($H$3,0,0,'Données projet'!$E$11+1,1))</f>
        <v>260.74709892624571</v>
      </c>
      <c r="BJ184" s="59">
        <f t="shared" si="146"/>
        <v>237.17381692184887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3.5787637153792735</v>
      </c>
      <c r="BQ184" s="21">
        <f>EXP(-LN(2)/25)*BQ183+(1-EXP(-LN(2)/25))/(LN(2)/25)*Calculateur!BL184*Calculateur!BN184*VLOOKUP('Données projet'!$B$11,Paramètres!$A$1:$I$89,3,0)*0.475*44/12</f>
        <v>4.8102259430550953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8.3889896584343688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3.979039320256561E-13</v>
      </c>
      <c r="BZ184" s="13">
        <f>BY184*VLOOKUP('Données projet'!$B$12,Paramètres!$A$1:$I$89,3,0)*VLOOKUP('Données projet'!$B$12,Paramètres!$A$1:$I$89,5,0)</f>
        <v>3.6002347769681362E-13</v>
      </c>
      <c r="CA184" s="13">
        <f t="shared" si="170"/>
        <v>4.6593569189922594E-12</v>
      </c>
      <c r="CB184" s="20">
        <f t="shared" si="171"/>
        <v>8.7420875242334695E-12</v>
      </c>
      <c r="CC184" s="59">
        <f t="shared" si="119"/>
        <v>293.33333333334207</v>
      </c>
      <c r="CD184" s="59">
        <f ca="1">AVERAGE(OFFSET($CC$3,0,0,'Données projet'!$E$12+1,1))-AVERAGE(OFFSET($H$3,0,0,'Données projet'!$E$12+1,1))</f>
        <v>695.0879239758051</v>
      </c>
      <c r="CE184" s="59">
        <f t="shared" si="148"/>
        <v>226.22150997227476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112.72228761165444</v>
      </c>
      <c r="CL184" s="21">
        <f>EXP(-LN(2)/25)*CL183+(1-EXP(-LN(2)/25))/(LN(2)/25)*Calculateur!CG184*Calculateur!CI184*VLOOKUP('Données projet'!$B$12,Paramètres!$A$1:$I$89,3,0)*0.475*44/12</f>
        <v>16.526492327834454</v>
      </c>
      <c r="CM184" s="21">
        <f>EXP(-LN(2)/2)*CM183+(1-EXP(-LN(2)/2))/(LN(2)/2)*CG184*CJ184*VLOOKUP('Données projet'!$B$12,Paramètres!$A$1:$I$89,3,0)*0.475*44/12</f>
        <v>5.5577504418971519E-3</v>
      </c>
      <c r="CN184" s="22">
        <f t="shared" si="172"/>
        <v>129.25433768993079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3.979039320256561E-13</v>
      </c>
      <c r="CU184" s="17">
        <f>CT184*VLOOKUP('Données projet'!$B$13,Paramètres!$A$1:$I$89,3,0)*VLOOKUP('Données projet'!$B$13,Paramètres!$A$1:$I$89,5,0)</f>
        <v>4.0347458707401528E-13</v>
      </c>
      <c r="CV184" s="13">
        <f t="shared" si="173"/>
        <v>5.1528944501892313E-12</v>
      </c>
      <c r="CW184" s="20">
        <f t="shared" si="174"/>
        <v>9.6773427399001538E-12</v>
      </c>
      <c r="CX184" s="59">
        <f t="shared" si="122"/>
        <v>293.33333333334298</v>
      </c>
      <c r="CY184" s="59">
        <f ca="1">AVERAGE(OFFSET($CX$3,0,0,'Données projet'!$E$13+1,1))-AVERAGE(OFFSET($H$3,0,0,'Données projet'!$E$13+1,1))</f>
        <v>773.15074145293738</v>
      </c>
      <c r="CZ184" s="59">
        <f t="shared" si="150"/>
        <v>248.49577986312505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126.32670163375072</v>
      </c>
      <c r="DG184" s="21">
        <f>EXP(-LN(2)/25)*DG183+(1-EXP(-LN(2)/25))/(LN(2)/25)*Calculateur!DB184*Calculateur!DD184*VLOOKUP('Données projet'!$B$13,Paramètres!$A$1:$I$89,3,0)*0.475*44/12</f>
        <v>18.521068988090338</v>
      </c>
      <c r="DH184" s="21">
        <f>EXP(-LN(2)/2)*DH183+(1-EXP(-LN(2)/2))/(LN(2)/2)*DB184*DE184*VLOOKUP('Données projet'!$B$13,Paramètres!$A$1:$I$89,3,0)*0.475*44/12</f>
        <v>6.2285134262640481E-3</v>
      </c>
      <c r="DI184" s="22">
        <f t="shared" si="175"/>
        <v>144.85399913526732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3.4106051316484809E-13</v>
      </c>
      <c r="DP184" s="17">
        <f>DO184*VLOOKUP('Données projet'!$B$14,Paramètres!$A$1:$I$89,3,0)*VLOOKUP('Données projet'!$B$14,Paramètres!$A$1:$I$89,5,0)</f>
        <v>1.5961632016114892E-13</v>
      </c>
      <c r="DQ184" s="13">
        <f t="shared" si="176"/>
        <v>2.2708641912150958E-12</v>
      </c>
      <c r="DR184" s="20">
        <f t="shared" si="177"/>
        <v>4.2330868906469593E-12</v>
      </c>
      <c r="DS184" s="59">
        <f t="shared" si="125"/>
        <v>293.33333333333752</v>
      </c>
      <c r="DT184" s="59">
        <f ca="1">AVERAGE(OFFSET($DS$3,0,0,'Données projet'!$E$14+1,1))-AVERAGE(OFFSET($H$3,0,0,'Données projet'!$E$14+1,1))</f>
        <v>293.15557501692803</v>
      </c>
      <c r="DU184" s="59">
        <f t="shared" si="152"/>
        <v>237.1930412773068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31.531199339177981</v>
      </c>
      <c r="EB184" s="21">
        <f>EXP(-LN(2)/25)*EB183+(1-EXP(-LN(2)/25))/(LN(2)/25)*Calculateur!DW184*Calculateur!DY184*VLOOKUP('Données projet'!$B$14,Paramètres!$A$1:$I$89,3,0)*0.475*44/12</f>
        <v>5.6895214519586244</v>
      </c>
      <c r="EC184" s="21">
        <f>EXP(-LN(2)/2)*EC183+(1-EXP(-LN(2)/2))/(LN(2)/2)*DW184*DZ184*VLOOKUP('Données projet'!$B$14,Paramètres!$A$1:$I$89,3,0)*0.475*44/12</f>
        <v>4.5820923724143014E-10</v>
      </c>
      <c r="ED184" s="22">
        <f t="shared" si="178"/>
        <v>37.220720791594815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-1.7053025658242404E-13</v>
      </c>
      <c r="EK184" s="17">
        <f>EJ184*VLOOKUP('Données projet'!$B$15,Paramètres!$A$1:$I$89,3,0)*VLOOKUP('Données projet'!$B$15,Paramètres!$A$1:$I$89,5,0)</f>
        <v>-1.0197709343628959E-13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225.86663363047296</v>
      </c>
      <c r="EP184" s="59">
        <f t="shared" si="154"/>
        <v>258.08349727304397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9.6837936729809346</v>
      </c>
      <c r="EW184" s="21">
        <f>EXP(-LN(2)/25)*EW183+(1-EXP(-LN(2)/25))/(LN(2)/25)*Calculateur!ER184*Calculateur!ET184*VLOOKUP('Données projet'!$B$15,Paramètres!$A$1:$I$89,3,0)*0.475*44/12</f>
        <v>1.3795300095336982</v>
      </c>
      <c r="EX184" s="21">
        <f>EXP(-LN(2)/2)*EX183+(1-EXP(-LN(2)/2))/(LN(2)/2)*ER184*EU184*VLOOKUP('Données projet'!$B$15,Paramètres!$A$1:$I$89,3,0)*0.475*44/12</f>
        <v>5.4853788162001449E-17</v>
      </c>
      <c r="EY184" s="22">
        <f t="shared" si="181"/>
        <v>11.063323682514632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388.12151914648013</v>
      </c>
      <c r="T185" s="59">
        <f t="shared" si="142"/>
        <v>481.43684454382793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14.68124447379501</v>
      </c>
      <c r="AA185" s="21">
        <f>EXP(-LN(2)/25)*AA184+(1-EXP(-LN(2)/25))/(LN(2)/25)*Calculateur!V185*Calculateur!X185*VLOOKUP('Données projet'!$B$9,Paramètres!$A$1:$I$89,3,0)*0.475*44/12</f>
        <v>1.8744578093749344</v>
      </c>
      <c r="AB185" s="21">
        <f>EXP(-LN(2)/2)*AB184+(1-EXP(-LN(2)/2))/(LN(2)/2)*V185*Y185*VLOOKUP('Données projet'!$B$9,Paramètres!$A$1:$I$89,3,0)*0.475*44/12</f>
        <v>8.3813503058476936E-18</v>
      </c>
      <c r="AC185" s="22">
        <f t="shared" si="163"/>
        <v>16.555702283169943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-1.3596945791505279E-13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349.71285006949597</v>
      </c>
      <c r="AO185" s="59">
        <f t="shared" si="144"/>
        <v>258.51550516456842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20.331179446959958</v>
      </c>
      <c r="AV185" s="21">
        <f>EXP(-LN(2)/25)*AV184+(1-EXP(-LN(2)/25))/(LN(2)/25)*Calculateur!AQ185*Calculateur!AS185*VLOOKUP('Données projet'!$B$10,Paramètres!$A$1:$I$89,3,0)*0.475*44/12</f>
        <v>3.0595724713705361</v>
      </c>
      <c r="AW185" s="21">
        <f>EXP(-LN(2)/2)*AW184+(1-EXP(-LN(2)/2))/(LN(2)/2)*AQ185*AT185*VLOOKUP('Données projet'!$B$10,Paramètres!$A$1:$I$89,3,0)*0.475*44/12</f>
        <v>3.1404498024837893E-14</v>
      </c>
      <c r="AX185" s="21">
        <f t="shared" si="166"/>
        <v>23.390751918330526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8.5265128291212022E-14</v>
      </c>
      <c r="BE185" s="13">
        <f>BD185*VLOOKUP('Données projet'!$B$11,Paramètres!$A$1:$I$89,3,0)*VLOOKUP('Données projet'!$B$11,Paramètres!$A$1:$I$89,5,0)</f>
        <v>8.9119112089974823E-14</v>
      </c>
      <c r="BF185" s="13">
        <f t="shared" si="167"/>
        <v>1.3568952080113142E-12</v>
      </c>
      <c r="BG185" s="20">
        <f t="shared" si="168"/>
        <v>2.5184749408430782E-12</v>
      </c>
      <c r="BH185" s="59">
        <f t="shared" si="116"/>
        <v>293.33333333333582</v>
      </c>
      <c r="BI185" s="59">
        <f ca="1">AVERAGE(OFFSET($BH$3,0,0,'Données projet'!$E$11+1,1))-AVERAGE(OFFSET($H$3,0,0,'Données projet'!$E$11+1,1))</f>
        <v>260.74709892624571</v>
      </c>
      <c r="BJ185" s="59">
        <f t="shared" si="146"/>
        <v>237.17381692184887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3.5085863417510157</v>
      </c>
      <c r="BQ185" s="21">
        <f>EXP(-LN(2)/25)*BQ184+(1-EXP(-LN(2)/25))/(LN(2)/25)*Calculateur!BL185*Calculateur!BN185*VLOOKUP('Données projet'!$B$11,Paramètres!$A$1:$I$89,3,0)*0.475*44/12</f>
        <v>4.678690061683465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8.1872764034344812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3.979039320256561E-13</v>
      </c>
      <c r="BZ185" s="13">
        <f>BY185*VLOOKUP('Données projet'!$B$12,Paramètres!$A$1:$I$89,3,0)*VLOOKUP('Données projet'!$B$12,Paramètres!$A$1:$I$89,5,0)</f>
        <v>3.6002347769681362E-13</v>
      </c>
      <c r="CA185" s="13">
        <f t="shared" si="170"/>
        <v>4.6593569189922594E-12</v>
      </c>
      <c r="CB185" s="20">
        <f t="shared" si="171"/>
        <v>8.7420875242334695E-12</v>
      </c>
      <c r="CC185" s="59">
        <f t="shared" si="119"/>
        <v>293.33333333334207</v>
      </c>
      <c r="CD185" s="59">
        <f ca="1">AVERAGE(OFFSET($CC$3,0,0,'Données projet'!$E$12+1,1))-AVERAGE(OFFSET($H$3,0,0,'Données projet'!$E$12+1,1))</f>
        <v>695.0879239758051</v>
      </c>
      <c r="CE185" s="59">
        <f t="shared" si="148"/>
        <v>226.22150997227476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110.51187230539647</v>
      </c>
      <c r="CL185" s="21">
        <f>EXP(-LN(2)/25)*CL184+(1-EXP(-LN(2)/25))/(LN(2)/25)*Calculateur!CG185*Calculateur!CI185*VLOOKUP('Données projet'!$B$12,Paramètres!$A$1:$I$89,3,0)*0.475*44/12</f>
        <v>16.07457452603936</v>
      </c>
      <c r="CM185" s="21">
        <f>EXP(-LN(2)/2)*CM184+(1-EXP(-LN(2)/2))/(LN(2)/2)*CG185*CJ185*VLOOKUP('Données projet'!$B$12,Paramètres!$A$1:$I$89,3,0)*0.475*44/12</f>
        <v>3.9299230256080071E-3</v>
      </c>
      <c r="CN185" s="22">
        <f t="shared" si="172"/>
        <v>126.59037675446143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3.979039320256561E-13</v>
      </c>
      <c r="CU185" s="17">
        <f>CT185*VLOOKUP('Données projet'!$B$13,Paramètres!$A$1:$I$89,3,0)*VLOOKUP('Données projet'!$B$13,Paramètres!$A$1:$I$89,5,0)</f>
        <v>4.0347458707401528E-13</v>
      </c>
      <c r="CV185" s="13">
        <f t="shared" si="173"/>
        <v>5.1528944501892313E-12</v>
      </c>
      <c r="CW185" s="20">
        <f t="shared" si="174"/>
        <v>9.6773427399001538E-12</v>
      </c>
      <c r="CX185" s="59">
        <f t="shared" si="122"/>
        <v>293.33333333334298</v>
      </c>
      <c r="CY185" s="59">
        <f ca="1">AVERAGE(OFFSET($CX$3,0,0,'Données projet'!$E$13+1,1))-AVERAGE(OFFSET($H$3,0,0,'Données projet'!$E$13+1,1))</f>
        <v>773.15074145293738</v>
      </c>
      <c r="CZ185" s="59">
        <f t="shared" si="150"/>
        <v>248.49577986312505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123.84951206639263</v>
      </c>
      <c r="DG185" s="21">
        <f>EXP(-LN(2)/25)*DG184+(1-EXP(-LN(2)/25))/(LN(2)/25)*Calculateur!DB185*Calculateur!DD185*VLOOKUP('Données projet'!$B$13,Paramètres!$A$1:$I$89,3,0)*0.475*44/12</f>
        <v>18.014609382630319</v>
      </c>
      <c r="DH185" s="21">
        <f>EXP(-LN(2)/2)*DH184+(1-EXP(-LN(2)/2))/(LN(2)/2)*DB185*DE185*VLOOKUP('Données projet'!$B$13,Paramètres!$A$1:$I$89,3,0)*0.475*44/12</f>
        <v>4.4042240804227657E-3</v>
      </c>
      <c r="DI185" s="22">
        <f t="shared" si="175"/>
        <v>141.86852567310336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3.4106051316484809E-13</v>
      </c>
      <c r="DP185" s="17">
        <f>DO185*VLOOKUP('Données projet'!$B$14,Paramètres!$A$1:$I$89,3,0)*VLOOKUP('Données projet'!$B$14,Paramètres!$A$1:$I$89,5,0)</f>
        <v>1.5961632016114892E-13</v>
      </c>
      <c r="DQ185" s="13">
        <f t="shared" si="176"/>
        <v>2.2708641912150958E-12</v>
      </c>
      <c r="DR185" s="20">
        <f t="shared" si="177"/>
        <v>4.2330868906469593E-12</v>
      </c>
      <c r="DS185" s="59">
        <f t="shared" si="125"/>
        <v>293.33333333333752</v>
      </c>
      <c r="DT185" s="59">
        <f ca="1">AVERAGE(OFFSET($DS$3,0,0,'Données projet'!$E$14+1,1))-AVERAGE(OFFSET($H$3,0,0,'Données projet'!$E$14+1,1))</f>
        <v>293.15557501692803</v>
      </c>
      <c r="DU185" s="59">
        <f t="shared" si="152"/>
        <v>237.1930412773068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30.912891752269282</v>
      </c>
      <c r="EB185" s="21">
        <f>EXP(-LN(2)/25)*EB184+(1-EXP(-LN(2)/25))/(LN(2)/25)*Calculateur!DW185*Calculateur!DY185*VLOOKUP('Données projet'!$B$14,Paramètres!$A$1:$I$89,3,0)*0.475*44/12</f>
        <v>5.533941188655886</v>
      </c>
      <c r="EC185" s="21">
        <f>EXP(-LN(2)/2)*EC184+(1-EXP(-LN(2)/2))/(LN(2)/2)*DW185*DZ185*VLOOKUP('Données projet'!$B$14,Paramètres!$A$1:$I$89,3,0)*0.475*44/12</f>
        <v>3.240028588557308E-10</v>
      </c>
      <c r="ED185" s="22">
        <f t="shared" si="178"/>
        <v>36.44683294124917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-1.7053025658242404E-13</v>
      </c>
      <c r="EK185" s="17">
        <f>EJ185*VLOOKUP('Données projet'!$B$15,Paramètres!$A$1:$I$89,3,0)*VLOOKUP('Données projet'!$B$15,Paramètres!$A$1:$I$89,5,0)</f>
        <v>-1.0197709343628959E-13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225.86663363047296</v>
      </c>
      <c r="EP185" s="59">
        <f t="shared" si="154"/>
        <v>258.08349727304397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9.4939003855846984</v>
      </c>
      <c r="EW185" s="21">
        <f>EXP(-LN(2)/25)*EW184+(1-EXP(-LN(2)/25))/(LN(2)/25)*Calculateur!ER185*Calculateur!ET185*VLOOKUP('Données projet'!$B$15,Paramètres!$A$1:$I$89,3,0)*0.475*44/12</f>
        <v>1.3418066888766689</v>
      </c>
      <c r="EX185" s="21">
        <f>EXP(-LN(2)/2)*EX184+(1-EXP(-LN(2)/2))/(LN(2)/2)*ER185*EU185*VLOOKUP('Données projet'!$B$15,Paramètres!$A$1:$I$89,3,0)*0.475*44/12</f>
        <v>3.8787485583121594E-17</v>
      </c>
      <c r="EY185" s="22">
        <f t="shared" si="181"/>
        <v>10.835707074461368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388.12151914648013</v>
      </c>
      <c r="T186" s="59">
        <f t="shared" si="142"/>
        <v>481.43684454382793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14.393354224338818</v>
      </c>
      <c r="AA186" s="21">
        <f>EXP(-LN(2)/25)*AA185+(1-EXP(-LN(2)/25))/(LN(2)/25)*Calculateur!V186*Calculateur!X186*VLOOKUP('Données projet'!$B$9,Paramètres!$A$1:$I$89,3,0)*0.475*44/12</f>
        <v>1.8232006620041248</v>
      </c>
      <c r="AB186" s="21">
        <f>EXP(-LN(2)/2)*AB185+(1-EXP(-LN(2)/2))/(LN(2)/2)*V186*Y186*VLOOKUP('Données projet'!$B$9,Paramètres!$A$1:$I$89,3,0)*0.475*44/12</f>
        <v>5.9265096367648483E-18</v>
      </c>
      <c r="AC186" s="22">
        <f t="shared" si="163"/>
        <v>16.216554886342944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-1.3596945791505279E-13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349.71285006949597</v>
      </c>
      <c r="AO186" s="59">
        <f t="shared" si="144"/>
        <v>258.51550516456842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19.932497418800057</v>
      </c>
      <c r="AV186" s="21">
        <f>EXP(-LN(2)/25)*AV185+(1-EXP(-LN(2)/25))/(LN(2)/25)*Calculateur!AQ186*Calculateur!AS186*VLOOKUP('Données projet'!$B$10,Paramètres!$A$1:$I$89,3,0)*0.475*44/12</f>
        <v>2.9759083012449854</v>
      </c>
      <c r="AW186" s="21">
        <f>EXP(-LN(2)/2)*AW185+(1-EXP(-LN(2)/2))/(LN(2)/2)*AQ186*AT186*VLOOKUP('Données projet'!$B$10,Paramètres!$A$1:$I$89,3,0)*0.475*44/12</f>
        <v>2.2206333513122412E-14</v>
      </c>
      <c r="AX186" s="21">
        <f t="shared" si="166"/>
        <v>22.908405720045064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8.5265128291212022E-14</v>
      </c>
      <c r="BE186" s="13">
        <f>BD186*VLOOKUP('Données projet'!$B$11,Paramètres!$A$1:$I$89,3,0)*VLOOKUP('Données projet'!$B$11,Paramètres!$A$1:$I$89,5,0)</f>
        <v>8.9119112089974823E-14</v>
      </c>
      <c r="BF186" s="13">
        <f t="shared" si="167"/>
        <v>1.3568952080113142E-12</v>
      </c>
      <c r="BG186" s="20">
        <f t="shared" si="168"/>
        <v>2.5184749408430782E-12</v>
      </c>
      <c r="BH186" s="59">
        <f t="shared" si="116"/>
        <v>293.33333333333582</v>
      </c>
      <c r="BI186" s="59">
        <f ca="1">AVERAGE(OFFSET($BH$3,0,0,'Données projet'!$E$11+1,1))-AVERAGE(OFFSET($H$3,0,0,'Données projet'!$E$11+1,1))</f>
        <v>260.74709892624571</v>
      </c>
      <c r="BJ186" s="59">
        <f t="shared" si="146"/>
        <v>237.17381692184887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3.4397851036156366</v>
      </c>
      <c r="BQ186" s="21">
        <f>EXP(-LN(2)/25)*BQ185+(1-EXP(-LN(2)/25))/(LN(2)/25)*Calculateur!BL186*Calculateur!BN186*VLOOKUP('Données projet'!$B$11,Paramètres!$A$1:$I$89,3,0)*0.475*44/12</f>
        <v>4.5507510359051135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7.9905361395207501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3.979039320256561E-13</v>
      </c>
      <c r="BZ186" s="13">
        <f>BY186*VLOOKUP('Données projet'!$B$12,Paramètres!$A$1:$I$89,3,0)*VLOOKUP('Données projet'!$B$12,Paramètres!$A$1:$I$89,5,0)</f>
        <v>3.6002347769681362E-13</v>
      </c>
      <c r="CA186" s="13">
        <f t="shared" si="170"/>
        <v>4.6593569189922594E-12</v>
      </c>
      <c r="CB186" s="20">
        <f t="shared" si="171"/>
        <v>8.7420875242334695E-12</v>
      </c>
      <c r="CC186" s="59">
        <f t="shared" si="119"/>
        <v>293.33333333334207</v>
      </c>
      <c r="CD186" s="59">
        <f ca="1">AVERAGE(OFFSET($CC$3,0,0,'Données projet'!$E$12+1,1))-AVERAGE(OFFSET($H$3,0,0,'Données projet'!$E$12+1,1))</f>
        <v>695.0879239758051</v>
      </c>
      <c r="CE186" s="59">
        <f t="shared" si="148"/>
        <v>226.22150997227476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108.344801895074</v>
      </c>
      <c r="CL186" s="21">
        <f>EXP(-LN(2)/25)*CL185+(1-EXP(-LN(2)/25))/(LN(2)/25)*Calculateur!CG186*Calculateur!CI186*VLOOKUP('Données projet'!$B$12,Paramètres!$A$1:$I$89,3,0)*0.475*44/12</f>
        <v>15.635014440299678</v>
      </c>
      <c r="CM186" s="21">
        <f>EXP(-LN(2)/2)*CM185+(1-EXP(-LN(2)/2))/(LN(2)/2)*CG186*CJ186*VLOOKUP('Données projet'!$B$12,Paramètres!$A$1:$I$89,3,0)*0.475*44/12</f>
        <v>2.7788752209485759E-3</v>
      </c>
      <c r="CN186" s="22">
        <f t="shared" si="172"/>
        <v>123.98259521059462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3.979039320256561E-13</v>
      </c>
      <c r="CU186" s="17">
        <f>CT186*VLOOKUP('Données projet'!$B$13,Paramètres!$A$1:$I$89,3,0)*VLOOKUP('Données projet'!$B$13,Paramètres!$A$1:$I$89,5,0)</f>
        <v>4.0347458707401528E-13</v>
      </c>
      <c r="CV186" s="13">
        <f t="shared" si="173"/>
        <v>5.1528944501892313E-12</v>
      </c>
      <c r="CW186" s="20">
        <f t="shared" si="174"/>
        <v>9.6773427399001538E-12</v>
      </c>
      <c r="CX186" s="59">
        <f t="shared" si="122"/>
        <v>293.33333333334298</v>
      </c>
      <c r="CY186" s="59">
        <f ca="1">AVERAGE(OFFSET($CX$3,0,0,'Données projet'!$E$13+1,1))-AVERAGE(OFFSET($H$3,0,0,'Données projet'!$E$13+1,1))</f>
        <v>773.15074145293738</v>
      </c>
      <c r="CZ186" s="59">
        <f t="shared" si="150"/>
        <v>248.49577986312505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121.42089867551401</v>
      </c>
      <c r="DG186" s="21">
        <f>EXP(-LN(2)/25)*DG185+(1-EXP(-LN(2)/25))/(LN(2)/25)*Calculateur!DB186*Calculateur!DD186*VLOOKUP('Données projet'!$B$13,Paramètres!$A$1:$I$89,3,0)*0.475*44/12</f>
        <v>17.521998941715157</v>
      </c>
      <c r="DH186" s="21">
        <f>EXP(-LN(2)/2)*DH185+(1-EXP(-LN(2)/2))/(LN(2)/2)*DB186*DE186*VLOOKUP('Données projet'!$B$13,Paramètres!$A$1:$I$89,3,0)*0.475*44/12</f>
        <v>3.1142567131320241E-3</v>
      </c>
      <c r="DI186" s="22">
        <f t="shared" si="175"/>
        <v>138.9460118739423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3.4106051316484809E-13</v>
      </c>
      <c r="DP186" s="17">
        <f>DO186*VLOOKUP('Données projet'!$B$14,Paramètres!$A$1:$I$89,3,0)*VLOOKUP('Données projet'!$B$14,Paramètres!$A$1:$I$89,5,0)</f>
        <v>1.5961632016114892E-13</v>
      </c>
      <c r="DQ186" s="13">
        <f t="shared" si="176"/>
        <v>2.2708641912150958E-12</v>
      </c>
      <c r="DR186" s="20">
        <f t="shared" si="177"/>
        <v>4.2330868906469593E-12</v>
      </c>
      <c r="DS186" s="59">
        <f t="shared" si="125"/>
        <v>293.33333333333752</v>
      </c>
      <c r="DT186" s="59">
        <f ca="1">AVERAGE(OFFSET($DS$3,0,0,'Données projet'!$E$14+1,1))-AVERAGE(OFFSET($H$3,0,0,'Données projet'!$E$14+1,1))</f>
        <v>293.15557501692803</v>
      </c>
      <c r="DU186" s="59">
        <f t="shared" si="152"/>
        <v>237.1930412773068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30.306708800009474</v>
      </c>
      <c r="EB186" s="21">
        <f>EXP(-LN(2)/25)*EB185+(1-EXP(-LN(2)/25))/(LN(2)/25)*Calculateur!DW186*Calculateur!DY186*VLOOKUP('Données projet'!$B$14,Paramètres!$A$1:$I$89,3,0)*0.475*44/12</f>
        <v>5.3826152758347714</v>
      </c>
      <c r="EC186" s="21">
        <f>EXP(-LN(2)/2)*EC185+(1-EXP(-LN(2)/2))/(LN(2)/2)*DW186*DZ186*VLOOKUP('Données projet'!$B$14,Paramètres!$A$1:$I$89,3,0)*0.475*44/12</f>
        <v>2.291046186207151E-10</v>
      </c>
      <c r="ED186" s="22">
        <f t="shared" si="178"/>
        <v>35.689324076073355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-1.7053025658242404E-13</v>
      </c>
      <c r="EK186" s="17">
        <f>EJ186*VLOOKUP('Données projet'!$B$15,Paramètres!$A$1:$I$89,3,0)*VLOOKUP('Données projet'!$B$15,Paramètres!$A$1:$I$89,5,0)</f>
        <v>-1.0197709343628959E-13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225.86663363047296</v>
      </c>
      <c r="EP186" s="59">
        <f t="shared" si="154"/>
        <v>258.08349727304397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9.307730789730833</v>
      </c>
      <c r="EW186" s="21">
        <f>EXP(-LN(2)/25)*EW185+(1-EXP(-LN(2)/25))/(LN(2)/25)*Calculateur!ER186*Calculateur!ET186*VLOOKUP('Données projet'!$B$15,Paramètres!$A$1:$I$89,3,0)*0.475*44/12</f>
        <v>1.3051149144067893</v>
      </c>
      <c r="EX186" s="21">
        <f>EXP(-LN(2)/2)*EX185+(1-EXP(-LN(2)/2))/(LN(2)/2)*ER186*EU186*VLOOKUP('Données projet'!$B$15,Paramètres!$A$1:$I$89,3,0)*0.475*44/12</f>
        <v>2.7426894081000731E-17</v>
      </c>
      <c r="EY186" s="22">
        <f t="shared" si="181"/>
        <v>10.612845704137623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388.12151914648013</v>
      </c>
      <c r="T187" s="59">
        <f t="shared" si="142"/>
        <v>481.43684454382793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14.111109327078749</v>
      </c>
      <c r="AA187" s="21">
        <f>EXP(-LN(2)/25)*AA186+(1-EXP(-LN(2)/25))/(LN(2)/25)*Calculateur!V187*Calculateur!X187*VLOOKUP('Données projet'!$B$9,Paramètres!$A$1:$I$89,3,0)*0.475*44/12</f>
        <v>1.7733451440236661</v>
      </c>
      <c r="AB187" s="21">
        <f>EXP(-LN(2)/2)*AB186+(1-EXP(-LN(2)/2))/(LN(2)/2)*V187*Y187*VLOOKUP('Données projet'!$B$9,Paramètres!$A$1:$I$89,3,0)*0.475*44/12</f>
        <v>4.1906751529238468E-18</v>
      </c>
      <c r="AC187" s="22">
        <f t="shared" si="163"/>
        <v>15.884454471102416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-1.3596945791505279E-13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349.71285006949597</v>
      </c>
      <c r="AO187" s="59">
        <f t="shared" si="144"/>
        <v>258.51550516456842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19.541633302040349</v>
      </c>
      <c r="AV187" s="21">
        <f>EXP(-LN(2)/25)*AV186+(1-EXP(-LN(2)/25))/(LN(2)/25)*Calculateur!AQ187*Calculateur!AS187*VLOOKUP('Données projet'!$B$10,Paramètres!$A$1:$I$89,3,0)*0.475*44/12</f>
        <v>2.8945319322512253</v>
      </c>
      <c r="AW187" s="21">
        <f>EXP(-LN(2)/2)*AW186+(1-EXP(-LN(2)/2))/(LN(2)/2)*AQ187*AT187*VLOOKUP('Données projet'!$B$10,Paramètres!$A$1:$I$89,3,0)*0.475*44/12</f>
        <v>1.5702249012418947E-14</v>
      </c>
      <c r="AX187" s="21">
        <f t="shared" si="166"/>
        <v>22.43616523429159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8.5265128291212022E-14</v>
      </c>
      <c r="BE187" s="13">
        <f>BD187*VLOOKUP('Données projet'!$B$11,Paramètres!$A$1:$I$89,3,0)*VLOOKUP('Données projet'!$B$11,Paramètres!$A$1:$I$89,5,0)</f>
        <v>8.9119112089974823E-14</v>
      </c>
      <c r="BF187" s="13">
        <f t="shared" si="167"/>
        <v>1.3568952080113142E-12</v>
      </c>
      <c r="BG187" s="20">
        <f t="shared" si="168"/>
        <v>2.5184749408430782E-12</v>
      </c>
      <c r="BH187" s="59">
        <f t="shared" si="116"/>
        <v>293.33333333333582</v>
      </c>
      <c r="BI187" s="59">
        <f ca="1">AVERAGE(OFFSET($BH$3,0,0,'Données projet'!$E$11+1,1))-AVERAGE(OFFSET($H$3,0,0,'Données projet'!$E$11+1,1))</f>
        <v>260.74709892624571</v>
      </c>
      <c r="BJ187" s="59">
        <f t="shared" si="146"/>
        <v>237.17381692184887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3.3723330157954807</v>
      </c>
      <c r="BQ187" s="21">
        <f>EXP(-LN(2)/25)*BQ186+(1-EXP(-LN(2)/25))/(LN(2)/25)*Calculateur!BL187*Calculateur!BN187*VLOOKUP('Données projet'!$B$11,Paramètres!$A$1:$I$89,3,0)*0.475*44/12</f>
        <v>4.4263105095146917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7.7986435253101725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3.979039320256561E-13</v>
      </c>
      <c r="BZ187" s="13">
        <f>BY187*VLOOKUP('Données projet'!$B$12,Paramètres!$A$1:$I$89,3,0)*VLOOKUP('Données projet'!$B$12,Paramètres!$A$1:$I$89,5,0)</f>
        <v>3.6002347769681362E-13</v>
      </c>
      <c r="CA187" s="13">
        <f t="shared" si="170"/>
        <v>4.6593569189922594E-12</v>
      </c>
      <c r="CB187" s="20">
        <f t="shared" si="171"/>
        <v>8.7420875242334695E-12</v>
      </c>
      <c r="CC187" s="59">
        <f t="shared" si="119"/>
        <v>293.33333333334207</v>
      </c>
      <c r="CD187" s="59">
        <f ca="1">AVERAGE(OFFSET($CC$3,0,0,'Données projet'!$E$12+1,1))-AVERAGE(OFFSET($H$3,0,0,'Données projet'!$E$12+1,1))</f>
        <v>695.0879239758051</v>
      </c>
      <c r="CE187" s="59">
        <f t="shared" si="148"/>
        <v>226.22150997227476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106.22022641371552</v>
      </c>
      <c r="CL187" s="21">
        <f>EXP(-LN(2)/25)*CL186+(1-EXP(-LN(2)/25))/(LN(2)/25)*Calculateur!CG187*Calculateur!CI187*VLOOKUP('Données projet'!$B$12,Paramètres!$A$1:$I$89,3,0)*0.475*44/12</f>
        <v>15.207474148220008</v>
      </c>
      <c r="CM187" s="21">
        <f>EXP(-LN(2)/2)*CM186+(1-EXP(-LN(2)/2))/(LN(2)/2)*CG187*CJ187*VLOOKUP('Données projet'!$B$12,Paramètres!$A$1:$I$89,3,0)*0.475*44/12</f>
        <v>1.9649615128040036E-3</v>
      </c>
      <c r="CN187" s="22">
        <f t="shared" si="172"/>
        <v>121.42966552344832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3.979039320256561E-13</v>
      </c>
      <c r="CU187" s="17">
        <f>CT187*VLOOKUP('Données projet'!$B$13,Paramètres!$A$1:$I$89,3,0)*VLOOKUP('Données projet'!$B$13,Paramètres!$A$1:$I$89,5,0)</f>
        <v>4.0347458707401528E-13</v>
      </c>
      <c r="CV187" s="13">
        <f t="shared" si="173"/>
        <v>5.1528944501892313E-12</v>
      </c>
      <c r="CW187" s="20">
        <f t="shared" si="174"/>
        <v>9.6773427399001538E-12</v>
      </c>
      <c r="CX187" s="59">
        <f t="shared" si="122"/>
        <v>293.33333333334298</v>
      </c>
      <c r="CY187" s="59">
        <f ca="1">AVERAGE(OFFSET($CX$3,0,0,'Données projet'!$E$13+1,1))-AVERAGE(OFFSET($H$3,0,0,'Données projet'!$E$13+1,1))</f>
        <v>773.15074145293738</v>
      </c>
      <c r="CZ187" s="59">
        <f t="shared" si="150"/>
        <v>248.49577986312505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119.03990891192261</v>
      </c>
      <c r="DG187" s="21">
        <f>EXP(-LN(2)/25)*DG186+(1-EXP(-LN(2)/25))/(LN(2)/25)*Calculateur!DB187*Calculateur!DD187*VLOOKUP('Données projet'!$B$13,Paramètres!$A$1:$I$89,3,0)*0.475*44/12</f>
        <v>17.042858959212079</v>
      </c>
      <c r="DH187" s="21">
        <f>EXP(-LN(2)/2)*DH186+(1-EXP(-LN(2)/2))/(LN(2)/2)*DB187*DE187*VLOOKUP('Données projet'!$B$13,Paramètres!$A$1:$I$89,3,0)*0.475*44/12</f>
        <v>2.2021120402113828E-3</v>
      </c>
      <c r="DI187" s="22">
        <f t="shared" si="175"/>
        <v>136.08496998317489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3.4106051316484809E-13</v>
      </c>
      <c r="DP187" s="17">
        <f>DO187*VLOOKUP('Données projet'!$B$14,Paramètres!$A$1:$I$89,3,0)*VLOOKUP('Données projet'!$B$14,Paramètres!$A$1:$I$89,5,0)</f>
        <v>1.5961632016114892E-13</v>
      </c>
      <c r="DQ187" s="13">
        <f t="shared" si="176"/>
        <v>2.2708641912150958E-12</v>
      </c>
      <c r="DR187" s="20">
        <f t="shared" si="177"/>
        <v>4.2330868906469593E-12</v>
      </c>
      <c r="DS187" s="59">
        <f t="shared" si="125"/>
        <v>293.33333333333752</v>
      </c>
      <c r="DT187" s="59">
        <f ca="1">AVERAGE(OFFSET($DS$3,0,0,'Données projet'!$E$14+1,1))-AVERAGE(OFFSET($H$3,0,0,'Données projet'!$E$14+1,1))</f>
        <v>293.15557501692803</v>
      </c>
      <c r="DU187" s="59">
        <f t="shared" si="152"/>
        <v>237.1930412773068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29.712412725708386</v>
      </c>
      <c r="EB187" s="21">
        <f>EXP(-LN(2)/25)*EB186+(1-EXP(-LN(2)/25))/(LN(2)/25)*Calculateur!DW187*Calculateur!DY187*VLOOKUP('Données projet'!$B$14,Paramètres!$A$1:$I$89,3,0)*0.475*44/12</f>
        <v>5.2354273780576346</v>
      </c>
      <c r="EC187" s="21">
        <f>EXP(-LN(2)/2)*EC186+(1-EXP(-LN(2)/2))/(LN(2)/2)*DW187*DZ187*VLOOKUP('Données projet'!$B$14,Paramètres!$A$1:$I$89,3,0)*0.475*44/12</f>
        <v>1.6200142942786543E-10</v>
      </c>
      <c r="ED187" s="22">
        <f t="shared" si="178"/>
        <v>34.947840103928023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-1.7053025658242404E-13</v>
      </c>
      <c r="EK187" s="17">
        <f>EJ187*VLOOKUP('Données projet'!$B$15,Paramètres!$A$1:$I$89,3,0)*VLOOKUP('Données projet'!$B$15,Paramètres!$A$1:$I$89,5,0)</f>
        <v>-1.0197709343628959E-13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225.86663363047296</v>
      </c>
      <c r="EP187" s="59">
        <f t="shared" si="154"/>
        <v>258.08349727304397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9.1252118660994199</v>
      </c>
      <c r="EW187" s="21">
        <f>EXP(-LN(2)/25)*EW186+(1-EXP(-LN(2)/25))/(LN(2)/25)*Calculateur!ER187*Calculateur!ET187*VLOOKUP('Données projet'!$B$15,Paramètres!$A$1:$I$89,3,0)*0.475*44/12</f>
        <v>1.2694264784393252</v>
      </c>
      <c r="EX187" s="21">
        <f>EXP(-LN(2)/2)*EX186+(1-EXP(-LN(2)/2))/(LN(2)/2)*ER187*EU187*VLOOKUP('Données projet'!$B$15,Paramètres!$A$1:$I$89,3,0)*0.475*44/12</f>
        <v>1.93937427915608E-17</v>
      </c>
      <c r="EY187" s="22">
        <f t="shared" si="181"/>
        <v>10.394638344538745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388.12151914648013</v>
      </c>
      <c r="T188" s="59">
        <f t="shared" si="142"/>
        <v>481.43684454382793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13.83439908010156</v>
      </c>
      <c r="AA188" s="21">
        <f>EXP(-LN(2)/25)*AA187+(1-EXP(-LN(2)/25))/(LN(2)/25)*Calculateur!V188*Calculateur!X188*VLOOKUP('Données projet'!$B$9,Paramètres!$A$1:$I$89,3,0)*0.475*44/12</f>
        <v>1.7248529278041709</v>
      </c>
      <c r="AB188" s="21">
        <f>EXP(-LN(2)/2)*AB187+(1-EXP(-LN(2)/2))/(LN(2)/2)*V188*Y188*VLOOKUP('Données projet'!$B$9,Paramètres!$A$1:$I$89,3,0)*0.475*44/12</f>
        <v>2.9632548183824241E-18</v>
      </c>
      <c r="AC188" s="22">
        <f t="shared" si="163"/>
        <v>15.559252007905732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-1.3596945791505279E-13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349.71285006949597</v>
      </c>
      <c r="AO188" s="59">
        <f t="shared" si="144"/>
        <v>258.51550516456842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19.158433792206726</v>
      </c>
      <c r="AV188" s="21">
        <f>EXP(-LN(2)/25)*AV187+(1-EXP(-LN(2)/25))/(LN(2)/25)*Calculateur!AQ188*Calculateur!AS188*VLOOKUP('Données projet'!$B$10,Paramètres!$A$1:$I$89,3,0)*0.475*44/12</f>
        <v>2.8153808043469968</v>
      </c>
      <c r="AW188" s="21">
        <f>EXP(-LN(2)/2)*AW187+(1-EXP(-LN(2)/2))/(LN(2)/2)*AQ188*AT188*VLOOKUP('Données projet'!$B$10,Paramètres!$A$1:$I$89,3,0)*0.475*44/12</f>
        <v>1.1103166756561206E-14</v>
      </c>
      <c r="AX188" s="21">
        <f t="shared" si="166"/>
        <v>21.973814596553733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8.5265128291212022E-14</v>
      </c>
      <c r="BE188" s="13">
        <f>BD188*VLOOKUP('Données projet'!$B$11,Paramètres!$A$1:$I$89,3,0)*VLOOKUP('Données projet'!$B$11,Paramètres!$A$1:$I$89,5,0)</f>
        <v>8.9119112089974823E-14</v>
      </c>
      <c r="BF188" s="13">
        <f t="shared" si="167"/>
        <v>1.3568952080113142E-12</v>
      </c>
      <c r="BG188" s="20">
        <f t="shared" si="168"/>
        <v>2.5184749408430782E-12</v>
      </c>
      <c r="BH188" s="59">
        <f t="shared" si="116"/>
        <v>293.33333333333582</v>
      </c>
      <c r="BI188" s="59">
        <f ca="1">AVERAGE(OFFSET($BH$3,0,0,'Données projet'!$E$11+1,1))-AVERAGE(OFFSET($H$3,0,0,'Données projet'!$E$11+1,1))</f>
        <v>260.74709892624571</v>
      </c>
      <c r="BJ188" s="59">
        <f t="shared" si="146"/>
        <v>237.17381692184887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3.3062036222757669</v>
      </c>
      <c r="BQ188" s="21">
        <f>EXP(-LN(2)/25)*BQ187+(1-EXP(-LN(2)/25))/(LN(2)/25)*Calculateur!BL188*Calculateur!BN188*VLOOKUP('Données projet'!$B$11,Paramètres!$A$1:$I$89,3,0)*0.475*44/12</f>
        <v>4.3052728158624589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7.6114764381382258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3.979039320256561E-13</v>
      </c>
      <c r="BZ188" s="13">
        <f>BY188*VLOOKUP('Données projet'!$B$12,Paramètres!$A$1:$I$89,3,0)*VLOOKUP('Données projet'!$B$12,Paramètres!$A$1:$I$89,5,0)</f>
        <v>3.6002347769681362E-13</v>
      </c>
      <c r="CA188" s="13">
        <f t="shared" si="170"/>
        <v>4.6593569189922594E-12</v>
      </c>
      <c r="CB188" s="20">
        <f t="shared" si="171"/>
        <v>8.7420875242334695E-12</v>
      </c>
      <c r="CC188" s="59">
        <f t="shared" si="119"/>
        <v>293.33333333334207</v>
      </c>
      <c r="CD188" s="59">
        <f ca="1">AVERAGE(OFFSET($CC$3,0,0,'Données projet'!$E$12+1,1))-AVERAGE(OFFSET($H$3,0,0,'Données projet'!$E$12+1,1))</f>
        <v>695.0879239758051</v>
      </c>
      <c r="CE188" s="59">
        <f t="shared" si="148"/>
        <v>226.22150997227476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104.1373125616834</v>
      </c>
      <c r="CL188" s="21">
        <f>EXP(-LN(2)/25)*CL187+(1-EXP(-LN(2)/25))/(LN(2)/25)*Calculateur!CG188*Calculateur!CI188*VLOOKUP('Données projet'!$B$12,Paramètres!$A$1:$I$89,3,0)*0.475*44/12</f>
        <v>14.791624967910623</v>
      </c>
      <c r="CM188" s="21">
        <f>EXP(-LN(2)/2)*CM187+(1-EXP(-LN(2)/2))/(LN(2)/2)*CG188*CJ188*VLOOKUP('Données projet'!$B$12,Paramètres!$A$1:$I$89,3,0)*0.475*44/12</f>
        <v>1.389437610474288E-3</v>
      </c>
      <c r="CN188" s="22">
        <f t="shared" si="172"/>
        <v>118.93032696720449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3.979039320256561E-13</v>
      </c>
      <c r="CU188" s="17">
        <f>CT188*VLOOKUP('Données projet'!$B$13,Paramètres!$A$1:$I$89,3,0)*VLOOKUP('Données projet'!$B$13,Paramètres!$A$1:$I$89,5,0)</f>
        <v>4.0347458707401528E-13</v>
      </c>
      <c r="CV188" s="13">
        <f t="shared" si="173"/>
        <v>5.1528944501892313E-12</v>
      </c>
      <c r="CW188" s="20">
        <f t="shared" si="174"/>
        <v>9.6773427399001538E-12</v>
      </c>
      <c r="CX188" s="59">
        <f t="shared" si="122"/>
        <v>293.33333333334298</v>
      </c>
      <c r="CY188" s="59">
        <f ca="1">AVERAGE(OFFSET($CX$3,0,0,'Données projet'!$E$13+1,1))-AVERAGE(OFFSET($H$3,0,0,'Données projet'!$E$13+1,1))</f>
        <v>773.15074145293738</v>
      </c>
      <c r="CZ188" s="59">
        <f t="shared" si="150"/>
        <v>248.49577986312505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116.70560890533488</v>
      </c>
      <c r="DG188" s="21">
        <f>EXP(-LN(2)/25)*DG187+(1-EXP(-LN(2)/25))/(LN(2)/25)*Calculateur!DB188*Calculateur!DD188*VLOOKUP('Données projet'!$B$13,Paramètres!$A$1:$I$89,3,0)*0.475*44/12</f>
        <v>16.576821084727424</v>
      </c>
      <c r="DH188" s="21">
        <f>EXP(-LN(2)/2)*DH187+(1-EXP(-LN(2)/2))/(LN(2)/2)*DB188*DE188*VLOOKUP('Données projet'!$B$13,Paramètres!$A$1:$I$89,3,0)*0.475*44/12</f>
        <v>1.557128356566012E-3</v>
      </c>
      <c r="DI188" s="22">
        <f t="shared" si="175"/>
        <v>133.28398711841885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3.4106051316484809E-13</v>
      </c>
      <c r="DP188" s="17">
        <f>DO188*VLOOKUP('Données projet'!$B$14,Paramètres!$A$1:$I$89,3,0)*VLOOKUP('Données projet'!$B$14,Paramètres!$A$1:$I$89,5,0)</f>
        <v>1.5961632016114892E-13</v>
      </c>
      <c r="DQ188" s="13">
        <f t="shared" si="176"/>
        <v>2.2708641912150958E-12</v>
      </c>
      <c r="DR188" s="20">
        <f t="shared" si="177"/>
        <v>4.2330868906469593E-12</v>
      </c>
      <c r="DS188" s="59">
        <f t="shared" si="125"/>
        <v>293.33333333333752</v>
      </c>
      <c r="DT188" s="59">
        <f ca="1">AVERAGE(OFFSET($DS$3,0,0,'Données projet'!$E$14+1,1))-AVERAGE(OFFSET($H$3,0,0,'Données projet'!$E$14+1,1))</f>
        <v>293.15557501692803</v>
      </c>
      <c r="DU188" s="59">
        <f t="shared" si="152"/>
        <v>237.1930412773068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29.12977043493953</v>
      </c>
      <c r="EB188" s="21">
        <f>EXP(-LN(2)/25)*EB187+(1-EXP(-LN(2)/25))/(LN(2)/25)*Calculateur!DW188*Calculateur!DY188*VLOOKUP('Données projet'!$B$14,Paramètres!$A$1:$I$89,3,0)*0.475*44/12</f>
        <v>5.0922643410854889</v>
      </c>
      <c r="EC188" s="21">
        <f>EXP(-LN(2)/2)*EC187+(1-EXP(-LN(2)/2))/(LN(2)/2)*DW188*DZ188*VLOOKUP('Données projet'!$B$14,Paramètres!$A$1:$I$89,3,0)*0.475*44/12</f>
        <v>1.1455230931035757E-10</v>
      </c>
      <c r="ED188" s="22">
        <f t="shared" si="178"/>
        <v>34.222034776139573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-1.7053025658242404E-13</v>
      </c>
      <c r="EK188" s="17">
        <f>EJ188*VLOOKUP('Données projet'!$B$15,Paramètres!$A$1:$I$89,3,0)*VLOOKUP('Données projet'!$B$15,Paramètres!$A$1:$I$89,5,0)</f>
        <v>-1.0197709343628959E-13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225.86663363047296</v>
      </c>
      <c r="EP188" s="59">
        <f t="shared" si="154"/>
        <v>258.08349727304397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8.946272027234869</v>
      </c>
      <c r="EW188" s="21">
        <f>EXP(-LN(2)/25)*EW187+(1-EXP(-LN(2)/25))/(LN(2)/25)*Calculateur!ER188*Calculateur!ET188*VLOOKUP('Données projet'!$B$15,Paramètres!$A$1:$I$89,3,0)*0.475*44/12</f>
        <v>1.2347139446301647</v>
      </c>
      <c r="EX188" s="21">
        <f>EXP(-LN(2)/2)*EX187+(1-EXP(-LN(2)/2))/(LN(2)/2)*ER188*EU188*VLOOKUP('Données projet'!$B$15,Paramètres!$A$1:$I$89,3,0)*0.475*44/12</f>
        <v>1.3713447040500367E-17</v>
      </c>
      <c r="EY188" s="22">
        <f t="shared" si="181"/>
        <v>10.180985971865034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388.12151914648013</v>
      </c>
      <c r="T189" s="59">
        <f t="shared" si="142"/>
        <v>481.43684454382793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13.563114952291009</v>
      </c>
      <c r="AA189" s="21">
        <f>EXP(-LN(2)/25)*AA188+(1-EXP(-LN(2)/25))/(LN(2)/25)*Calculateur!V189*Calculateur!X189*VLOOKUP('Données projet'!$B$9,Paramètres!$A$1:$I$89,3,0)*0.475*44/12</f>
        <v>1.6776867337872925</v>
      </c>
      <c r="AB189" s="21">
        <f>EXP(-LN(2)/2)*AB188+(1-EXP(-LN(2)/2))/(LN(2)/2)*V189*Y189*VLOOKUP('Données projet'!$B$9,Paramètres!$A$1:$I$89,3,0)*0.475*44/12</f>
        <v>2.0953375764619234E-18</v>
      </c>
      <c r="AC189" s="22">
        <f t="shared" si="163"/>
        <v>15.240801686078301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-1.3596945791505279E-13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349.71285006949597</v>
      </c>
      <c r="AO189" s="59">
        <f t="shared" si="144"/>
        <v>258.51550516456842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18.78274859103232</v>
      </c>
      <c r="AV189" s="21">
        <f>EXP(-LN(2)/25)*AV188+(1-EXP(-LN(2)/25))/(LN(2)/25)*Calculateur!AQ189*Calculateur!AS189*VLOOKUP('Données projet'!$B$10,Paramètres!$A$1:$I$89,3,0)*0.475*44/12</f>
        <v>2.7383940681976862</v>
      </c>
      <c r="AW189" s="21">
        <f>EXP(-LN(2)/2)*AW188+(1-EXP(-LN(2)/2))/(LN(2)/2)*AQ189*AT189*VLOOKUP('Données projet'!$B$10,Paramètres!$A$1:$I$89,3,0)*0.475*44/12</f>
        <v>7.8511245062094733E-15</v>
      </c>
      <c r="AX189" s="21">
        <f t="shared" si="166"/>
        <v>21.521142659230012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8.5265128291212022E-14</v>
      </c>
      <c r="BE189" s="13">
        <f>BD189*VLOOKUP('Données projet'!$B$11,Paramètres!$A$1:$I$89,3,0)*VLOOKUP('Données projet'!$B$11,Paramètres!$A$1:$I$89,5,0)</f>
        <v>8.9119112089974823E-14</v>
      </c>
      <c r="BF189" s="13">
        <f t="shared" si="167"/>
        <v>1.3568952080113142E-12</v>
      </c>
      <c r="BG189" s="20">
        <f t="shared" si="168"/>
        <v>2.5184749408430782E-12</v>
      </c>
      <c r="BH189" s="59">
        <f t="shared" si="116"/>
        <v>293.33333333333582</v>
      </c>
      <c r="BI189" s="59">
        <f ca="1">AVERAGE(OFFSET($BH$3,0,0,'Données projet'!$E$11+1,1))-AVERAGE(OFFSET($H$3,0,0,'Données projet'!$E$11+1,1))</f>
        <v>260.74709892624571</v>
      </c>
      <c r="BJ189" s="59">
        <f t="shared" si="146"/>
        <v>237.17381692184887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3.2413709858280275</v>
      </c>
      <c r="BQ189" s="21">
        <f>EXP(-LN(2)/25)*BQ188+(1-EXP(-LN(2)/25))/(LN(2)/25)*Calculateur!BL189*Calculateur!BN189*VLOOKUP('Données projet'!$B$11,Paramètres!$A$1:$I$89,3,0)*0.475*44/12</f>
        <v>4.1875449043082424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7.4289158901362704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3.979039320256561E-13</v>
      </c>
      <c r="BZ189" s="13">
        <f>BY189*VLOOKUP('Données projet'!$B$12,Paramètres!$A$1:$I$89,3,0)*VLOOKUP('Données projet'!$B$12,Paramètres!$A$1:$I$89,5,0)</f>
        <v>3.6002347769681362E-13</v>
      </c>
      <c r="CA189" s="13">
        <f t="shared" si="170"/>
        <v>4.6593569189922594E-12</v>
      </c>
      <c r="CB189" s="20">
        <f t="shared" si="171"/>
        <v>8.7420875242334695E-12</v>
      </c>
      <c r="CC189" s="59">
        <f t="shared" si="119"/>
        <v>293.33333333334207</v>
      </c>
      <c r="CD189" s="59">
        <f ca="1">AVERAGE(OFFSET($CC$3,0,0,'Données projet'!$E$12+1,1))-AVERAGE(OFFSET($H$3,0,0,'Données projet'!$E$12+1,1))</f>
        <v>695.0879239758051</v>
      </c>
      <c r="CE189" s="59">
        <f t="shared" si="148"/>
        <v>226.22150997227476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102.09524337983763</v>
      </c>
      <c r="CL189" s="21">
        <f>EXP(-LN(2)/25)*CL188+(1-EXP(-LN(2)/25))/(LN(2)/25)*Calculateur!CG189*Calculateur!CI189*VLOOKUP('Données projet'!$B$12,Paramètres!$A$1:$I$89,3,0)*0.475*44/12</f>
        <v>14.387147205305357</v>
      </c>
      <c r="CM189" s="21">
        <f>EXP(-LN(2)/2)*CM188+(1-EXP(-LN(2)/2))/(LN(2)/2)*CG189*CJ189*VLOOKUP('Données projet'!$B$12,Paramètres!$A$1:$I$89,3,0)*0.475*44/12</f>
        <v>9.8248075640200178E-4</v>
      </c>
      <c r="CN189" s="22">
        <f t="shared" si="172"/>
        <v>116.48337306589939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3.979039320256561E-13</v>
      </c>
      <c r="CU189" s="17">
        <f>CT189*VLOOKUP('Données projet'!$B$13,Paramètres!$A$1:$I$89,3,0)*VLOOKUP('Données projet'!$B$13,Paramètres!$A$1:$I$89,5,0)</f>
        <v>4.0347458707401528E-13</v>
      </c>
      <c r="CV189" s="13">
        <f t="shared" si="173"/>
        <v>5.1528944501892313E-12</v>
      </c>
      <c r="CW189" s="20">
        <f t="shared" si="174"/>
        <v>9.6773427399001538E-12</v>
      </c>
      <c r="CX189" s="59">
        <f t="shared" si="122"/>
        <v>293.33333333334298</v>
      </c>
      <c r="CY189" s="59">
        <f ca="1">AVERAGE(OFFSET($CX$3,0,0,'Données projet'!$E$13+1,1))-AVERAGE(OFFSET($H$3,0,0,'Données projet'!$E$13+1,1))</f>
        <v>773.15074145293738</v>
      </c>
      <c r="CZ189" s="59">
        <f t="shared" si="150"/>
        <v>248.49577986312505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114.41708309809393</v>
      </c>
      <c r="DG189" s="21">
        <f>EXP(-LN(2)/25)*DG188+(1-EXP(-LN(2)/25))/(LN(2)/25)*Calculateur!DB189*Calculateur!DD189*VLOOKUP('Données projet'!$B$13,Paramètres!$A$1:$I$89,3,0)*0.475*44/12</f>
        <v>16.123527040428417</v>
      </c>
      <c r="DH189" s="21">
        <f>EXP(-LN(2)/2)*DH188+(1-EXP(-LN(2)/2))/(LN(2)/2)*DB189*DE189*VLOOKUP('Données projet'!$B$13,Paramètres!$A$1:$I$89,3,0)*0.475*44/12</f>
        <v>1.1010560201056914E-3</v>
      </c>
      <c r="DI189" s="22">
        <f t="shared" si="175"/>
        <v>130.54171119454244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3.4106051316484809E-13</v>
      </c>
      <c r="DP189" s="17">
        <f>DO189*VLOOKUP('Données projet'!$B$14,Paramètres!$A$1:$I$89,3,0)*VLOOKUP('Données projet'!$B$14,Paramètres!$A$1:$I$89,5,0)</f>
        <v>1.5961632016114892E-13</v>
      </c>
      <c r="DQ189" s="13">
        <f t="shared" si="176"/>
        <v>2.2708641912150958E-12</v>
      </c>
      <c r="DR189" s="20">
        <f t="shared" si="177"/>
        <v>4.2330868906469593E-12</v>
      </c>
      <c r="DS189" s="59">
        <f t="shared" si="125"/>
        <v>293.33333333333752</v>
      </c>
      <c r="DT189" s="59">
        <f ca="1">AVERAGE(OFFSET($DS$3,0,0,'Données projet'!$E$14+1,1))-AVERAGE(OFFSET($H$3,0,0,'Données projet'!$E$14+1,1))</f>
        <v>293.15557501692803</v>
      </c>
      <c r="DU189" s="59">
        <f t="shared" si="152"/>
        <v>237.1930412773068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28.558553404115944</v>
      </c>
      <c r="EB189" s="21">
        <f>EXP(-LN(2)/25)*EB188+(1-EXP(-LN(2)/25))/(LN(2)/25)*Calculateur!DW189*Calculateur!DY189*VLOOKUP('Données projet'!$B$14,Paramètres!$A$1:$I$89,3,0)*0.475*44/12</f>
        <v>4.9530161048879631</v>
      </c>
      <c r="EC189" s="21">
        <f>EXP(-LN(2)/2)*EC188+(1-EXP(-LN(2)/2))/(LN(2)/2)*DW189*DZ189*VLOOKUP('Données projet'!$B$14,Paramètres!$A$1:$I$89,3,0)*0.475*44/12</f>
        <v>8.1000714713932727E-11</v>
      </c>
      <c r="ED189" s="22">
        <f t="shared" si="178"/>
        <v>33.511569509084907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-1.7053025658242404E-13</v>
      </c>
      <c r="EK189" s="17">
        <f>EJ189*VLOOKUP('Données projet'!$B$15,Paramètres!$A$1:$I$89,3,0)*VLOOKUP('Données projet'!$B$15,Paramètres!$A$1:$I$89,5,0)</f>
        <v>-1.0197709343628959E-13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225.86663363047296</v>
      </c>
      <c r="EP189" s="59">
        <f t="shared" si="154"/>
        <v>258.08349727304397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8.7708410894679272</v>
      </c>
      <c r="EW189" s="21">
        <f>EXP(-LN(2)/25)*EW188+(1-EXP(-LN(2)/25))/(LN(2)/25)*Calculateur!ER189*Calculateur!ET189*VLOOKUP('Données projet'!$B$15,Paramètres!$A$1:$I$89,3,0)*0.475*44/12</f>
        <v>1.2009506268834684</v>
      </c>
      <c r="EX189" s="21">
        <f>EXP(-LN(2)/2)*EX188+(1-EXP(-LN(2)/2))/(LN(2)/2)*ER189*EU189*VLOOKUP('Données projet'!$B$15,Paramètres!$A$1:$I$89,3,0)*0.475*44/12</f>
        <v>9.6968713957804015E-18</v>
      </c>
      <c r="EY189" s="22">
        <f t="shared" si="181"/>
        <v>9.9717917163513956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388.12151914648013</v>
      </c>
      <c r="T190" s="59">
        <f t="shared" si="142"/>
        <v>481.43684454382793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13.297150540759844</v>
      </c>
      <c r="AA190" s="21">
        <f>EXP(-LN(2)/25)*AA189+(1-EXP(-LN(2)/25))/(LN(2)/25)*Calculateur!V190*Calculateur!X190*VLOOKUP('Données projet'!$B$9,Paramètres!$A$1:$I$89,3,0)*0.475*44/12</f>
        <v>1.631810301826168</v>
      </c>
      <c r="AB190" s="21">
        <f>EXP(-LN(2)/2)*AB189+(1-EXP(-LN(2)/2))/(LN(2)/2)*V190*Y190*VLOOKUP('Données projet'!$B$9,Paramètres!$A$1:$I$89,3,0)*0.475*44/12</f>
        <v>1.4816274091912121E-18</v>
      </c>
      <c r="AC190" s="22">
        <f t="shared" si="163"/>
        <v>14.928960842586012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-1.3596945791505279E-13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349.71285006949597</v>
      </c>
      <c r="AO190" s="59">
        <f t="shared" si="144"/>
        <v>258.51550516456842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18.414430347507597</v>
      </c>
      <c r="AV190" s="21">
        <f>EXP(-LN(2)/25)*AV189+(1-EXP(-LN(2)/25))/(LN(2)/25)*Calculateur!AQ190*Calculateur!AS190*VLOOKUP('Données projet'!$B$10,Paramètres!$A$1:$I$89,3,0)*0.475*44/12</f>
        <v>2.6635125383969349</v>
      </c>
      <c r="AW190" s="21">
        <f>EXP(-LN(2)/2)*AW189+(1-EXP(-LN(2)/2))/(LN(2)/2)*AQ190*AT190*VLOOKUP('Données projet'!$B$10,Paramètres!$A$1:$I$89,3,0)*0.475*44/12</f>
        <v>5.5515833782806031E-15</v>
      </c>
      <c r="AX190" s="21">
        <f t="shared" si="166"/>
        <v>21.077942885904541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8.5265128291212022E-14</v>
      </c>
      <c r="BE190" s="13">
        <f>BD190*VLOOKUP('Données projet'!$B$11,Paramètres!$A$1:$I$89,3,0)*VLOOKUP('Données projet'!$B$11,Paramètres!$A$1:$I$89,5,0)</f>
        <v>8.9119112089974823E-14</v>
      </c>
      <c r="BF190" s="13">
        <f t="shared" si="167"/>
        <v>1.3568952080113142E-12</v>
      </c>
      <c r="BG190" s="20">
        <f t="shared" si="168"/>
        <v>2.5184749408430782E-12</v>
      </c>
      <c r="BH190" s="59">
        <f t="shared" si="116"/>
        <v>293.33333333333582</v>
      </c>
      <c r="BI190" s="59">
        <f ca="1">AVERAGE(OFFSET($BH$3,0,0,'Données projet'!$E$11+1,1))-AVERAGE(OFFSET($H$3,0,0,'Données projet'!$E$11+1,1))</f>
        <v>260.74709892624571</v>
      </c>
      <c r="BJ190" s="59">
        <f t="shared" si="146"/>
        <v>237.17381692184887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3.1778096778370246</v>
      </c>
      <c r="BQ190" s="21">
        <f>EXP(-LN(2)/25)*BQ189+(1-EXP(-LN(2)/25))/(LN(2)/25)*Calculateur!BL190*Calculateur!BN190*VLOOKUP('Données projet'!$B$11,Paramètres!$A$1:$I$89,3,0)*0.475*44/12</f>
        <v>4.0730362686865176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7.2508459465235422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3.979039320256561E-13</v>
      </c>
      <c r="BZ190" s="13">
        <f>BY190*VLOOKUP('Données projet'!$B$12,Paramètres!$A$1:$I$89,3,0)*VLOOKUP('Données projet'!$B$12,Paramètres!$A$1:$I$89,5,0)</f>
        <v>3.6002347769681362E-13</v>
      </c>
      <c r="CA190" s="13">
        <f t="shared" si="170"/>
        <v>4.6593569189922594E-12</v>
      </c>
      <c r="CB190" s="20">
        <f t="shared" si="171"/>
        <v>8.7420875242334695E-12</v>
      </c>
      <c r="CC190" s="59">
        <f t="shared" si="119"/>
        <v>293.33333333334207</v>
      </c>
      <c r="CD190" s="59">
        <f ca="1">AVERAGE(OFFSET($CC$3,0,0,'Données projet'!$E$12+1,1))-AVERAGE(OFFSET($H$3,0,0,'Données projet'!$E$12+1,1))</f>
        <v>695.0879239758051</v>
      </c>
      <c r="CE190" s="59">
        <f t="shared" si="148"/>
        <v>226.22150997227476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100.09321792910863</v>
      </c>
      <c r="CL190" s="21">
        <f>EXP(-LN(2)/25)*CL189+(1-EXP(-LN(2)/25))/(LN(2)/25)*Calculateur!CG190*Calculateur!CI190*VLOOKUP('Données projet'!$B$12,Paramètres!$A$1:$I$89,3,0)*0.475*44/12</f>
        <v>13.993729908389094</v>
      </c>
      <c r="CM190" s="21">
        <f>EXP(-LN(2)/2)*CM189+(1-EXP(-LN(2)/2))/(LN(2)/2)*CG190*CJ190*VLOOKUP('Données projet'!$B$12,Paramètres!$A$1:$I$89,3,0)*0.475*44/12</f>
        <v>6.9471880523714398E-4</v>
      </c>
      <c r="CN190" s="22">
        <f t="shared" si="172"/>
        <v>114.08764255630297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3.979039320256561E-13</v>
      </c>
      <c r="CU190" s="17">
        <f>CT190*VLOOKUP('Données projet'!$B$13,Paramètres!$A$1:$I$89,3,0)*VLOOKUP('Données projet'!$B$13,Paramètres!$A$1:$I$89,5,0)</f>
        <v>4.0347458707401528E-13</v>
      </c>
      <c r="CV190" s="13">
        <f t="shared" si="173"/>
        <v>5.1528944501892313E-12</v>
      </c>
      <c r="CW190" s="20">
        <f t="shared" si="174"/>
        <v>9.6773427399001538E-12</v>
      </c>
      <c r="CX190" s="59">
        <f t="shared" si="122"/>
        <v>293.33333333334298</v>
      </c>
      <c r="CY190" s="59">
        <f ca="1">AVERAGE(OFFSET($CX$3,0,0,'Données projet'!$E$13+1,1))-AVERAGE(OFFSET($H$3,0,0,'Données projet'!$E$13+1,1))</f>
        <v>773.15074145293738</v>
      </c>
      <c r="CZ190" s="59">
        <f t="shared" si="150"/>
        <v>248.49577986312505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112.17343388607004</v>
      </c>
      <c r="DG190" s="21">
        <f>EXP(-LN(2)/25)*DG189+(1-EXP(-LN(2)/25))/(LN(2)/25)*Calculateur!DB190*Calculateur!DD190*VLOOKUP('Données projet'!$B$13,Paramètres!$A$1:$I$89,3,0)*0.475*44/12</f>
        <v>15.682628345608466</v>
      </c>
      <c r="DH190" s="21">
        <f>EXP(-LN(2)/2)*DH189+(1-EXP(-LN(2)/2))/(LN(2)/2)*DB190*DE190*VLOOKUP('Données projet'!$B$13,Paramètres!$A$1:$I$89,3,0)*0.475*44/12</f>
        <v>7.7856417828300602E-4</v>
      </c>
      <c r="DI190" s="22">
        <f t="shared" si="175"/>
        <v>127.85684079585678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3.4106051316484809E-13</v>
      </c>
      <c r="DP190" s="17">
        <f>DO190*VLOOKUP('Données projet'!$B$14,Paramètres!$A$1:$I$89,3,0)*VLOOKUP('Données projet'!$B$14,Paramètres!$A$1:$I$89,5,0)</f>
        <v>1.5961632016114892E-13</v>
      </c>
      <c r="DQ190" s="13">
        <f t="shared" si="176"/>
        <v>2.2708641912150958E-12</v>
      </c>
      <c r="DR190" s="20">
        <f t="shared" si="177"/>
        <v>4.2330868906469593E-12</v>
      </c>
      <c r="DS190" s="59">
        <f t="shared" si="125"/>
        <v>293.33333333333752</v>
      </c>
      <c r="DT190" s="59">
        <f ca="1">AVERAGE(OFFSET($DS$3,0,0,'Données projet'!$E$14+1,1))-AVERAGE(OFFSET($H$3,0,0,'Données projet'!$E$14+1,1))</f>
        <v>293.15557501692803</v>
      </c>
      <c r="DU190" s="59">
        <f t="shared" si="152"/>
        <v>237.1930412773068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27.998537590858824</v>
      </c>
      <c r="EB190" s="21">
        <f>EXP(-LN(2)/25)*EB189+(1-EXP(-LN(2)/25))/(LN(2)/25)*Calculateur!DW190*Calculateur!DY190*VLOOKUP('Données projet'!$B$14,Paramètres!$A$1:$I$89,3,0)*0.475*44/12</f>
        <v>4.8175756190320049</v>
      </c>
      <c r="EC190" s="21">
        <f>EXP(-LN(2)/2)*EC189+(1-EXP(-LN(2)/2))/(LN(2)/2)*DW190*DZ190*VLOOKUP('Données projet'!$B$14,Paramètres!$A$1:$I$89,3,0)*0.475*44/12</f>
        <v>5.7276154655178794E-11</v>
      </c>
      <c r="ED190" s="22">
        <f t="shared" si="178"/>
        <v>32.816113209948107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-1.7053025658242404E-13</v>
      </c>
      <c r="EK190" s="17">
        <f>EJ190*VLOOKUP('Données projet'!$B$15,Paramètres!$A$1:$I$89,3,0)*VLOOKUP('Données projet'!$B$15,Paramètres!$A$1:$I$89,5,0)</f>
        <v>-1.0197709343628959E-13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225.86663363047296</v>
      </c>
      <c r="EP190" s="59">
        <f t="shared" si="154"/>
        <v>258.08349727304397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8.598850245388288</v>
      </c>
      <c r="EW190" s="21">
        <f>EXP(-LN(2)/25)*EW189+(1-EXP(-LN(2)/25))/(LN(2)/25)*Calculateur!ER190*Calculateur!ET190*VLOOKUP('Données projet'!$B$15,Paramètres!$A$1:$I$89,3,0)*0.475*44/12</f>
        <v>1.1681105688360913</v>
      </c>
      <c r="EX190" s="21">
        <f>EXP(-LN(2)/2)*EX189+(1-EXP(-LN(2)/2))/(LN(2)/2)*ER190*EU190*VLOOKUP('Données projet'!$B$15,Paramètres!$A$1:$I$89,3,0)*0.475*44/12</f>
        <v>6.8567235202501842E-18</v>
      </c>
      <c r="EY190" s="22">
        <f t="shared" si="181"/>
        <v>9.7669608142243796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388.12151914648013</v>
      </c>
      <c r="T191" s="59">
        <f t="shared" si="142"/>
        <v>481.43684454382793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13.036401529116532</v>
      </c>
      <c r="AA191" s="21">
        <f>EXP(-LN(2)/25)*AA190+(1-EXP(-LN(2)/25))/(LN(2)/25)*Calculateur!V191*Calculateur!X191*VLOOKUP('Données projet'!$B$9,Paramètres!$A$1:$I$89,3,0)*0.475*44/12</f>
        <v>1.5871883633095571</v>
      </c>
      <c r="AB191" s="21">
        <f>EXP(-LN(2)/2)*AB190+(1-EXP(-LN(2)/2))/(LN(2)/2)*V191*Y191*VLOOKUP('Données projet'!$B$9,Paramètres!$A$1:$I$89,3,0)*0.475*44/12</f>
        <v>1.0476687882309617E-18</v>
      </c>
      <c r="AC191" s="22">
        <f t="shared" si="163"/>
        <v>14.623589892426089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-1.3596945791505279E-13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349.71285006949597</v>
      </c>
      <c r="AO191" s="59">
        <f t="shared" si="144"/>
        <v>258.51550516456842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18.053334600086448</v>
      </c>
      <c r="AV191" s="21">
        <f>EXP(-LN(2)/25)*AV190+(1-EXP(-LN(2)/25))/(LN(2)/25)*Calculateur!AQ191*Calculateur!AS191*VLOOKUP('Données projet'!$B$10,Paramètres!$A$1:$I$89,3,0)*0.475*44/12</f>
        <v>2.5906786479664339</v>
      </c>
      <c r="AW191" s="21">
        <f>EXP(-LN(2)/2)*AW190+(1-EXP(-LN(2)/2))/(LN(2)/2)*AQ191*AT191*VLOOKUP('Données projet'!$B$10,Paramètres!$A$1:$I$89,3,0)*0.475*44/12</f>
        <v>3.9255622531047366E-15</v>
      </c>
      <c r="AX191" s="21">
        <f t="shared" si="166"/>
        <v>20.644013248052886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8.5265128291212022E-14</v>
      </c>
      <c r="BE191" s="13">
        <f>BD191*VLOOKUP('Données projet'!$B$11,Paramètres!$A$1:$I$89,3,0)*VLOOKUP('Données projet'!$B$11,Paramètres!$A$1:$I$89,5,0)</f>
        <v>8.9119112089974823E-14</v>
      </c>
      <c r="BF191" s="13">
        <f t="shared" si="167"/>
        <v>1.3568952080113142E-12</v>
      </c>
      <c r="BG191" s="20">
        <f t="shared" si="168"/>
        <v>2.5184749408430782E-12</v>
      </c>
      <c r="BH191" s="59">
        <f t="shared" si="116"/>
        <v>293.33333333333582</v>
      </c>
      <c r="BI191" s="59">
        <f ca="1">AVERAGE(OFFSET($BH$3,0,0,'Données projet'!$E$11+1,1))-AVERAGE(OFFSET($H$3,0,0,'Données projet'!$E$11+1,1))</f>
        <v>260.74709892624571</v>
      </c>
      <c r="BJ191" s="59">
        <f t="shared" si="146"/>
        <v>237.17381692184887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3.1154947683271557</v>
      </c>
      <c r="BQ191" s="21">
        <f>EXP(-LN(2)/25)*BQ190+(1-EXP(-LN(2)/25))/(LN(2)/25)*Calculateur!BL191*Calculateur!BN191*VLOOKUP('Données projet'!$B$11,Paramètres!$A$1:$I$89,3,0)*0.475*44/12</f>
        <v>3.9616588777276163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7.0771536460547715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3.979039320256561E-13</v>
      </c>
      <c r="BZ191" s="13">
        <f>BY191*VLOOKUP('Données projet'!$B$12,Paramètres!$A$1:$I$89,3,0)*VLOOKUP('Données projet'!$B$12,Paramètres!$A$1:$I$89,5,0)</f>
        <v>3.6002347769681362E-13</v>
      </c>
      <c r="CA191" s="13">
        <f t="shared" si="170"/>
        <v>4.6593569189922594E-12</v>
      </c>
      <c r="CB191" s="20">
        <f t="shared" si="171"/>
        <v>8.7420875242334695E-12</v>
      </c>
      <c r="CC191" s="59">
        <f t="shared" si="119"/>
        <v>293.33333333334207</v>
      </c>
      <c r="CD191" s="59">
        <f ca="1">AVERAGE(OFFSET($CC$3,0,0,'Données projet'!$E$12+1,1))-AVERAGE(OFFSET($H$3,0,0,'Données projet'!$E$12+1,1))</f>
        <v>695.0879239758051</v>
      </c>
      <c r="CE191" s="59">
        <f t="shared" si="148"/>
        <v>226.22150997227476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98.130450976353487</v>
      </c>
      <c r="CL191" s="21">
        <f>EXP(-LN(2)/25)*CL190+(1-EXP(-LN(2)/25))/(LN(2)/25)*Calculateur!CG191*Calculateur!CI191*VLOOKUP('Données projet'!$B$12,Paramètres!$A$1:$I$89,3,0)*0.475*44/12</f>
        <v>13.611070628145921</v>
      </c>
      <c r="CM191" s="21">
        <f>EXP(-LN(2)/2)*CM190+(1-EXP(-LN(2)/2))/(LN(2)/2)*CG191*CJ191*VLOOKUP('Données projet'!$B$12,Paramètres!$A$1:$I$89,3,0)*0.475*44/12</f>
        <v>4.9124037820100089E-4</v>
      </c>
      <c r="CN191" s="22">
        <f t="shared" si="172"/>
        <v>111.74201284487761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3.979039320256561E-13</v>
      </c>
      <c r="CU191" s="17">
        <f>CT191*VLOOKUP('Données projet'!$B$13,Paramètres!$A$1:$I$89,3,0)*VLOOKUP('Données projet'!$B$13,Paramètres!$A$1:$I$89,5,0)</f>
        <v>4.0347458707401528E-13</v>
      </c>
      <c r="CV191" s="13">
        <f t="shared" si="173"/>
        <v>5.1528944501892313E-12</v>
      </c>
      <c r="CW191" s="20">
        <f t="shared" si="174"/>
        <v>9.6773427399001538E-12</v>
      </c>
      <c r="CX191" s="59">
        <f t="shared" si="122"/>
        <v>293.33333333334298</v>
      </c>
      <c r="CY191" s="59">
        <f ca="1">AVERAGE(OFFSET($CX$3,0,0,'Données projet'!$E$13+1,1))-AVERAGE(OFFSET($H$3,0,0,'Données projet'!$E$13+1,1))</f>
        <v>773.15074145293738</v>
      </c>
      <c r="CZ191" s="59">
        <f t="shared" si="150"/>
        <v>248.49577986312505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109.97378126660305</v>
      </c>
      <c r="DG191" s="21">
        <f>EXP(-LN(2)/25)*DG190+(1-EXP(-LN(2)/25))/(LN(2)/25)*Calculateur!DB191*Calculateur!DD191*VLOOKUP('Données projet'!$B$13,Paramètres!$A$1:$I$89,3,0)*0.475*44/12</f>
        <v>15.253786048784221</v>
      </c>
      <c r="DH191" s="21">
        <f>EXP(-LN(2)/2)*DH190+(1-EXP(-LN(2)/2))/(LN(2)/2)*DB191*DE191*VLOOKUP('Données projet'!$B$13,Paramètres!$A$1:$I$89,3,0)*0.475*44/12</f>
        <v>5.5052801005284571E-4</v>
      </c>
      <c r="DI191" s="22">
        <f t="shared" si="175"/>
        <v>125.22811784339733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3.4106051316484809E-13</v>
      </c>
      <c r="DP191" s="17">
        <f>DO191*VLOOKUP('Données projet'!$B$14,Paramètres!$A$1:$I$89,3,0)*VLOOKUP('Données projet'!$B$14,Paramètres!$A$1:$I$89,5,0)</f>
        <v>1.5961632016114892E-13</v>
      </c>
      <c r="DQ191" s="13">
        <f t="shared" si="176"/>
        <v>2.2708641912150958E-12</v>
      </c>
      <c r="DR191" s="20">
        <f t="shared" si="177"/>
        <v>4.2330868906469593E-12</v>
      </c>
      <c r="DS191" s="59">
        <f t="shared" si="125"/>
        <v>293.33333333333752</v>
      </c>
      <c r="DT191" s="59">
        <f ca="1">AVERAGE(OFFSET($DS$3,0,0,'Données projet'!$E$14+1,1))-AVERAGE(OFFSET($H$3,0,0,'Données projet'!$E$14+1,1))</f>
        <v>293.15557501692803</v>
      </c>
      <c r="DU191" s="59">
        <f t="shared" si="152"/>
        <v>237.1930412773068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27.449503346123759</v>
      </c>
      <c r="EB191" s="21">
        <f>EXP(-LN(2)/25)*EB190+(1-EXP(-LN(2)/25))/(LN(2)/25)*Calculateur!DW191*Calculateur!DY191*VLOOKUP('Données projet'!$B$14,Paramètres!$A$1:$I$89,3,0)*0.475*44/12</f>
        <v>4.6858387603842839</v>
      </c>
      <c r="EC191" s="21">
        <f>EXP(-LN(2)/2)*EC190+(1-EXP(-LN(2)/2))/(LN(2)/2)*DW191*DZ191*VLOOKUP('Données projet'!$B$14,Paramètres!$A$1:$I$89,3,0)*0.475*44/12</f>
        <v>4.050035735696637E-11</v>
      </c>
      <c r="ED191" s="22">
        <f t="shared" si="178"/>
        <v>32.135342106548542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-1.7053025658242404E-13</v>
      </c>
      <c r="EK191" s="17">
        <f>EJ191*VLOOKUP('Données projet'!$B$15,Paramètres!$A$1:$I$89,3,0)*VLOOKUP('Données projet'!$B$15,Paramètres!$A$1:$I$89,5,0)</f>
        <v>-1.0197709343628959E-13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225.86663363047296</v>
      </c>
      <c r="EP191" s="59">
        <f t="shared" si="154"/>
        <v>258.08349727304397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8.4302320368569941</v>
      </c>
      <c r="EW191" s="21">
        <f>EXP(-LN(2)/25)*EW190+(1-EXP(-LN(2)/25))/(LN(2)/25)*Calculateur!ER191*Calculateur!ET191*VLOOKUP('Données projet'!$B$15,Paramètres!$A$1:$I$89,3,0)*0.475*44/12</f>
        <v>1.1361685239030033</v>
      </c>
      <c r="EX191" s="21">
        <f>EXP(-LN(2)/2)*EX190+(1-EXP(-LN(2)/2))/(LN(2)/2)*ER191*EU191*VLOOKUP('Données projet'!$B$15,Paramètres!$A$1:$I$89,3,0)*0.475*44/12</f>
        <v>4.8484356978902015E-18</v>
      </c>
      <c r="EY191" s="22">
        <f t="shared" si="181"/>
        <v>9.5664005607599982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388.12151914648013</v>
      </c>
      <c r="T192" s="59">
        <f t="shared" si="142"/>
        <v>481.43684454382793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12.780765646550352</v>
      </c>
      <c r="AA192" s="21">
        <f>EXP(-LN(2)/25)*AA191+(1-EXP(-LN(2)/25))/(LN(2)/25)*Calculateur!V192*Calculateur!X192*VLOOKUP('Données projet'!$B$9,Paramètres!$A$1:$I$89,3,0)*0.475*44/12</f>
        <v>1.5437866140482488</v>
      </c>
      <c r="AB192" s="21">
        <f>EXP(-LN(2)/2)*AB191+(1-EXP(-LN(2)/2))/(LN(2)/2)*V192*Y192*VLOOKUP('Données projet'!$B$9,Paramètres!$A$1:$I$89,3,0)*0.475*44/12</f>
        <v>7.4081370459560603E-19</v>
      </c>
      <c r="AC192" s="22">
        <f t="shared" si="163"/>
        <v>14.324552260598601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-1.3596945791505279E-13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349.71285006949597</v>
      </c>
      <c r="AO192" s="59">
        <f t="shared" si="144"/>
        <v>258.51550516456842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17.699319720025567</v>
      </c>
      <c r="AV192" s="21">
        <f>EXP(-LN(2)/25)*AV191+(1-EXP(-LN(2)/25))/(LN(2)/25)*Calculateur!AQ192*Calculateur!AS192*VLOOKUP('Données projet'!$B$10,Paramètres!$A$1:$I$89,3,0)*0.475*44/12</f>
        <v>2.5198364040999226</v>
      </c>
      <c r="AW192" s="21">
        <f>EXP(-LN(2)/2)*AW191+(1-EXP(-LN(2)/2))/(LN(2)/2)*AQ192*AT192*VLOOKUP('Données projet'!$B$10,Paramètres!$A$1:$I$89,3,0)*0.475*44/12</f>
        <v>2.7757916891403015E-15</v>
      </c>
      <c r="AX192" s="21">
        <f t="shared" si="166"/>
        <v>20.219156124125494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8.5265128291212022E-14</v>
      </c>
      <c r="BE192" s="13">
        <f>BD192*VLOOKUP('Données projet'!$B$11,Paramètres!$A$1:$I$89,3,0)*VLOOKUP('Données projet'!$B$11,Paramètres!$A$1:$I$89,5,0)</f>
        <v>8.9119112089974823E-14</v>
      </c>
      <c r="BF192" s="13">
        <f t="shared" si="167"/>
        <v>1.3568952080113142E-12</v>
      </c>
      <c r="BG192" s="20">
        <f t="shared" si="168"/>
        <v>2.5184749408430782E-12</v>
      </c>
      <c r="BH192" s="59">
        <f t="shared" si="116"/>
        <v>293.33333333333582</v>
      </c>
      <c r="BI192" s="59">
        <f ca="1">AVERAGE(OFFSET($BH$3,0,0,'Données projet'!$E$11+1,1))-AVERAGE(OFFSET($H$3,0,0,'Données projet'!$E$11+1,1))</f>
        <v>260.74709892624571</v>
      </c>
      <c r="BJ192" s="59">
        <f t="shared" si="146"/>
        <v>237.17381692184887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3.0544018161844333</v>
      </c>
      <c r="BQ192" s="21">
        <f>EXP(-LN(2)/25)*BQ191+(1-EXP(-LN(2)/25))/(LN(2)/25)*Calculateur!BL192*Calculateur!BN192*VLOOKUP('Données projet'!$B$11,Paramètres!$A$1:$I$89,3,0)*0.475*44/12</f>
        <v>3.8533271073815687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6.907728923566002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3.979039320256561E-13</v>
      </c>
      <c r="BZ192" s="13">
        <f>BY192*VLOOKUP('Données projet'!$B$12,Paramètres!$A$1:$I$89,3,0)*VLOOKUP('Données projet'!$B$12,Paramètres!$A$1:$I$89,5,0)</f>
        <v>3.6002347769681362E-13</v>
      </c>
      <c r="CA192" s="13">
        <f t="shared" si="170"/>
        <v>4.6593569189922594E-12</v>
      </c>
      <c r="CB192" s="20">
        <f t="shared" si="171"/>
        <v>8.7420875242334695E-12</v>
      </c>
      <c r="CC192" s="59">
        <f t="shared" si="119"/>
        <v>293.33333333334207</v>
      </c>
      <c r="CD192" s="59">
        <f ca="1">AVERAGE(OFFSET($CC$3,0,0,'Données projet'!$E$12+1,1))-AVERAGE(OFFSET($H$3,0,0,'Données projet'!$E$12+1,1))</f>
        <v>695.0879239758051</v>
      </c>
      <c r="CE192" s="59">
        <f t="shared" si="148"/>
        <v>226.22150997227476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96.206172686372227</v>
      </c>
      <c r="CL192" s="21">
        <f>EXP(-LN(2)/25)*CL191+(1-EXP(-LN(2)/25))/(LN(2)/25)*Calculateur!CG192*Calculateur!CI192*VLOOKUP('Données projet'!$B$12,Paramètres!$A$1:$I$89,3,0)*0.475*44/12</f>
        <v>13.238875186044174</v>
      </c>
      <c r="CM192" s="21">
        <f>EXP(-LN(2)/2)*CM191+(1-EXP(-LN(2)/2))/(LN(2)/2)*CG192*CJ192*VLOOKUP('Données projet'!$B$12,Paramètres!$A$1:$I$89,3,0)*0.475*44/12</f>
        <v>3.4735940261857199E-4</v>
      </c>
      <c r="CN192" s="22">
        <f t="shared" si="172"/>
        <v>109.44539523181902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3.979039320256561E-13</v>
      </c>
      <c r="CU192" s="17">
        <f>CT192*VLOOKUP('Données projet'!$B$13,Paramètres!$A$1:$I$89,3,0)*VLOOKUP('Données projet'!$B$13,Paramètres!$A$1:$I$89,5,0)</f>
        <v>4.0347458707401528E-13</v>
      </c>
      <c r="CV192" s="13">
        <f t="shared" si="173"/>
        <v>5.1528944501892313E-12</v>
      </c>
      <c r="CW192" s="20">
        <f t="shared" si="174"/>
        <v>9.6773427399001538E-12</v>
      </c>
      <c r="CX192" s="59">
        <f t="shared" si="122"/>
        <v>293.33333333334298</v>
      </c>
      <c r="CY192" s="59">
        <f ca="1">AVERAGE(OFFSET($CX$3,0,0,'Données projet'!$E$13+1,1))-AVERAGE(OFFSET($H$3,0,0,'Données projet'!$E$13+1,1))</f>
        <v>773.15074145293738</v>
      </c>
      <c r="CZ192" s="59">
        <f t="shared" si="150"/>
        <v>248.49577986312505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107.8172624933482</v>
      </c>
      <c r="DG192" s="21">
        <f>EXP(-LN(2)/25)*DG191+(1-EXP(-LN(2)/25))/(LN(2)/25)*Calculateur!DB192*Calculateur!DD192*VLOOKUP('Données projet'!$B$13,Paramètres!$A$1:$I$89,3,0)*0.475*44/12</f>
        <v>14.836670467118472</v>
      </c>
      <c r="DH192" s="21">
        <f>EXP(-LN(2)/2)*DH191+(1-EXP(-LN(2)/2))/(LN(2)/2)*DB192*DE192*VLOOKUP('Données projet'!$B$13,Paramètres!$A$1:$I$89,3,0)*0.475*44/12</f>
        <v>3.8928208914150301E-4</v>
      </c>
      <c r="DI192" s="22">
        <f t="shared" si="175"/>
        <v>122.65432224255581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3.4106051316484809E-13</v>
      </c>
      <c r="DP192" s="17">
        <f>DO192*VLOOKUP('Données projet'!$B$14,Paramètres!$A$1:$I$89,3,0)*VLOOKUP('Données projet'!$B$14,Paramètres!$A$1:$I$89,5,0)</f>
        <v>1.5961632016114892E-13</v>
      </c>
      <c r="DQ192" s="13">
        <f t="shared" si="176"/>
        <v>2.2708641912150958E-12</v>
      </c>
      <c r="DR192" s="20">
        <f t="shared" si="177"/>
        <v>4.2330868906469593E-12</v>
      </c>
      <c r="DS192" s="59">
        <f t="shared" si="125"/>
        <v>293.33333333333752</v>
      </c>
      <c r="DT192" s="59">
        <f ca="1">AVERAGE(OFFSET($DS$3,0,0,'Données projet'!$E$14+1,1))-AVERAGE(OFFSET($H$3,0,0,'Données projet'!$E$14+1,1))</f>
        <v>293.15557501692803</v>
      </c>
      <c r="DU192" s="59">
        <f t="shared" si="152"/>
        <v>237.1930412773068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26.911235328050125</v>
      </c>
      <c r="EB192" s="21">
        <f>EXP(-LN(2)/25)*EB191+(1-EXP(-LN(2)/25))/(LN(2)/25)*Calculateur!DW192*Calculateur!DY192*VLOOKUP('Données projet'!$B$14,Paramètres!$A$1:$I$89,3,0)*0.475*44/12</f>
        <v>4.557704253064025</v>
      </c>
      <c r="EC192" s="21">
        <f>EXP(-LN(2)/2)*EC191+(1-EXP(-LN(2)/2))/(LN(2)/2)*DW192*DZ192*VLOOKUP('Données projet'!$B$14,Paramètres!$A$1:$I$89,3,0)*0.475*44/12</f>
        <v>2.86380773275894E-11</v>
      </c>
      <c r="ED192" s="22">
        <f t="shared" si="178"/>
        <v>31.468939581142788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-1.7053025658242404E-13</v>
      </c>
      <c r="EK192" s="17">
        <f>EJ192*VLOOKUP('Données projet'!$B$15,Paramètres!$A$1:$I$89,3,0)*VLOOKUP('Données projet'!$B$15,Paramètres!$A$1:$I$89,5,0)</f>
        <v>-1.0197709343628959E-13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225.86663363047296</v>
      </c>
      <c r="EP192" s="59">
        <f t="shared" si="154"/>
        <v>258.08349727304397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8.2649203285480475</v>
      </c>
      <c r="EW192" s="21">
        <f>EXP(-LN(2)/25)*EW191+(1-EXP(-LN(2)/25))/(LN(2)/25)*Calculateur!ER192*Calculateur!ET192*VLOOKUP('Données projet'!$B$15,Paramètres!$A$1:$I$89,3,0)*0.475*44/12</f>
        <v>1.1050999358683697</v>
      </c>
      <c r="EX192" s="21">
        <f>EXP(-LN(2)/2)*EX191+(1-EXP(-LN(2)/2))/(LN(2)/2)*ER192*EU192*VLOOKUP('Données projet'!$B$15,Paramètres!$A$1:$I$89,3,0)*0.475*44/12</f>
        <v>3.4283617601250929E-18</v>
      </c>
      <c r="EY192" s="22">
        <f t="shared" si="181"/>
        <v>9.3700202644164179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388.12151914648013</v>
      </c>
      <c r="T193" s="59">
        <f t="shared" si="142"/>
        <v>481.43684454382793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12.530142627718803</v>
      </c>
      <c r="AA193" s="21">
        <f>EXP(-LN(2)/25)*AA192+(1-EXP(-LN(2)/25))/(LN(2)/25)*Calculateur!V193*Calculateur!X193*VLOOKUP('Données projet'!$B$9,Paramètres!$A$1:$I$89,3,0)*0.475*44/12</f>
        <v>1.5015716879028898</v>
      </c>
      <c r="AB193" s="21">
        <f>EXP(-LN(2)/2)*AB192+(1-EXP(-LN(2)/2))/(LN(2)/2)*V193*Y193*VLOOKUP('Données projet'!$B$9,Paramètres!$A$1:$I$89,3,0)*0.475*44/12</f>
        <v>5.2383439411548085E-19</v>
      </c>
      <c r="AC193" s="22">
        <f t="shared" si="163"/>
        <v>14.031714315621693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-1.3596945791505279E-13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349.71285006949597</v>
      </c>
      <c r="AO193" s="59">
        <f t="shared" si="144"/>
        <v>258.51550516456842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17.352246855834927</v>
      </c>
      <c r="AV193" s="21">
        <f>EXP(-LN(2)/25)*AV192+(1-EXP(-LN(2)/25))/(LN(2)/25)*Calculateur!AQ193*Calculateur!AS193*VLOOKUP('Données projet'!$B$10,Paramètres!$A$1:$I$89,3,0)*0.475*44/12</f>
        <v>2.4509313451173731</v>
      </c>
      <c r="AW193" s="21">
        <f>EXP(-LN(2)/2)*AW192+(1-EXP(-LN(2)/2))/(LN(2)/2)*AQ193*AT193*VLOOKUP('Données projet'!$B$10,Paramètres!$A$1:$I$89,3,0)*0.475*44/12</f>
        <v>1.9627811265523683E-15</v>
      </c>
      <c r="AX193" s="21">
        <f t="shared" si="166"/>
        <v>19.803178200952303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8.5265128291212022E-14</v>
      </c>
      <c r="BE193" s="13">
        <f>BD193*VLOOKUP('Données projet'!$B$11,Paramètres!$A$1:$I$89,3,0)*VLOOKUP('Données projet'!$B$11,Paramètres!$A$1:$I$89,5,0)</f>
        <v>8.9119112089974823E-14</v>
      </c>
      <c r="BF193" s="13">
        <f t="shared" si="167"/>
        <v>1.3568952080113142E-12</v>
      </c>
      <c r="BG193" s="20">
        <f t="shared" si="168"/>
        <v>2.5184749408430782E-12</v>
      </c>
      <c r="BH193" s="59">
        <f t="shared" si="116"/>
        <v>293.33333333333582</v>
      </c>
      <c r="BI193" s="59">
        <f ca="1">AVERAGE(OFFSET($BH$3,0,0,'Données projet'!$E$11+1,1))-AVERAGE(OFFSET($H$3,0,0,'Données projet'!$E$11+1,1))</f>
        <v>260.74709892624571</v>
      </c>
      <c r="BJ193" s="59">
        <f t="shared" si="146"/>
        <v>237.17381692184887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2.9945068595702082</v>
      </c>
      <c r="BQ193" s="21">
        <f>EXP(-LN(2)/25)*BQ192+(1-EXP(-LN(2)/25))/(LN(2)/25)*Calculateur!BL193*Calculateur!BN193*VLOOKUP('Données projet'!$B$11,Paramètres!$A$1:$I$89,3,0)*0.475*44/12</f>
        <v>3.7479576749925538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6.7424645345627621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3.979039320256561E-13</v>
      </c>
      <c r="BZ193" s="13">
        <f>BY193*VLOOKUP('Données projet'!$B$12,Paramètres!$A$1:$I$89,3,0)*VLOOKUP('Données projet'!$B$12,Paramètres!$A$1:$I$89,5,0)</f>
        <v>3.6002347769681362E-13</v>
      </c>
      <c r="CA193" s="13">
        <f t="shared" si="170"/>
        <v>4.6593569189922594E-12</v>
      </c>
      <c r="CB193" s="20">
        <f t="shared" si="171"/>
        <v>8.7420875242334695E-12</v>
      </c>
      <c r="CC193" s="59">
        <f t="shared" si="119"/>
        <v>293.33333333334207</v>
      </c>
      <c r="CD193" s="59">
        <f ca="1">AVERAGE(OFFSET($CC$3,0,0,'Données projet'!$E$12+1,1))-AVERAGE(OFFSET($H$3,0,0,'Données projet'!$E$12+1,1))</f>
        <v>695.0879239758051</v>
      </c>
      <c r="CE193" s="59">
        <f t="shared" si="148"/>
        <v>226.22150997227476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94.319628319963641</v>
      </c>
      <c r="CL193" s="21">
        <f>EXP(-LN(2)/25)*CL192+(1-EXP(-LN(2)/25))/(LN(2)/25)*Calculateur!CG193*Calculateur!CI193*VLOOKUP('Données projet'!$B$12,Paramètres!$A$1:$I$89,3,0)*0.475*44/12</f>
        <v>12.876857447879608</v>
      </c>
      <c r="CM193" s="21">
        <f>EXP(-LN(2)/2)*CM192+(1-EXP(-LN(2)/2))/(LN(2)/2)*CG193*CJ193*VLOOKUP('Données projet'!$B$12,Paramètres!$A$1:$I$89,3,0)*0.475*44/12</f>
        <v>2.4562018910050045E-4</v>
      </c>
      <c r="CN193" s="22">
        <f t="shared" si="172"/>
        <v>107.19673138803236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3.979039320256561E-13</v>
      </c>
      <c r="CU193" s="17">
        <f>CT193*VLOOKUP('Données projet'!$B$13,Paramètres!$A$1:$I$89,3,0)*VLOOKUP('Données projet'!$B$13,Paramètres!$A$1:$I$89,5,0)</f>
        <v>4.0347458707401528E-13</v>
      </c>
      <c r="CV193" s="13">
        <f t="shared" si="173"/>
        <v>5.1528944501892313E-12</v>
      </c>
      <c r="CW193" s="20">
        <f t="shared" si="174"/>
        <v>9.6773427399001538E-12</v>
      </c>
      <c r="CX193" s="59">
        <f t="shared" si="122"/>
        <v>293.33333333334298</v>
      </c>
      <c r="CY193" s="59">
        <f ca="1">AVERAGE(OFFSET($CX$3,0,0,'Données projet'!$E$13+1,1))-AVERAGE(OFFSET($H$3,0,0,'Données projet'!$E$13+1,1))</f>
        <v>773.15074145293738</v>
      </c>
      <c r="CZ193" s="59">
        <f t="shared" si="150"/>
        <v>248.49577986312505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105.7030317378903</v>
      </c>
      <c r="DG193" s="21">
        <f>EXP(-LN(2)/25)*DG192+(1-EXP(-LN(2)/25))/(LN(2)/25)*Calculateur!DB193*Calculateur!DD193*VLOOKUP('Données projet'!$B$13,Paramètres!$A$1:$I$89,3,0)*0.475*44/12</f>
        <v>14.430960932968526</v>
      </c>
      <c r="DH193" s="21">
        <f>EXP(-LN(2)/2)*DH192+(1-EXP(-LN(2)/2))/(LN(2)/2)*DB193*DE193*VLOOKUP('Données projet'!$B$13,Paramètres!$A$1:$I$89,3,0)*0.475*44/12</f>
        <v>2.7526400502642285E-4</v>
      </c>
      <c r="DI193" s="22">
        <f t="shared" si="175"/>
        <v>120.13426793486386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3.4106051316484809E-13</v>
      </c>
      <c r="DP193" s="17">
        <f>DO193*VLOOKUP('Données projet'!$B$14,Paramètres!$A$1:$I$89,3,0)*VLOOKUP('Données projet'!$B$14,Paramètres!$A$1:$I$89,5,0)</f>
        <v>1.5961632016114892E-13</v>
      </c>
      <c r="DQ193" s="13">
        <f t="shared" si="176"/>
        <v>2.2708641912150958E-12</v>
      </c>
      <c r="DR193" s="20">
        <f t="shared" si="177"/>
        <v>4.2330868906469593E-12</v>
      </c>
      <c r="DS193" s="59">
        <f t="shared" si="125"/>
        <v>293.33333333333752</v>
      </c>
      <c r="DT193" s="59">
        <f ca="1">AVERAGE(OFFSET($DS$3,0,0,'Données projet'!$E$14+1,1))-AVERAGE(OFFSET($H$3,0,0,'Données projet'!$E$14+1,1))</f>
        <v>293.15557501692803</v>
      </c>
      <c r="DU193" s="59">
        <f t="shared" si="152"/>
        <v>237.1930412773068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26.38352241749984</v>
      </c>
      <c r="EB193" s="21">
        <f>EXP(-LN(2)/25)*EB192+(1-EXP(-LN(2)/25))/(LN(2)/25)*Calculateur!DW193*Calculateur!DY193*VLOOKUP('Données projet'!$B$14,Paramètres!$A$1:$I$89,3,0)*0.475*44/12</f>
        <v>4.4330735905847396</v>
      </c>
      <c r="EC193" s="21">
        <f>EXP(-LN(2)/2)*EC192+(1-EXP(-LN(2)/2))/(LN(2)/2)*DW193*DZ193*VLOOKUP('Données projet'!$B$14,Paramètres!$A$1:$I$89,3,0)*0.475*44/12</f>
        <v>2.0250178678483188E-11</v>
      </c>
      <c r="ED193" s="22">
        <f t="shared" si="178"/>
        <v>30.816596008104831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-1.7053025658242404E-13</v>
      </c>
      <c r="EK193" s="17">
        <f>EJ193*VLOOKUP('Données projet'!$B$15,Paramètres!$A$1:$I$89,3,0)*VLOOKUP('Données projet'!$B$15,Paramètres!$A$1:$I$89,5,0)</f>
        <v>-1.0197709343628959E-13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225.86663363047296</v>
      </c>
      <c r="EP193" s="59">
        <f t="shared" si="154"/>
        <v>258.08349727304397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8.1028502820088537</v>
      </c>
      <c r="EW193" s="21">
        <f>EXP(-LN(2)/25)*EW192+(1-EXP(-LN(2)/25))/(LN(2)/25)*Calculateur!ER193*Calculateur!ET193*VLOOKUP('Données projet'!$B$15,Paramètres!$A$1:$I$89,3,0)*0.475*44/12</f>
        <v>1.0748809200073692</v>
      </c>
      <c r="EX193" s="21">
        <f>EXP(-LN(2)/2)*EX192+(1-EXP(-LN(2)/2))/(LN(2)/2)*ER193*EU193*VLOOKUP('Données projet'!$B$15,Paramètres!$A$1:$I$89,3,0)*0.475*44/12</f>
        <v>2.4242178489451012E-18</v>
      </c>
      <c r="EY193" s="22">
        <f t="shared" si="181"/>
        <v>9.1777312020162221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388.12151914648013</v>
      </c>
      <c r="T194" s="59">
        <f t="shared" si="142"/>
        <v>481.43684454382793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12.284434173421593</v>
      </c>
      <c r="AA194" s="21">
        <f>EXP(-LN(2)/25)*AA193+(1-EXP(-LN(2)/25))/(LN(2)/25)*Calculateur!V194*Calculateur!X194*VLOOKUP('Données projet'!$B$9,Paramètres!$A$1:$I$89,3,0)*0.475*44/12</f>
        <v>1.4605111311329622</v>
      </c>
      <c r="AB194" s="21">
        <f>EXP(-LN(2)/2)*AB193+(1-EXP(-LN(2)/2))/(LN(2)/2)*V194*Y194*VLOOKUP('Données projet'!$B$9,Paramètres!$A$1:$I$89,3,0)*0.475*44/12</f>
        <v>3.7040685229780302E-19</v>
      </c>
      <c r="AC194" s="22">
        <f t="shared" si="163"/>
        <v>13.744945304554555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-1.3596945791505279E-13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349.71285006949597</v>
      </c>
      <c r="AO194" s="59">
        <f t="shared" si="144"/>
        <v>258.51550516456842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17.01197987881752</v>
      </c>
      <c r="AV194" s="21">
        <f>EXP(-LN(2)/25)*AV193+(1-EXP(-LN(2)/25))/(LN(2)/25)*Calculateur!AQ194*Calculateur!AS194*VLOOKUP('Données projet'!$B$10,Paramètres!$A$1:$I$89,3,0)*0.475*44/12</f>
        <v>2.3839104985962609</v>
      </c>
      <c r="AW194" s="21">
        <f>EXP(-LN(2)/2)*AW193+(1-EXP(-LN(2)/2))/(LN(2)/2)*AQ194*AT194*VLOOKUP('Données projet'!$B$10,Paramètres!$A$1:$I$89,3,0)*0.475*44/12</f>
        <v>1.3878958445701508E-15</v>
      </c>
      <c r="AX194" s="21">
        <f t="shared" si="166"/>
        <v>19.395890377413782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8.5265128291212022E-14</v>
      </c>
      <c r="BE194" s="13">
        <f>BD194*VLOOKUP('Données projet'!$B$11,Paramètres!$A$1:$I$89,3,0)*VLOOKUP('Données projet'!$B$11,Paramètres!$A$1:$I$89,5,0)</f>
        <v>8.9119112089974823E-14</v>
      </c>
      <c r="BF194" s="13">
        <f t="shared" si="167"/>
        <v>1.3568952080113142E-12</v>
      </c>
      <c r="BG194" s="20">
        <f t="shared" si="168"/>
        <v>2.5184749408430782E-12</v>
      </c>
      <c r="BH194" s="59">
        <f t="shared" si="116"/>
        <v>293.33333333333582</v>
      </c>
      <c r="BI194" s="59">
        <f ca="1">AVERAGE(OFFSET($BH$3,0,0,'Données projet'!$E$11+1,1))-AVERAGE(OFFSET($H$3,0,0,'Données projet'!$E$11+1,1))</f>
        <v>260.74709892624571</v>
      </c>
      <c r="BJ194" s="59">
        <f t="shared" si="146"/>
        <v>237.17381692184887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2.935786406522872</v>
      </c>
      <c r="BQ194" s="21">
        <f>EXP(-LN(2)/25)*BQ193+(1-EXP(-LN(2)/25))/(LN(2)/25)*Calculateur!BL194*Calculateur!BN194*VLOOKUP('Données projet'!$B$11,Paramètres!$A$1:$I$89,3,0)*0.475*44/12</f>
        <v>3.6454695752733546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6.5812559817962271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3.979039320256561E-13</v>
      </c>
      <c r="BZ194" s="13">
        <f>BY194*VLOOKUP('Données projet'!$B$12,Paramètres!$A$1:$I$89,3,0)*VLOOKUP('Données projet'!$B$12,Paramètres!$A$1:$I$89,5,0)</f>
        <v>3.6002347769681362E-13</v>
      </c>
      <c r="CA194" s="13">
        <f t="shared" si="170"/>
        <v>4.6593569189922594E-12</v>
      </c>
      <c r="CB194" s="20">
        <f t="shared" si="171"/>
        <v>8.7420875242334695E-12</v>
      </c>
      <c r="CC194" s="59">
        <f t="shared" si="119"/>
        <v>293.33333333334207</v>
      </c>
      <c r="CD194" s="59">
        <f ca="1">AVERAGE(OFFSET($CC$3,0,0,'Données projet'!$E$12+1,1))-AVERAGE(OFFSET($H$3,0,0,'Données projet'!$E$12+1,1))</f>
        <v>695.0879239758051</v>
      </c>
      <c r="CE194" s="59">
        <f t="shared" si="148"/>
        <v>226.22150997227476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92.470077937901877</v>
      </c>
      <c r="CL194" s="21">
        <f>EXP(-LN(2)/25)*CL193+(1-EXP(-LN(2)/25))/(LN(2)/25)*Calculateur!CG194*Calculateur!CI194*VLOOKUP('Données projet'!$B$12,Paramètres!$A$1:$I$89,3,0)*0.475*44/12</f>
        <v>12.524739103802837</v>
      </c>
      <c r="CM194" s="21">
        <f>EXP(-LN(2)/2)*CM193+(1-EXP(-LN(2)/2))/(LN(2)/2)*CG194*CJ194*VLOOKUP('Données projet'!$B$12,Paramètres!$A$1:$I$89,3,0)*0.475*44/12</f>
        <v>1.73679701309286E-4</v>
      </c>
      <c r="CN194" s="22">
        <f t="shared" si="172"/>
        <v>104.99499072140603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3.979039320256561E-13</v>
      </c>
      <c r="CU194" s="17">
        <f>CT194*VLOOKUP('Données projet'!$B$13,Paramètres!$A$1:$I$89,3,0)*VLOOKUP('Données projet'!$B$13,Paramètres!$A$1:$I$89,5,0)</f>
        <v>4.0347458707401528E-13</v>
      </c>
      <c r="CV194" s="13">
        <f t="shared" si="173"/>
        <v>5.1528944501892313E-12</v>
      </c>
      <c r="CW194" s="20">
        <f t="shared" si="174"/>
        <v>9.6773427399001538E-12</v>
      </c>
      <c r="CX194" s="59">
        <f t="shared" si="122"/>
        <v>293.33333333334298</v>
      </c>
      <c r="CY194" s="59">
        <f ca="1">AVERAGE(OFFSET($CX$3,0,0,'Données projet'!$E$13+1,1))-AVERAGE(OFFSET($H$3,0,0,'Données projet'!$E$13+1,1))</f>
        <v>773.15074145293738</v>
      </c>
      <c r="CZ194" s="59">
        <f t="shared" si="150"/>
        <v>248.49577986312505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103.6302597579935</v>
      </c>
      <c r="DG194" s="21">
        <f>EXP(-LN(2)/25)*DG193+(1-EXP(-LN(2)/25))/(LN(2)/25)*Calculateur!DB194*Calculateur!DD194*VLOOKUP('Données projet'!$B$13,Paramètres!$A$1:$I$89,3,0)*0.475*44/12</f>
        <v>14.036345547365249</v>
      </c>
      <c r="DH194" s="21">
        <f>EXP(-LN(2)/2)*DH193+(1-EXP(-LN(2)/2))/(LN(2)/2)*DB194*DE194*VLOOKUP('Données projet'!$B$13,Paramètres!$A$1:$I$89,3,0)*0.475*44/12</f>
        <v>1.946410445707515E-4</v>
      </c>
      <c r="DI194" s="22">
        <f t="shared" si="175"/>
        <v>117.66679994640332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3.4106051316484809E-13</v>
      </c>
      <c r="DP194" s="17">
        <f>DO194*VLOOKUP('Données projet'!$B$14,Paramètres!$A$1:$I$89,3,0)*VLOOKUP('Données projet'!$B$14,Paramètres!$A$1:$I$89,5,0)</f>
        <v>1.5961632016114892E-13</v>
      </c>
      <c r="DQ194" s="13">
        <f t="shared" si="176"/>
        <v>2.2708641912150958E-12</v>
      </c>
      <c r="DR194" s="20">
        <f t="shared" si="177"/>
        <v>4.2330868906469593E-12</v>
      </c>
      <c r="DS194" s="59">
        <f t="shared" si="125"/>
        <v>293.33333333333752</v>
      </c>
      <c r="DT194" s="59">
        <f ca="1">AVERAGE(OFFSET($DS$3,0,0,'Données projet'!$E$14+1,1))-AVERAGE(OFFSET($H$3,0,0,'Données projet'!$E$14+1,1))</f>
        <v>293.15557501692803</v>
      </c>
      <c r="DU194" s="59">
        <f t="shared" si="152"/>
        <v>237.1930412773068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25.866157635252353</v>
      </c>
      <c r="EB194" s="21">
        <f>EXP(-LN(2)/25)*EB193+(1-EXP(-LN(2)/25))/(LN(2)/25)*Calculateur!DW194*Calculateur!DY194*VLOOKUP('Données projet'!$B$14,Paramètres!$A$1:$I$89,3,0)*0.475*44/12</f>
        <v>4.3118509601249917</v>
      </c>
      <c r="EC194" s="21">
        <f>EXP(-LN(2)/2)*EC193+(1-EXP(-LN(2)/2))/(LN(2)/2)*DW194*DZ194*VLOOKUP('Données projet'!$B$14,Paramètres!$A$1:$I$89,3,0)*0.475*44/12</f>
        <v>1.4319038663794703E-11</v>
      </c>
      <c r="ED194" s="22">
        <f t="shared" si="178"/>
        <v>30.178008595391663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-1.7053025658242404E-13</v>
      </c>
      <c r="EK194" s="17">
        <f>EJ194*VLOOKUP('Données projet'!$B$15,Paramètres!$A$1:$I$89,3,0)*VLOOKUP('Données projet'!$B$15,Paramètres!$A$1:$I$89,5,0)</f>
        <v>-1.0197709343628959E-13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225.86663363047296</v>
      </c>
      <c r="EP194" s="59">
        <f t="shared" si="154"/>
        <v>258.08349727304397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7.9439583302293251</v>
      </c>
      <c r="EW194" s="21">
        <f>EXP(-LN(2)/25)*EW193+(1-EXP(-LN(2)/25))/(LN(2)/25)*Calculateur!ER194*Calculateur!ET194*VLOOKUP('Données projet'!$B$15,Paramètres!$A$1:$I$89,3,0)*0.475*44/12</f>
        <v>1.0454882447242368</v>
      </c>
      <c r="EX194" s="21">
        <f>EXP(-LN(2)/2)*EX193+(1-EXP(-LN(2)/2))/(LN(2)/2)*ER194*EU194*VLOOKUP('Données projet'!$B$15,Paramètres!$A$1:$I$89,3,0)*0.475*44/12</f>
        <v>1.7141808800625466E-18</v>
      </c>
      <c r="EY194" s="22">
        <f t="shared" si="181"/>
        <v>8.9894465749535613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388.12151914648013</v>
      </c>
      <c r="T195" s="59">
        <f t="shared" si="142"/>
        <v>481.43684454382793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12.043543912045791</v>
      </c>
      <c r="AA195" s="21">
        <f>EXP(-LN(2)/25)*AA194+(1-EXP(-LN(2)/25))/(LN(2)/25)*Calculateur!V195*Calculateur!X195*VLOOKUP('Données projet'!$B$9,Paramètres!$A$1:$I$89,3,0)*0.475*44/12</f>
        <v>1.4205733774471889</v>
      </c>
      <c r="AB195" s="21">
        <f>EXP(-LN(2)/2)*AB194+(1-EXP(-LN(2)/2))/(LN(2)/2)*V195*Y195*VLOOKUP('Données projet'!$B$9,Paramètres!$A$1:$I$89,3,0)*0.475*44/12</f>
        <v>2.6191719705774042E-19</v>
      </c>
      <c r="AC195" s="22">
        <f t="shared" si="163"/>
        <v>13.464117289492981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-1.3596945791505279E-13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349.71285006949597</v>
      </c>
      <c r="AO195" s="59">
        <f t="shared" si="144"/>
        <v>258.51550516456842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16.678385329677063</v>
      </c>
      <c r="AV195" s="21">
        <f>EXP(-LN(2)/25)*AV194+(1-EXP(-LN(2)/25))/(LN(2)/25)*Calculateur!AQ195*Calculateur!AS195*VLOOKUP('Données projet'!$B$10,Paramètres!$A$1:$I$89,3,0)*0.475*44/12</f>
        <v>2.3187223406477417</v>
      </c>
      <c r="AW195" s="21">
        <f>EXP(-LN(2)/2)*AW194+(1-EXP(-LN(2)/2))/(LN(2)/2)*AQ195*AT195*VLOOKUP('Données projet'!$B$10,Paramètres!$A$1:$I$89,3,0)*0.475*44/12</f>
        <v>9.8139056327618416E-16</v>
      </c>
      <c r="AX195" s="21">
        <f t="shared" si="166"/>
        <v>18.997107670324805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8.5265128291212022E-14</v>
      </c>
      <c r="BE195" s="13">
        <f>BD195*VLOOKUP('Données projet'!$B$11,Paramètres!$A$1:$I$89,3,0)*VLOOKUP('Données projet'!$B$11,Paramètres!$A$1:$I$89,5,0)</f>
        <v>8.9119112089974823E-14</v>
      </c>
      <c r="BF195" s="13">
        <f t="shared" si="167"/>
        <v>1.3568952080113142E-12</v>
      </c>
      <c r="BG195" s="20">
        <f t="shared" si="168"/>
        <v>2.5184749408430782E-12</v>
      </c>
      <c r="BH195" s="59">
        <f t="shared" si="116"/>
        <v>293.33333333333582</v>
      </c>
      <c r="BI195" s="59">
        <f ca="1">AVERAGE(OFFSET($BH$3,0,0,'Données projet'!$E$11+1,1))-AVERAGE(OFFSET($H$3,0,0,'Données projet'!$E$11+1,1))</f>
        <v>260.74709892624571</v>
      </c>
      <c r="BJ195" s="59">
        <f t="shared" si="146"/>
        <v>237.17381692184887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2.8782174257438542</v>
      </c>
      <c r="BQ195" s="21">
        <f>EXP(-LN(2)/25)*BQ194+(1-EXP(-LN(2)/25))/(LN(2)/25)*Calculateur!BL195*Calculateur!BN195*VLOOKUP('Données projet'!$B$11,Paramètres!$A$1:$I$89,3,0)*0.475*44/12</f>
        <v>3.5457840180305915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6.4240014437744453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3.979039320256561E-13</v>
      </c>
      <c r="BZ195" s="13">
        <f>BY195*VLOOKUP('Données projet'!$B$12,Paramètres!$A$1:$I$89,3,0)*VLOOKUP('Données projet'!$B$12,Paramètres!$A$1:$I$89,5,0)</f>
        <v>3.6002347769681362E-13</v>
      </c>
      <c r="CA195" s="13">
        <f t="shared" si="170"/>
        <v>4.6593569189922594E-12</v>
      </c>
      <c r="CB195" s="20">
        <f t="shared" si="171"/>
        <v>8.7420875242334695E-12</v>
      </c>
      <c r="CC195" s="59">
        <f t="shared" si="119"/>
        <v>293.33333333334207</v>
      </c>
      <c r="CD195" s="59">
        <f ca="1">AVERAGE(OFFSET($CC$3,0,0,'Données projet'!$E$12+1,1))-AVERAGE(OFFSET($H$3,0,0,'Données projet'!$E$12+1,1))</f>
        <v>695.0879239758051</v>
      </c>
      <c r="CE195" s="59">
        <f t="shared" si="148"/>
        <v>226.22150997227476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90.656796110718005</v>
      </c>
      <c r="CL195" s="21">
        <f>EXP(-LN(2)/25)*CL194+(1-EXP(-LN(2)/25))/(LN(2)/25)*Calculateur!CG195*Calculateur!CI195*VLOOKUP('Données projet'!$B$12,Paramètres!$A$1:$I$89,3,0)*0.475*44/12</f>
        <v>12.182249454361944</v>
      </c>
      <c r="CM195" s="21">
        <f>EXP(-LN(2)/2)*CM194+(1-EXP(-LN(2)/2))/(LN(2)/2)*CG195*CJ195*VLOOKUP('Données projet'!$B$12,Paramètres!$A$1:$I$89,3,0)*0.475*44/12</f>
        <v>1.2281009455025022E-4</v>
      </c>
      <c r="CN195" s="22">
        <f t="shared" si="172"/>
        <v>102.83916837517449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3.979039320256561E-13</v>
      </c>
      <c r="CU195" s="17">
        <f>CT195*VLOOKUP('Données projet'!$B$13,Paramètres!$A$1:$I$89,3,0)*VLOOKUP('Données projet'!$B$13,Paramètres!$A$1:$I$89,5,0)</f>
        <v>4.0347458707401528E-13</v>
      </c>
      <c r="CV195" s="13">
        <f t="shared" si="173"/>
        <v>5.1528944501892313E-12</v>
      </c>
      <c r="CW195" s="20">
        <f t="shared" si="174"/>
        <v>9.6773427399001538E-12</v>
      </c>
      <c r="CX195" s="59">
        <f t="shared" si="122"/>
        <v>293.33333333334298</v>
      </c>
      <c r="CY195" s="59">
        <f ca="1">AVERAGE(OFFSET($CX$3,0,0,'Données projet'!$E$13+1,1))-AVERAGE(OFFSET($H$3,0,0,'Données projet'!$E$13+1,1))</f>
        <v>773.15074145293738</v>
      </c>
      <c r="CZ195" s="59">
        <f t="shared" si="150"/>
        <v>248.49577986312505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101.5981335723564</v>
      </c>
      <c r="DG195" s="21">
        <f>EXP(-LN(2)/25)*DG194+(1-EXP(-LN(2)/25))/(LN(2)/25)*Calculateur!DB195*Calculateur!DD195*VLOOKUP('Données projet'!$B$13,Paramètres!$A$1:$I$89,3,0)*0.475*44/12</f>
        <v>13.652520940233215</v>
      </c>
      <c r="DH195" s="21">
        <f>EXP(-LN(2)/2)*DH194+(1-EXP(-LN(2)/2))/(LN(2)/2)*DB195*DE195*VLOOKUP('Données projet'!$B$13,Paramètres!$A$1:$I$89,3,0)*0.475*44/12</f>
        <v>1.3763200251321143E-4</v>
      </c>
      <c r="DI195" s="22">
        <f t="shared" si="175"/>
        <v>115.25079214459214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3.4106051316484809E-13</v>
      </c>
      <c r="DP195" s="17">
        <f>DO195*VLOOKUP('Données projet'!$B$14,Paramètres!$A$1:$I$89,3,0)*VLOOKUP('Données projet'!$B$14,Paramètres!$A$1:$I$89,5,0)</f>
        <v>1.5961632016114892E-13</v>
      </c>
      <c r="DQ195" s="13">
        <f t="shared" si="176"/>
        <v>2.2708641912150958E-12</v>
      </c>
      <c r="DR195" s="20">
        <f t="shared" si="177"/>
        <v>4.2330868906469593E-12</v>
      </c>
      <c r="DS195" s="59">
        <f t="shared" si="125"/>
        <v>293.33333333333752</v>
      </c>
      <c r="DT195" s="59">
        <f ca="1">AVERAGE(OFFSET($DS$3,0,0,'Données projet'!$E$14+1,1))-AVERAGE(OFFSET($H$3,0,0,'Données projet'!$E$14+1,1))</f>
        <v>293.15557501692803</v>
      </c>
      <c r="DU195" s="59">
        <f t="shared" si="152"/>
        <v>237.1930412773068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25.358938060823384</v>
      </c>
      <c r="EB195" s="21">
        <f>EXP(-LN(2)/25)*EB194+(1-EXP(-LN(2)/25))/(LN(2)/25)*Calculateur!DW195*Calculateur!DY195*VLOOKUP('Données projet'!$B$14,Paramètres!$A$1:$I$89,3,0)*0.475*44/12</f>
        <v>4.1939431688699864</v>
      </c>
      <c r="EC195" s="21">
        <f>EXP(-LN(2)/2)*EC194+(1-EXP(-LN(2)/2))/(LN(2)/2)*DW195*DZ195*VLOOKUP('Données projet'!$B$14,Paramètres!$A$1:$I$89,3,0)*0.475*44/12</f>
        <v>1.0125089339241596E-11</v>
      </c>
      <c r="ED195" s="22">
        <f t="shared" si="178"/>
        <v>29.552881229703495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-1.7053025658242404E-13</v>
      </c>
      <c r="EK195" s="17">
        <f>EJ195*VLOOKUP('Données projet'!$B$15,Paramètres!$A$1:$I$89,3,0)*VLOOKUP('Données projet'!$B$15,Paramètres!$A$1:$I$89,5,0)</f>
        <v>-1.0197709343628959E-13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225.86663363047296</v>
      </c>
      <c r="EP195" s="59">
        <f t="shared" si="154"/>
        <v>258.08349727304397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7.7881821527096724</v>
      </c>
      <c r="EW195" s="21">
        <f>EXP(-LN(2)/25)*EW194+(1-EXP(-LN(2)/25))/(LN(2)/25)*Calculateur!ER195*Calculateur!ET195*VLOOKUP('Données projet'!$B$15,Paramètres!$A$1:$I$89,3,0)*0.475*44/12</f>
        <v>1.0168993136924154</v>
      </c>
      <c r="EX195" s="21">
        <f>EXP(-LN(2)/2)*EX194+(1-EXP(-LN(2)/2))/(LN(2)/2)*ER195*EU195*VLOOKUP('Données projet'!$B$15,Paramètres!$A$1:$I$89,3,0)*0.475*44/12</f>
        <v>1.2121089244725508E-18</v>
      </c>
      <c r="EY195" s="22">
        <f t="shared" si="181"/>
        <v>8.805081466402088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388.12151914648013</v>
      </c>
      <c r="T196" s="59">
        <f t="shared" si="142"/>
        <v>481.43684454382793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11.807377361767019</v>
      </c>
      <c r="AA196" s="21">
        <f>EXP(-LN(2)/25)*AA195+(1-EXP(-LN(2)/25))/(LN(2)/25)*Calculateur!V196*Calculateur!X196*VLOOKUP('Données projet'!$B$9,Paramètres!$A$1:$I$89,3,0)*0.475*44/12</f>
        <v>1.3817277237361885</v>
      </c>
      <c r="AB196" s="21">
        <f>EXP(-LN(2)/2)*AB195+(1-EXP(-LN(2)/2))/(LN(2)/2)*V196*Y196*VLOOKUP('Données projet'!$B$9,Paramètres!$A$1:$I$89,3,0)*0.475*44/12</f>
        <v>1.8520342614890151E-19</v>
      </c>
      <c r="AC196" s="22">
        <f t="shared" si="163"/>
        <v>13.189105085503208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-1.3596945791505279E-13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349.71285006949597</v>
      </c>
      <c r="AO196" s="59">
        <f t="shared" si="144"/>
        <v>258.51550516456842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16.351332366172667</v>
      </c>
      <c r="AV196" s="21">
        <f>EXP(-LN(2)/25)*AV195+(1-EXP(-LN(2)/25))/(LN(2)/25)*Calculateur!AQ196*Calculateur!AS196*VLOOKUP('Données projet'!$B$10,Paramètres!$A$1:$I$89,3,0)*0.475*44/12</f>
        <v>2.2553167563064207</v>
      </c>
      <c r="AW196" s="21">
        <f>EXP(-LN(2)/2)*AW195+(1-EXP(-LN(2)/2))/(LN(2)/2)*AQ196*AT196*VLOOKUP('Données projet'!$B$10,Paramètres!$A$1:$I$89,3,0)*0.475*44/12</f>
        <v>6.9394792228507538E-16</v>
      </c>
      <c r="AX196" s="21">
        <f t="shared" si="166"/>
        <v>18.606649122479087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8.5265128291212022E-14</v>
      </c>
      <c r="BE196" s="13">
        <f>BD196*VLOOKUP('Données projet'!$B$11,Paramètres!$A$1:$I$89,3,0)*VLOOKUP('Données projet'!$B$11,Paramètres!$A$1:$I$89,5,0)</f>
        <v>8.9119112089974823E-14</v>
      </c>
      <c r="BF196" s="13">
        <f t="shared" si="167"/>
        <v>1.3568952080113142E-12</v>
      </c>
      <c r="BG196" s="20">
        <f t="shared" si="168"/>
        <v>2.5184749408430782E-12</v>
      </c>
      <c r="BH196" s="59">
        <f t="shared" ref="BH196:BH203" si="194">BG196+(AY196+AZ196)*44/12</f>
        <v>293.33333333333582</v>
      </c>
      <c r="BI196" s="59">
        <f ca="1">AVERAGE(OFFSET($BH$3,0,0,'Données projet'!$E$11+1,1))-AVERAGE(OFFSET($H$3,0,0,'Données projet'!$E$11+1,1))</f>
        <v>260.74709892624571</v>
      </c>
      <c r="BJ196" s="59">
        <f t="shared" si="146"/>
        <v>237.17381692184887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2.8217773375643018</v>
      </c>
      <c r="BQ196" s="21">
        <f>EXP(-LN(2)/25)*BQ195+(1-EXP(-LN(2)/25))/(LN(2)/25)*Calculateur!BL196*Calculateur!BN196*VLOOKUP('Données projet'!$B$11,Paramètres!$A$1:$I$89,3,0)*0.475*44/12</f>
        <v>3.4488243675928674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6.2706017051571692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3.979039320256561E-13</v>
      </c>
      <c r="BZ196" s="13">
        <f>BY196*VLOOKUP('Données projet'!$B$12,Paramètres!$A$1:$I$89,3,0)*VLOOKUP('Données projet'!$B$12,Paramètres!$A$1:$I$89,5,0)</f>
        <v>3.6002347769681362E-13</v>
      </c>
      <c r="CA196" s="13">
        <f t="shared" si="170"/>
        <v>4.6593569189922594E-12</v>
      </c>
      <c r="CB196" s="20">
        <f t="shared" si="171"/>
        <v>8.7420875242334695E-12</v>
      </c>
      <c r="CC196" s="59">
        <f t="shared" ref="CC196:CC203" si="195">CB196+(BT196+BU196)*44/12</f>
        <v>293.33333333334207</v>
      </c>
      <c r="CD196" s="59">
        <f ca="1">AVERAGE(OFFSET($CC$3,0,0,'Données projet'!$E$12+1,1))-AVERAGE(OFFSET($H$3,0,0,'Données projet'!$E$12+1,1))</f>
        <v>695.0879239758051</v>
      </c>
      <c r="CE196" s="59">
        <f t="shared" si="148"/>
        <v>226.22150997227476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88.879071634172504</v>
      </c>
      <c r="CL196" s="21">
        <f>EXP(-LN(2)/25)*CL195+(1-EXP(-LN(2)/25))/(LN(2)/25)*Calculateur!CG196*Calculateur!CI196*VLOOKUP('Données projet'!$B$12,Paramètres!$A$1:$I$89,3,0)*0.475*44/12</f>
        <v>11.849125202395761</v>
      </c>
      <c r="CM196" s="21">
        <f>EXP(-LN(2)/2)*CM195+(1-EXP(-LN(2)/2))/(LN(2)/2)*CG196*CJ196*VLOOKUP('Données projet'!$B$12,Paramètres!$A$1:$I$89,3,0)*0.475*44/12</f>
        <v>8.6839850654642998E-5</v>
      </c>
      <c r="CN196" s="22">
        <f t="shared" si="172"/>
        <v>100.72828367641891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3.979039320256561E-13</v>
      </c>
      <c r="CU196" s="17">
        <f>CT196*VLOOKUP('Données projet'!$B$13,Paramètres!$A$1:$I$89,3,0)*VLOOKUP('Données projet'!$B$13,Paramètres!$A$1:$I$89,5,0)</f>
        <v>4.0347458707401528E-13</v>
      </c>
      <c r="CV196" s="13">
        <f t="shared" si="173"/>
        <v>5.1528944501892313E-12</v>
      </c>
      <c r="CW196" s="20">
        <f t="shared" si="174"/>
        <v>9.6773427399001538E-12</v>
      </c>
      <c r="CX196" s="59">
        <f t="shared" ref="CX196:CX203" si="196">CW196+(CO196+CP196)*44/12</f>
        <v>293.33333333334298</v>
      </c>
      <c r="CY196" s="59">
        <f ca="1">AVERAGE(OFFSET($CX$3,0,0,'Données projet'!$E$13+1,1))-AVERAGE(OFFSET($H$3,0,0,'Données projet'!$E$13+1,1))</f>
        <v>773.15074145293738</v>
      </c>
      <c r="CZ196" s="59">
        <f t="shared" si="150"/>
        <v>248.49577986312505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99.605856141745065</v>
      </c>
      <c r="DG196" s="21">
        <f>EXP(-LN(2)/25)*DG195+(1-EXP(-LN(2)/25))/(LN(2)/25)*Calculateur!DB196*Calculateur!DD196*VLOOKUP('Données projet'!$B$13,Paramètres!$A$1:$I$89,3,0)*0.475*44/12</f>
        <v>13.279192037167665</v>
      </c>
      <c r="DH196" s="21">
        <f>EXP(-LN(2)/2)*DH195+(1-EXP(-LN(2)/2))/(LN(2)/2)*DB196*DE196*VLOOKUP('Données projet'!$B$13,Paramètres!$A$1:$I$89,3,0)*0.475*44/12</f>
        <v>9.7320522285375752E-5</v>
      </c>
      <c r="DI196" s="22">
        <f t="shared" si="175"/>
        <v>112.88514549943501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3.4106051316484809E-13</v>
      </c>
      <c r="DP196" s="17">
        <f>DO196*VLOOKUP('Données projet'!$B$14,Paramètres!$A$1:$I$89,3,0)*VLOOKUP('Données projet'!$B$14,Paramètres!$A$1:$I$89,5,0)</f>
        <v>1.5961632016114892E-13</v>
      </c>
      <c r="DQ196" s="13">
        <f t="shared" si="176"/>
        <v>2.2708641912150958E-12</v>
      </c>
      <c r="DR196" s="20">
        <f t="shared" si="177"/>
        <v>4.2330868906469593E-12</v>
      </c>
      <c r="DS196" s="59">
        <f t="shared" ref="DS196:DS203" si="197">DR196+(DJ196+DK196)*44/12</f>
        <v>293.33333333333752</v>
      </c>
      <c r="DT196" s="59">
        <f ca="1">AVERAGE(OFFSET($DS$3,0,0,'Données projet'!$E$14+1,1))-AVERAGE(OFFSET($H$3,0,0,'Données projet'!$E$14+1,1))</f>
        <v>293.15557501692803</v>
      </c>
      <c r="DU196" s="59">
        <f t="shared" si="152"/>
        <v>237.1930412773068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24.861664752875573</v>
      </c>
      <c r="EB196" s="21">
        <f>EXP(-LN(2)/25)*EB195+(1-EXP(-LN(2)/25))/(LN(2)/25)*Calculateur!DW196*Calculateur!DY196*VLOOKUP('Données projet'!$B$14,Paramètres!$A$1:$I$89,3,0)*0.475*44/12</f>
        <v>4.0792595723673504</v>
      </c>
      <c r="EC196" s="21">
        <f>EXP(-LN(2)/2)*EC195+(1-EXP(-LN(2)/2))/(LN(2)/2)*DW196*DZ196*VLOOKUP('Données projet'!$B$14,Paramètres!$A$1:$I$89,3,0)*0.475*44/12</f>
        <v>7.1595193318973524E-12</v>
      </c>
      <c r="ED196" s="22">
        <f t="shared" si="178"/>
        <v>28.940924325250084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-1.7053025658242404E-13</v>
      </c>
      <c r="EK196" s="17">
        <f>EJ196*VLOOKUP('Données projet'!$B$15,Paramètres!$A$1:$I$89,3,0)*VLOOKUP('Données projet'!$B$15,Paramètres!$A$1:$I$89,5,0)</f>
        <v>-1.0197709343628959E-13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225.86663363047296</v>
      </c>
      <c r="EP196" s="59">
        <f t="shared" si="154"/>
        <v>258.08349727304397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7.6354606510170937</v>
      </c>
      <c r="EW196" s="21">
        <f>EXP(-LN(2)/25)*EW195+(1-EXP(-LN(2)/25))/(LN(2)/25)*Calculateur!ER196*Calculateur!ET196*VLOOKUP('Données projet'!$B$15,Paramètres!$A$1:$I$89,3,0)*0.475*44/12</f>
        <v>0.98909214848308558</v>
      </c>
      <c r="EX196" s="21">
        <f>EXP(-LN(2)/2)*EX195+(1-EXP(-LN(2)/2))/(LN(2)/2)*ER196*EU196*VLOOKUP('Données projet'!$B$15,Paramètres!$A$1:$I$89,3,0)*0.475*44/12</f>
        <v>8.5709044003127351E-19</v>
      </c>
      <c r="EY196" s="22">
        <f t="shared" si="181"/>
        <v>8.6245527995001794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388.12151914648013</v>
      </c>
      <c r="T197" s="59">
        <f t="shared" ref="T197:T203" si="204">$T$3</f>
        <v>481.43684454382793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11.575841893491841</v>
      </c>
      <c r="AA197" s="21">
        <f>EXP(-LN(2)/25)*AA196+(1-EXP(-LN(2)/25))/(LN(2)/25)*Calculateur!V197*Calculateur!X197*VLOOKUP('Données projet'!$B$9,Paramètres!$A$1:$I$89,3,0)*0.475*44/12</f>
        <v>1.3439443064687193</v>
      </c>
      <c r="AB197" s="21">
        <f>EXP(-LN(2)/2)*AB196+(1-EXP(-LN(2)/2))/(LN(2)/2)*V197*Y197*VLOOKUP('Données projet'!$B$9,Paramètres!$A$1:$I$89,3,0)*0.475*44/12</f>
        <v>1.3095859852887021E-19</v>
      </c>
      <c r="AC197" s="22">
        <f t="shared" si="163"/>
        <v>12.91978619996056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-1.3596945791505279E-13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349.71285006949597</v>
      </c>
      <c r="AO197" s="59">
        <f t="shared" ref="AO197:AO203" si="205">$AO$3</f>
        <v>258.51550516456842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16.030692711799979</v>
      </c>
      <c r="AV197" s="21">
        <f>EXP(-LN(2)/25)*AV196+(1-EXP(-LN(2)/25))/(LN(2)/25)*Calculateur!AQ197*Calculateur!AS197*VLOOKUP('Données projet'!$B$10,Paramètres!$A$1:$I$89,3,0)*0.475*44/12</f>
        <v>2.1936450010032682</v>
      </c>
      <c r="AW197" s="21">
        <f>EXP(-LN(2)/2)*AW196+(1-EXP(-LN(2)/2))/(LN(2)/2)*AQ197*AT197*VLOOKUP('Données projet'!$B$10,Paramètres!$A$1:$I$89,3,0)*0.475*44/12</f>
        <v>4.9069528163809208E-16</v>
      </c>
      <c r="AX197" s="21">
        <f t="shared" si="166"/>
        <v>18.224337712803248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8.5265128291212022E-14</v>
      </c>
      <c r="BE197" s="13">
        <f>BD197*VLOOKUP('Données projet'!$B$11,Paramètres!$A$1:$I$89,3,0)*VLOOKUP('Données projet'!$B$11,Paramètres!$A$1:$I$89,5,0)</f>
        <v>8.9119112089974823E-14</v>
      </c>
      <c r="BF197" s="13">
        <f t="shared" si="167"/>
        <v>1.3568952080113142E-12</v>
      </c>
      <c r="BG197" s="20">
        <f t="shared" si="168"/>
        <v>2.5184749408430782E-12</v>
      </c>
      <c r="BH197" s="59">
        <f t="shared" si="194"/>
        <v>293.33333333333582</v>
      </c>
      <c r="BI197" s="59">
        <f ca="1">AVERAGE(OFFSET($BH$3,0,0,'Données projet'!$E$11+1,1))-AVERAGE(OFFSET($H$3,0,0,'Données projet'!$E$11+1,1))</f>
        <v>260.74709892624571</v>
      </c>
      <c r="BJ197" s="59">
        <f t="shared" ref="BJ197:BJ203" si="206">$BJ$3</f>
        <v>237.17381692184887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2.7664440050888959</v>
      </c>
      <c r="BQ197" s="21">
        <f>EXP(-LN(2)/25)*BQ196+(1-EXP(-LN(2)/25))/(LN(2)/25)*Calculateur!BL197*Calculateur!BN197*VLOOKUP('Données projet'!$B$11,Paramètres!$A$1:$I$89,3,0)*0.475*44/12</f>
        <v>3.3545160838952492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6.1209600889841447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3.979039320256561E-13</v>
      </c>
      <c r="BZ197" s="13">
        <f>BY197*VLOOKUP('Données projet'!$B$12,Paramètres!$A$1:$I$89,3,0)*VLOOKUP('Données projet'!$B$12,Paramètres!$A$1:$I$89,5,0)</f>
        <v>3.6002347769681362E-13</v>
      </c>
      <c r="CA197" s="13">
        <f t="shared" si="170"/>
        <v>4.6593569189922594E-12</v>
      </c>
      <c r="CB197" s="20">
        <f t="shared" si="171"/>
        <v>8.7420875242334695E-12</v>
      </c>
      <c r="CC197" s="59">
        <f t="shared" si="195"/>
        <v>293.33333333334207</v>
      </c>
      <c r="CD197" s="59">
        <f ca="1">AVERAGE(OFFSET($CC$3,0,0,'Données projet'!$E$12+1,1))-AVERAGE(OFFSET($H$3,0,0,'Données projet'!$E$12+1,1))</f>
        <v>695.0879239758051</v>
      </c>
      <c r="CE197" s="59">
        <f t="shared" ref="CE197:CE203" si="207">$CE$3</f>
        <v>226.22150997227476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87.136207250307194</v>
      </c>
      <c r="CL197" s="21">
        <f>EXP(-LN(2)/25)*CL196+(1-EXP(-LN(2)/25))/(LN(2)/25)*Calculateur!CG197*Calculateur!CI197*VLOOKUP('Données projet'!$B$12,Paramètres!$A$1:$I$89,3,0)*0.475*44/12</f>
        <v>11.525110250617836</v>
      </c>
      <c r="CM197" s="21">
        <f>EXP(-LN(2)/2)*CM196+(1-EXP(-LN(2)/2))/(LN(2)/2)*CG197*CJ197*VLOOKUP('Données projet'!$B$12,Paramètres!$A$1:$I$89,3,0)*0.475*44/12</f>
        <v>6.1405047275125111E-5</v>
      </c>
      <c r="CN197" s="22">
        <f t="shared" si="172"/>
        <v>98.661378905972313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3.979039320256561E-13</v>
      </c>
      <c r="CU197" s="17">
        <f>CT197*VLOOKUP('Données projet'!$B$13,Paramètres!$A$1:$I$89,3,0)*VLOOKUP('Données projet'!$B$13,Paramètres!$A$1:$I$89,5,0)</f>
        <v>4.0347458707401528E-13</v>
      </c>
      <c r="CV197" s="13">
        <f t="shared" si="173"/>
        <v>5.1528944501892313E-12</v>
      </c>
      <c r="CW197" s="20">
        <f t="shared" si="174"/>
        <v>9.6773427399001538E-12</v>
      </c>
      <c r="CX197" s="59">
        <f t="shared" si="196"/>
        <v>293.33333333334298</v>
      </c>
      <c r="CY197" s="59">
        <f ca="1">AVERAGE(OFFSET($CX$3,0,0,'Données projet'!$E$13+1,1))-AVERAGE(OFFSET($H$3,0,0,'Données projet'!$E$13+1,1))</f>
        <v>773.15074145293738</v>
      </c>
      <c r="CZ197" s="59">
        <f t="shared" ref="CZ197:CZ203" si="208">$CZ$3</f>
        <v>248.49577986312505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97.652646056378771</v>
      </c>
      <c r="DG197" s="21">
        <f>EXP(-LN(2)/25)*DG196+(1-EXP(-LN(2)/25))/(LN(2)/25)*Calculateur!DB197*Calculateur!DD197*VLOOKUP('Données projet'!$B$13,Paramètres!$A$1:$I$89,3,0)*0.475*44/12</f>
        <v>12.916071832588955</v>
      </c>
      <c r="DH197" s="21">
        <f>EXP(-LN(2)/2)*DH196+(1-EXP(-LN(2)/2))/(LN(2)/2)*DB197*DE197*VLOOKUP('Données projet'!$B$13,Paramètres!$A$1:$I$89,3,0)*0.475*44/12</f>
        <v>6.8816001256605713E-5</v>
      </c>
      <c r="DI197" s="22">
        <f t="shared" si="175"/>
        <v>110.56878670496899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3.4106051316484809E-13</v>
      </c>
      <c r="DP197" s="17">
        <f>DO197*VLOOKUP('Données projet'!$B$14,Paramètres!$A$1:$I$89,3,0)*VLOOKUP('Données projet'!$B$14,Paramètres!$A$1:$I$89,5,0)</f>
        <v>1.5961632016114892E-13</v>
      </c>
      <c r="DQ197" s="13">
        <f t="shared" si="176"/>
        <v>2.2708641912150958E-12</v>
      </c>
      <c r="DR197" s="20">
        <f t="shared" si="177"/>
        <v>4.2330868906469593E-12</v>
      </c>
      <c r="DS197" s="59">
        <f t="shared" si="197"/>
        <v>293.33333333333752</v>
      </c>
      <c r="DT197" s="59">
        <f ca="1">AVERAGE(OFFSET($DS$3,0,0,'Données projet'!$E$14+1,1))-AVERAGE(OFFSET($H$3,0,0,'Données projet'!$E$14+1,1))</f>
        <v>293.15557501692803</v>
      </c>
      <c r="DU197" s="59">
        <f t="shared" ref="DU197:DU203" si="209">$DU$3</f>
        <v>237.1930412773068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24.374142671189851</v>
      </c>
      <c r="EB197" s="21">
        <f>EXP(-LN(2)/25)*EB196+(1-EXP(-LN(2)/25))/(LN(2)/25)*Calculateur!DW197*Calculateur!DY197*VLOOKUP('Données projet'!$B$14,Paramètres!$A$1:$I$89,3,0)*0.475*44/12</f>
        <v>3.9677120048420274</v>
      </c>
      <c r="EC197" s="21">
        <f>EXP(-LN(2)/2)*EC196+(1-EXP(-LN(2)/2))/(LN(2)/2)*DW197*DZ197*VLOOKUP('Données projet'!$B$14,Paramètres!$A$1:$I$89,3,0)*0.475*44/12</f>
        <v>5.0625446696207987E-12</v>
      </c>
      <c r="ED197" s="22">
        <f t="shared" si="178"/>
        <v>28.341854676036942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-1.7053025658242404E-13</v>
      </c>
      <c r="EK197" s="17">
        <f>EJ197*VLOOKUP('Données projet'!$B$15,Paramètres!$A$1:$I$89,3,0)*VLOOKUP('Données projet'!$B$15,Paramètres!$A$1:$I$89,5,0)</f>
        <v>-1.0197709343628959E-13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225.86663363047296</v>
      </c>
      <c r="EP197" s="59">
        <f t="shared" ref="EP197:EP203" si="210">$EP$3</f>
        <v>258.08349727304397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7.4857339248217878</v>
      </c>
      <c r="EW197" s="21">
        <f>EXP(-LN(2)/25)*EW196+(1-EXP(-LN(2)/25))/(LN(2)/25)*Calculateur!ER197*Calculateur!ET197*VLOOKUP('Données projet'!$B$15,Paramètres!$A$1:$I$89,3,0)*0.475*44/12</f>
        <v>0.96204537166872006</v>
      </c>
      <c r="EX197" s="21">
        <f>EXP(-LN(2)/2)*EX196+(1-EXP(-LN(2)/2))/(LN(2)/2)*ER197*EU197*VLOOKUP('Données projet'!$B$15,Paramètres!$A$1:$I$89,3,0)*0.475*44/12</f>
        <v>6.0605446223627548E-19</v>
      </c>
      <c r="EY197" s="22">
        <f t="shared" si="181"/>
        <v>8.4477792964905074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388.12151914648013</v>
      </c>
      <c r="T198" s="59">
        <f t="shared" si="204"/>
        <v>481.43684454382793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11.348846694526848</v>
      </c>
      <c r="AA198" s="21">
        <f>EXP(-LN(2)/25)*AA197+(1-EXP(-LN(2)/25))/(LN(2)/25)*Calculateur!V198*Calculateur!X198*VLOOKUP('Données projet'!$B$9,Paramètres!$A$1:$I$89,3,0)*0.475*44/12</f>
        <v>1.3071940787333727</v>
      </c>
      <c r="AB198" s="21">
        <f>EXP(-LN(2)/2)*AB197+(1-EXP(-LN(2)/2))/(LN(2)/2)*V198*Y198*VLOOKUP('Données projet'!$B$9,Paramètres!$A$1:$I$89,3,0)*0.475*44/12</f>
        <v>9.2601713074450754E-20</v>
      </c>
      <c r="AC198" s="22">
        <f t="shared" si="163"/>
        <v>12.656040773260221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-1.3596945791505279E-13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349.71285006949597</v>
      </c>
      <c r="AO198" s="59">
        <f t="shared" si="205"/>
        <v>258.51550516456842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15.716340605478662</v>
      </c>
      <c r="AV198" s="21">
        <f>EXP(-LN(2)/25)*AV197+(1-EXP(-LN(2)/25))/(LN(2)/25)*Calculateur!AQ198*Calculateur!AS198*VLOOKUP('Données projet'!$B$10,Paramètres!$A$1:$I$89,3,0)*0.475*44/12</f>
        <v>2.133659663092057</v>
      </c>
      <c r="AW198" s="21">
        <f>EXP(-LN(2)/2)*AW197+(1-EXP(-LN(2)/2))/(LN(2)/2)*AQ198*AT198*VLOOKUP('Données projet'!$B$10,Paramètres!$A$1:$I$89,3,0)*0.475*44/12</f>
        <v>3.4697396114253769E-16</v>
      </c>
      <c r="AX198" s="21">
        <f t="shared" si="166"/>
        <v>17.850000268570717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8.5265128291212022E-14</v>
      </c>
      <c r="BE198" s="13">
        <f>BD198*VLOOKUP('Données projet'!$B$11,Paramètres!$A$1:$I$89,3,0)*VLOOKUP('Données projet'!$B$11,Paramètres!$A$1:$I$89,5,0)</f>
        <v>8.9119112089974823E-14</v>
      </c>
      <c r="BF198" s="13">
        <f t="shared" si="167"/>
        <v>1.3568952080113142E-12</v>
      </c>
      <c r="BG198" s="20">
        <f t="shared" si="168"/>
        <v>2.5184749408430782E-12</v>
      </c>
      <c r="BH198" s="59">
        <f t="shared" si="194"/>
        <v>293.33333333333582</v>
      </c>
      <c r="BI198" s="59">
        <f ca="1">AVERAGE(OFFSET($BH$3,0,0,'Données projet'!$E$11+1,1))-AVERAGE(OFFSET($H$3,0,0,'Données projet'!$E$11+1,1))</f>
        <v>260.74709892624571</v>
      </c>
      <c r="BJ198" s="59">
        <f t="shared" si="206"/>
        <v>237.17381692184887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2.7121957255133324</v>
      </c>
      <c r="BQ198" s="21">
        <f>EXP(-LN(2)/25)*BQ197+(1-EXP(-LN(2)/25))/(LN(2)/25)*Calculateur!BL198*Calculateur!BN198*VLOOKUP('Données projet'!$B$11,Paramètres!$A$1:$I$89,3,0)*0.475*44/12</f>
        <v>3.2627866651747999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5.9749823906881323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3.979039320256561E-13</v>
      </c>
      <c r="BZ198" s="13">
        <f>BY198*VLOOKUP('Données projet'!$B$12,Paramètres!$A$1:$I$89,3,0)*VLOOKUP('Données projet'!$B$12,Paramètres!$A$1:$I$89,5,0)</f>
        <v>3.6002347769681362E-13</v>
      </c>
      <c r="CA198" s="13">
        <f t="shared" si="170"/>
        <v>4.6593569189922594E-12</v>
      </c>
      <c r="CB198" s="20">
        <f t="shared" si="171"/>
        <v>8.7420875242334695E-12</v>
      </c>
      <c r="CC198" s="59">
        <f t="shared" si="195"/>
        <v>293.33333333334207</v>
      </c>
      <c r="CD198" s="59">
        <f ca="1">AVERAGE(OFFSET($CC$3,0,0,'Données projet'!$E$12+1,1))-AVERAGE(OFFSET($H$3,0,0,'Données projet'!$E$12+1,1))</f>
        <v>695.0879239758051</v>
      </c>
      <c r="CE198" s="59">
        <f t="shared" si="207"/>
        <v>226.22150997227476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85.427519373967186</v>
      </c>
      <c r="CL198" s="21">
        <f>EXP(-LN(2)/25)*CL197+(1-EXP(-LN(2)/25))/(LN(2)/25)*Calculateur!CG198*Calculateur!CI198*VLOOKUP('Données projet'!$B$12,Paramètres!$A$1:$I$89,3,0)*0.475*44/12</f>
        <v>11.209955504735484</v>
      </c>
      <c r="CM198" s="21">
        <f>EXP(-LN(2)/2)*CM197+(1-EXP(-LN(2)/2))/(LN(2)/2)*CG198*CJ198*VLOOKUP('Données projet'!$B$12,Paramètres!$A$1:$I$89,3,0)*0.475*44/12</f>
        <v>4.3419925327321499E-5</v>
      </c>
      <c r="CN198" s="22">
        <f t="shared" si="172"/>
        <v>96.637518298628009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3.979039320256561E-13</v>
      </c>
      <c r="CU198" s="17">
        <f>CT198*VLOOKUP('Données projet'!$B$13,Paramètres!$A$1:$I$89,3,0)*VLOOKUP('Données projet'!$B$13,Paramètres!$A$1:$I$89,5,0)</f>
        <v>4.0347458707401528E-13</v>
      </c>
      <c r="CV198" s="13">
        <f t="shared" si="173"/>
        <v>5.1528944501892313E-12</v>
      </c>
      <c r="CW198" s="20">
        <f t="shared" si="174"/>
        <v>9.6773427399001538E-12</v>
      </c>
      <c r="CX198" s="59">
        <f t="shared" si="196"/>
        <v>293.33333333334298</v>
      </c>
      <c r="CY198" s="59">
        <f ca="1">AVERAGE(OFFSET($CX$3,0,0,'Données projet'!$E$13+1,1))-AVERAGE(OFFSET($H$3,0,0,'Données projet'!$E$13+1,1))</f>
        <v>773.15074145293738</v>
      </c>
      <c r="CZ198" s="59">
        <f t="shared" si="208"/>
        <v>248.49577986312505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95.737737229445997</v>
      </c>
      <c r="DG198" s="21">
        <f>EXP(-LN(2)/25)*DG197+(1-EXP(-LN(2)/25))/(LN(2)/25)*Calculateur!DB198*Calculateur!DD198*VLOOKUP('Données projet'!$B$13,Paramètres!$A$1:$I$89,3,0)*0.475*44/12</f>
        <v>12.562881169100113</v>
      </c>
      <c r="DH198" s="21">
        <f>EXP(-LN(2)/2)*DH197+(1-EXP(-LN(2)/2))/(LN(2)/2)*DB198*DE198*VLOOKUP('Données projet'!$B$13,Paramètres!$A$1:$I$89,3,0)*0.475*44/12</f>
        <v>4.8660261142687876E-5</v>
      </c>
      <c r="DI198" s="22">
        <f t="shared" si="175"/>
        <v>108.30066705880725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3.4106051316484809E-13</v>
      </c>
      <c r="DP198" s="17">
        <f>DO198*VLOOKUP('Données projet'!$B$14,Paramètres!$A$1:$I$89,3,0)*VLOOKUP('Données projet'!$B$14,Paramètres!$A$1:$I$89,5,0)</f>
        <v>1.5961632016114892E-13</v>
      </c>
      <c r="DQ198" s="13">
        <f t="shared" si="176"/>
        <v>2.2708641912150958E-12</v>
      </c>
      <c r="DR198" s="20">
        <f t="shared" si="177"/>
        <v>4.2330868906469593E-12</v>
      </c>
      <c r="DS198" s="59">
        <f t="shared" si="197"/>
        <v>293.33333333333752</v>
      </c>
      <c r="DT198" s="59">
        <f ca="1">AVERAGE(OFFSET($DS$3,0,0,'Données projet'!$E$14+1,1))-AVERAGE(OFFSET($H$3,0,0,'Données projet'!$E$14+1,1))</f>
        <v>293.15557501692803</v>
      </c>
      <c r="DU198" s="59">
        <f t="shared" si="209"/>
        <v>237.1930412773068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23.896180600166876</v>
      </c>
      <c r="EB198" s="21">
        <f>EXP(-LN(2)/25)*EB197+(1-EXP(-LN(2)/25))/(LN(2)/25)*Calculateur!DW198*Calculateur!DY198*VLOOKUP('Données projet'!$B$14,Paramètres!$A$1:$I$89,3,0)*0.475*44/12</f>
        <v>3.8592147114167159</v>
      </c>
      <c r="EC198" s="21">
        <f>EXP(-LN(2)/2)*EC197+(1-EXP(-LN(2)/2))/(LN(2)/2)*DW198*DZ198*VLOOKUP('Données projet'!$B$14,Paramètres!$A$1:$I$89,3,0)*0.475*44/12</f>
        <v>3.579759665948677E-12</v>
      </c>
      <c r="ED198" s="22">
        <f t="shared" si="178"/>
        <v>27.755395311587172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-1.7053025658242404E-13</v>
      </c>
      <c r="EK198" s="17">
        <f>EJ198*VLOOKUP('Données projet'!$B$15,Paramètres!$A$1:$I$89,3,0)*VLOOKUP('Données projet'!$B$15,Paramètres!$A$1:$I$89,5,0)</f>
        <v>-1.0197709343628959E-13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225.86663363047296</v>
      </c>
      <c r="EP198" s="59">
        <f t="shared" si="210"/>
        <v>258.08349727304397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7.3389432484028871</v>
      </c>
      <c r="EW198" s="21">
        <f>EXP(-LN(2)/25)*EW197+(1-EXP(-LN(2)/25))/(LN(2)/25)*Calculateur!ER198*Calculateur!ET198*VLOOKUP('Données projet'!$B$15,Paramètres!$A$1:$I$89,3,0)*0.475*44/12</f>
        <v>0.93573819038867156</v>
      </c>
      <c r="EX198" s="21">
        <f>EXP(-LN(2)/2)*EX197+(1-EXP(-LN(2)/2))/(LN(2)/2)*ER198*EU198*VLOOKUP('Données projet'!$B$15,Paramètres!$A$1:$I$89,3,0)*0.475*44/12</f>
        <v>4.285452200156368E-19</v>
      </c>
      <c r="EY198" s="22">
        <f t="shared" si="181"/>
        <v>8.2746814387915588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388.12151914648013</v>
      </c>
      <c r="T199" s="59">
        <f t="shared" si="204"/>
        <v>481.43684454382793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11.126302732960159</v>
      </c>
      <c r="AA199" s="21">
        <f>EXP(-LN(2)/25)*AA198+(1-EXP(-LN(2)/25))/(LN(2)/25)*Calculateur!V199*Calculateur!X199*VLOOKUP('Données projet'!$B$9,Paramètres!$A$1:$I$89,3,0)*0.475*44/12</f>
        <v>1.2714487879080596</v>
      </c>
      <c r="AB199" s="21">
        <f>EXP(-LN(2)/2)*AB198+(1-EXP(-LN(2)/2))/(LN(2)/2)*V199*Y199*VLOOKUP('Données projet'!$B$9,Paramètres!$A$1:$I$89,3,0)*0.475*44/12</f>
        <v>6.5479299264435106E-20</v>
      </c>
      <c r="AC199" s="22">
        <f t="shared" si="163"/>
        <v>12.397751520868219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-1.3596945791505279E-13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349.71285006949597</v>
      </c>
      <c r="AO199" s="59">
        <f t="shared" si="205"/>
        <v>258.51550516456842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15.408152752226453</v>
      </c>
      <c r="AV199" s="21">
        <f>EXP(-LN(2)/25)*AV198+(1-EXP(-LN(2)/25))/(LN(2)/25)*Calculateur!AQ199*Calculateur!AS199*VLOOKUP('Données projet'!$B$10,Paramètres!$A$1:$I$89,3,0)*0.475*44/12</f>
        <v>2.0753146274005196</v>
      </c>
      <c r="AW199" s="21">
        <f>EXP(-LN(2)/2)*AW198+(1-EXP(-LN(2)/2))/(LN(2)/2)*AQ199*AT199*VLOOKUP('Données projet'!$B$10,Paramètres!$A$1:$I$89,3,0)*0.475*44/12</f>
        <v>2.4534764081904604E-16</v>
      </c>
      <c r="AX199" s="21">
        <f t="shared" si="166"/>
        <v>17.483467379626973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8.5265128291212022E-14</v>
      </c>
      <c r="BE199" s="13">
        <f>BD199*VLOOKUP('Données projet'!$B$11,Paramètres!$A$1:$I$89,3,0)*VLOOKUP('Données projet'!$B$11,Paramètres!$A$1:$I$89,5,0)</f>
        <v>8.9119112089974823E-14</v>
      </c>
      <c r="BF199" s="13">
        <f t="shared" si="167"/>
        <v>1.3568952080113142E-12</v>
      </c>
      <c r="BG199" s="20">
        <f t="shared" si="168"/>
        <v>2.5184749408430782E-12</v>
      </c>
      <c r="BH199" s="59">
        <f t="shared" si="194"/>
        <v>293.33333333333582</v>
      </c>
      <c r="BI199" s="59">
        <f ca="1">AVERAGE(OFFSET($BH$3,0,0,'Données projet'!$E$11+1,1))-AVERAGE(OFFSET($H$3,0,0,'Données projet'!$E$11+1,1))</f>
        <v>260.74709892624571</v>
      </c>
      <c r="BJ199" s="59">
        <f t="shared" si="206"/>
        <v>237.17381692184887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2.6590112216120625</v>
      </c>
      <c r="BQ199" s="21">
        <f>EXP(-LN(2)/25)*BQ198+(1-EXP(-LN(2)/25))/(LN(2)/25)*Calculateur!BL199*Calculateur!BN199*VLOOKUP('Données projet'!$B$11,Paramètres!$A$1:$I$89,3,0)*0.475*44/12</f>
        <v>3.1735655922331016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5.8325768138451641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3.979039320256561E-13</v>
      </c>
      <c r="BZ199" s="13">
        <f>BY199*VLOOKUP('Données projet'!$B$12,Paramètres!$A$1:$I$89,3,0)*VLOOKUP('Données projet'!$B$12,Paramètres!$A$1:$I$89,5,0)</f>
        <v>3.6002347769681362E-13</v>
      </c>
      <c r="CA199" s="13">
        <f t="shared" si="170"/>
        <v>4.6593569189922594E-12</v>
      </c>
      <c r="CB199" s="20">
        <f t="shared" si="171"/>
        <v>8.7420875242334695E-12</v>
      </c>
      <c r="CC199" s="59">
        <f t="shared" si="195"/>
        <v>293.33333333334207</v>
      </c>
      <c r="CD199" s="59">
        <f ca="1">AVERAGE(OFFSET($CC$3,0,0,'Données projet'!$E$12+1,1))-AVERAGE(OFFSET($H$3,0,0,'Données projet'!$E$12+1,1))</f>
        <v>695.0879239758051</v>
      </c>
      <c r="CE199" s="59">
        <f t="shared" si="207"/>
        <v>226.22150997227476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83.752337824685497</v>
      </c>
      <c r="CL199" s="21">
        <f>EXP(-LN(2)/25)*CL198+(1-EXP(-LN(2)/25))/(LN(2)/25)*Calculateur!CG199*Calculateur!CI199*VLOOKUP('Données projet'!$B$12,Paramètres!$A$1:$I$89,3,0)*0.475*44/12</f>
        <v>10.903418681952553</v>
      </c>
      <c r="CM199" s="21">
        <f>EXP(-LN(2)/2)*CM198+(1-EXP(-LN(2)/2))/(LN(2)/2)*CG199*CJ199*VLOOKUP('Données projet'!$B$12,Paramètres!$A$1:$I$89,3,0)*0.475*44/12</f>
        <v>3.0702523637562556E-5</v>
      </c>
      <c r="CN199" s="22">
        <f t="shared" si="172"/>
        <v>94.655787209161687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3.979039320256561E-13</v>
      </c>
      <c r="CU199" s="17">
        <f>CT199*VLOOKUP('Données projet'!$B$13,Paramètres!$A$1:$I$89,3,0)*VLOOKUP('Données projet'!$B$13,Paramètres!$A$1:$I$89,5,0)</f>
        <v>4.0347458707401528E-13</v>
      </c>
      <c r="CV199" s="13">
        <f t="shared" si="173"/>
        <v>5.1528944501892313E-12</v>
      </c>
      <c r="CW199" s="20">
        <f t="shared" si="174"/>
        <v>9.6773427399001538E-12</v>
      </c>
      <c r="CX199" s="59">
        <f t="shared" si="196"/>
        <v>293.33333333334298</v>
      </c>
      <c r="CY199" s="59">
        <f ca="1">AVERAGE(OFFSET($CX$3,0,0,'Données projet'!$E$13+1,1))-AVERAGE(OFFSET($H$3,0,0,'Données projet'!$E$13+1,1))</f>
        <v>773.15074145293738</v>
      </c>
      <c r="CZ199" s="59">
        <f t="shared" si="208"/>
        <v>248.49577986312505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93.860378596630312</v>
      </c>
      <c r="DG199" s="21">
        <f>EXP(-LN(2)/25)*DG198+(1-EXP(-LN(2)/25))/(LN(2)/25)*Calculateur!DB199*Calculateur!DD199*VLOOKUP('Données projet'!$B$13,Paramètres!$A$1:$I$89,3,0)*0.475*44/12</f>
        <v>12.219348522877862</v>
      </c>
      <c r="DH199" s="21">
        <f>EXP(-LN(2)/2)*DH198+(1-EXP(-LN(2)/2))/(LN(2)/2)*DB199*DE199*VLOOKUP('Données projet'!$B$13,Paramètres!$A$1:$I$89,3,0)*0.475*44/12</f>
        <v>3.4408000628302857E-5</v>
      </c>
      <c r="DI199" s="22">
        <f t="shared" si="175"/>
        <v>106.07976152750881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3.4106051316484809E-13</v>
      </c>
      <c r="DP199" s="17">
        <f>DO199*VLOOKUP('Données projet'!$B$14,Paramètres!$A$1:$I$89,3,0)*VLOOKUP('Données projet'!$B$14,Paramètres!$A$1:$I$89,5,0)</f>
        <v>1.5961632016114892E-13</v>
      </c>
      <c r="DQ199" s="13">
        <f t="shared" si="176"/>
        <v>2.2708641912150958E-12</v>
      </c>
      <c r="DR199" s="20">
        <f t="shared" si="177"/>
        <v>4.2330868906469593E-12</v>
      </c>
      <c r="DS199" s="59">
        <f t="shared" si="197"/>
        <v>293.33333333333752</v>
      </c>
      <c r="DT199" s="59">
        <f ca="1">AVERAGE(OFFSET($DS$3,0,0,'Données projet'!$E$14+1,1))-AVERAGE(OFFSET($H$3,0,0,'Données projet'!$E$14+1,1))</f>
        <v>293.15557501692803</v>
      </c>
      <c r="DU199" s="59">
        <f t="shared" si="209"/>
        <v>237.1930412773068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23.427591073828584</v>
      </c>
      <c r="EB199" s="21">
        <f>EXP(-LN(2)/25)*EB198+(1-EXP(-LN(2)/25))/(LN(2)/25)*Calculateur!DW199*Calculateur!DY199*VLOOKUP('Données projet'!$B$14,Paramètres!$A$1:$I$89,3,0)*0.475*44/12</f>
        <v>3.7536842821857443</v>
      </c>
      <c r="EC199" s="21">
        <f>EXP(-LN(2)/2)*EC198+(1-EXP(-LN(2)/2))/(LN(2)/2)*DW199*DZ199*VLOOKUP('Données projet'!$B$14,Paramètres!$A$1:$I$89,3,0)*0.475*44/12</f>
        <v>2.5312723348103997E-12</v>
      </c>
      <c r="ED199" s="22">
        <f t="shared" si="178"/>
        <v>27.181275356016858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-1.7053025658242404E-13</v>
      </c>
      <c r="EK199" s="17">
        <f>EJ199*VLOOKUP('Données projet'!$B$15,Paramètres!$A$1:$I$89,3,0)*VLOOKUP('Données projet'!$B$15,Paramètres!$A$1:$I$89,5,0)</f>
        <v>-1.0197709343628959E-13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225.86663363047296</v>
      </c>
      <c r="EP199" s="59">
        <f t="shared" si="210"/>
        <v>258.08349727304397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7.1950310476150889</v>
      </c>
      <c r="EW199" s="21">
        <f>EXP(-LN(2)/25)*EW198+(1-EXP(-LN(2)/25))/(LN(2)/25)*Calculateur!ER199*Calculateur!ET199*VLOOKUP('Données projet'!$B$15,Paramètres!$A$1:$I$89,3,0)*0.475*44/12</f>
        <v>0.91015038036416052</v>
      </c>
      <c r="EX199" s="21">
        <f>EXP(-LN(2)/2)*EX198+(1-EXP(-LN(2)/2))/(LN(2)/2)*ER199*EU199*VLOOKUP('Données projet'!$B$15,Paramètres!$A$1:$I$89,3,0)*0.475*44/12</f>
        <v>3.0302723111813779E-19</v>
      </c>
      <c r="EY199" s="22">
        <f t="shared" si="181"/>
        <v>8.1051814279792502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388.12151914648013</v>
      </c>
      <c r="T200" s="59">
        <f t="shared" si="204"/>
        <v>481.43684454382793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10.908122722741378</v>
      </c>
      <c r="AA200" s="21">
        <f>EXP(-LN(2)/25)*AA199+(1-EXP(-LN(2)/25))/(LN(2)/25)*Calculateur!V200*Calculateur!X200*VLOOKUP('Données projet'!$B$9,Paramètres!$A$1:$I$89,3,0)*0.475*44/12</f>
        <v>1.2366809539401278</v>
      </c>
      <c r="AB200" s="21">
        <f>EXP(-LN(2)/2)*AB199+(1-EXP(-LN(2)/2))/(LN(2)/2)*V200*Y200*VLOOKUP('Données projet'!$B$9,Paramètres!$A$1:$I$89,3,0)*0.475*44/12</f>
        <v>4.6300856537225377E-20</v>
      </c>
      <c r="AC200" s="22">
        <f t="shared" si="163"/>
        <v>12.144803676681507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-1.3596945791505279E-13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349.71285006949597</v>
      </c>
      <c r="AO200" s="59">
        <f t="shared" si="205"/>
        <v>258.51550516456842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15.106008274800491</v>
      </c>
      <c r="AV200" s="21">
        <f>EXP(-LN(2)/25)*AV199+(1-EXP(-LN(2)/25))/(LN(2)/25)*Calculateur!AQ200*Calculateur!AS200*VLOOKUP('Données projet'!$B$10,Paramètres!$A$1:$I$89,3,0)*0.475*44/12</f>
        <v>2.0185650397781996</v>
      </c>
      <c r="AW200" s="21">
        <f>EXP(-LN(2)/2)*AW199+(1-EXP(-LN(2)/2))/(LN(2)/2)*AQ200*AT200*VLOOKUP('Données projet'!$B$10,Paramètres!$A$1:$I$89,3,0)*0.475*44/12</f>
        <v>1.7348698057126885E-16</v>
      </c>
      <c r="AX200" s="21">
        <f t="shared" si="166"/>
        <v>17.12457331457869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8.5265128291212022E-14</v>
      </c>
      <c r="BE200" s="13">
        <f>BD200*VLOOKUP('Données projet'!$B$11,Paramètres!$A$1:$I$89,3,0)*VLOOKUP('Données projet'!$B$11,Paramètres!$A$1:$I$89,5,0)</f>
        <v>8.9119112089974823E-14</v>
      </c>
      <c r="BF200" s="13">
        <f t="shared" si="167"/>
        <v>1.3568952080113142E-12</v>
      </c>
      <c r="BG200" s="20">
        <f t="shared" si="168"/>
        <v>2.5184749408430782E-12</v>
      </c>
      <c r="BH200" s="59">
        <f t="shared" si="194"/>
        <v>293.33333333333582</v>
      </c>
      <c r="BI200" s="59">
        <f ca="1">AVERAGE(OFFSET($BH$3,0,0,'Données projet'!$E$11+1,1))-AVERAGE(OFFSET($H$3,0,0,'Données projet'!$E$11+1,1))</f>
        <v>260.74709892624571</v>
      </c>
      <c r="BJ200" s="59">
        <f t="shared" si="206"/>
        <v>237.17381692184887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2.606869633392952</v>
      </c>
      <c r="BQ200" s="21">
        <f>EXP(-LN(2)/25)*BQ199+(1-EXP(-LN(2)/25))/(LN(2)/25)*Calculateur!BL200*Calculateur!BN200*VLOOKUP('Données projet'!$B$11,Paramètres!$A$1:$I$89,3,0)*0.475*44/12</f>
        <v>3.0867842742229263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5.6936539076158788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3.979039320256561E-13</v>
      </c>
      <c r="BZ200" s="13">
        <f>BY200*VLOOKUP('Données projet'!$B$12,Paramètres!$A$1:$I$89,3,0)*VLOOKUP('Données projet'!$B$12,Paramètres!$A$1:$I$89,5,0)</f>
        <v>3.6002347769681362E-13</v>
      </c>
      <c r="CA200" s="13">
        <f t="shared" si="170"/>
        <v>4.6593569189922594E-12</v>
      </c>
      <c r="CB200" s="20">
        <f t="shared" si="171"/>
        <v>8.7420875242334695E-12</v>
      </c>
      <c r="CC200" s="59">
        <f t="shared" si="195"/>
        <v>293.33333333334207</v>
      </c>
      <c r="CD200" s="59">
        <f ca="1">AVERAGE(OFFSET($CC$3,0,0,'Données projet'!$E$12+1,1))-AVERAGE(OFFSET($H$3,0,0,'Données projet'!$E$12+1,1))</f>
        <v>695.0879239758051</v>
      </c>
      <c r="CE200" s="59">
        <f t="shared" si="207"/>
        <v>226.22150997227476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82.110005563825368</v>
      </c>
      <c r="CL200" s="21">
        <f>EXP(-LN(2)/25)*CL199+(1-EXP(-LN(2)/25))/(LN(2)/25)*Calculateur!CG200*Calculateur!CI200*VLOOKUP('Données projet'!$B$12,Paramètres!$A$1:$I$89,3,0)*0.475*44/12</f>
        <v>10.605264124708693</v>
      </c>
      <c r="CM200" s="21">
        <f>EXP(-LN(2)/2)*CM199+(1-EXP(-LN(2)/2))/(LN(2)/2)*CG200*CJ200*VLOOKUP('Données projet'!$B$12,Paramètres!$A$1:$I$89,3,0)*0.475*44/12</f>
        <v>2.170996266366075E-5</v>
      </c>
      <c r="CN200" s="22">
        <f t="shared" si="172"/>
        <v>92.715291398496731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3.979039320256561E-13</v>
      </c>
      <c r="CU200" s="17">
        <f>CT200*VLOOKUP('Données projet'!$B$13,Paramètres!$A$1:$I$89,3,0)*VLOOKUP('Données projet'!$B$13,Paramètres!$A$1:$I$89,5,0)</f>
        <v>4.0347458707401528E-13</v>
      </c>
      <c r="CV200" s="13">
        <f t="shared" si="173"/>
        <v>5.1528944501892313E-12</v>
      </c>
      <c r="CW200" s="20">
        <f t="shared" si="174"/>
        <v>9.6773427399001538E-12</v>
      </c>
      <c r="CX200" s="59">
        <f t="shared" si="196"/>
        <v>293.33333333334298</v>
      </c>
      <c r="CY200" s="59">
        <f ca="1">AVERAGE(OFFSET($CX$3,0,0,'Données projet'!$E$13+1,1))-AVERAGE(OFFSET($H$3,0,0,'Données projet'!$E$13+1,1))</f>
        <v>773.15074145293738</v>
      </c>
      <c r="CZ200" s="59">
        <f t="shared" si="208"/>
        <v>248.49577986312505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92.019833821528451</v>
      </c>
      <c r="DG200" s="21">
        <f>EXP(-LN(2)/25)*DG199+(1-EXP(-LN(2)/25))/(LN(2)/25)*Calculateur!DB200*Calculateur!DD200*VLOOKUP('Données projet'!$B$13,Paramètres!$A$1:$I$89,3,0)*0.475*44/12</f>
        <v>11.885209794932155</v>
      </c>
      <c r="DH200" s="21">
        <f>EXP(-LN(2)/2)*DH199+(1-EXP(-LN(2)/2))/(LN(2)/2)*DB200*DE200*VLOOKUP('Données projet'!$B$13,Paramètres!$A$1:$I$89,3,0)*0.475*44/12</f>
        <v>2.4330130571343938E-5</v>
      </c>
      <c r="DI200" s="22">
        <f t="shared" si="175"/>
        <v>103.90506794659117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3.4106051316484809E-13</v>
      </c>
      <c r="DP200" s="17">
        <f>DO200*VLOOKUP('Données projet'!$B$14,Paramètres!$A$1:$I$89,3,0)*VLOOKUP('Données projet'!$B$14,Paramètres!$A$1:$I$89,5,0)</f>
        <v>1.5961632016114892E-13</v>
      </c>
      <c r="DQ200" s="13">
        <f t="shared" si="176"/>
        <v>2.2708641912150958E-12</v>
      </c>
      <c r="DR200" s="20">
        <f t="shared" si="177"/>
        <v>4.2330868906469593E-12</v>
      </c>
      <c r="DS200" s="59">
        <f t="shared" si="197"/>
        <v>293.33333333333752</v>
      </c>
      <c r="DT200" s="59">
        <f ca="1">AVERAGE(OFFSET($DS$3,0,0,'Données projet'!$E$14+1,1))-AVERAGE(OFFSET($H$3,0,0,'Données projet'!$E$14+1,1))</f>
        <v>293.15557501692803</v>
      </c>
      <c r="DU200" s="59">
        <f t="shared" si="209"/>
        <v>237.1930412773068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22.968190302290399</v>
      </c>
      <c r="EB200" s="21">
        <f>EXP(-LN(2)/25)*EB199+(1-EXP(-LN(2)/25))/(LN(2)/25)*Calculateur!DW200*Calculateur!DY200*VLOOKUP('Données projet'!$B$14,Paramètres!$A$1:$I$89,3,0)*0.475*44/12</f>
        <v>3.6510395880916979</v>
      </c>
      <c r="EC200" s="21">
        <f>EXP(-LN(2)/2)*EC199+(1-EXP(-LN(2)/2))/(LN(2)/2)*DW200*DZ200*VLOOKUP('Données projet'!$B$14,Paramètres!$A$1:$I$89,3,0)*0.475*44/12</f>
        <v>1.7898798329743387E-12</v>
      </c>
      <c r="ED200" s="22">
        <f t="shared" si="178"/>
        <v>26.619229890383888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-1.7053025658242404E-13</v>
      </c>
      <c r="EK200" s="17">
        <f>EJ200*VLOOKUP('Données projet'!$B$15,Paramètres!$A$1:$I$89,3,0)*VLOOKUP('Données projet'!$B$15,Paramètres!$A$1:$I$89,5,0)</f>
        <v>-1.0197709343628959E-13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225.86663363047296</v>
      </c>
      <c r="EP200" s="59">
        <f t="shared" si="210"/>
        <v>258.08349727304397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7.0539408773069638</v>
      </c>
      <c r="EW200" s="21">
        <f>EXP(-LN(2)/25)*EW199+(1-EXP(-LN(2)/25))/(LN(2)/25)*Calculateur!ER200*Calculateur!ET200*VLOOKUP('Données projet'!$B$15,Paramètres!$A$1:$I$89,3,0)*0.475*44/12</f>
        <v>0.88526227035037419</v>
      </c>
      <c r="EX200" s="21">
        <f>EXP(-LN(2)/2)*EX199+(1-EXP(-LN(2)/2))/(LN(2)/2)*ER200*EU200*VLOOKUP('Données projet'!$B$15,Paramètres!$A$1:$I$89,3,0)*0.475*44/12</f>
        <v>2.1427261000781842E-19</v>
      </c>
      <c r="EY200" s="22">
        <f t="shared" si="181"/>
        <v>7.9392031476573379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388.12151914648013</v>
      </c>
      <c r="T201" s="59">
        <f t="shared" si="204"/>
        <v>481.43684454382793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10.694221089446323</v>
      </c>
      <c r="AA201" s="21">
        <f>EXP(-LN(2)/25)*AA200+(1-EXP(-LN(2)/25))/(LN(2)/25)*Calculateur!V201*Calculateur!X201*VLOOKUP('Données projet'!$B$9,Paramètres!$A$1:$I$89,3,0)*0.475*44/12</f>
        <v>1.2028638482204101</v>
      </c>
      <c r="AB201" s="21">
        <f>EXP(-LN(2)/2)*AB200+(1-EXP(-LN(2)/2))/(LN(2)/2)*V201*Y201*VLOOKUP('Données projet'!$B$9,Paramètres!$A$1:$I$89,3,0)*0.475*44/12</f>
        <v>3.2739649632217553E-20</v>
      </c>
      <c r="AC201" s="22">
        <f t="shared" si="163"/>
        <v>11.897084937666733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-1.3596945791505279E-13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349.71285006949597</v>
      </c>
      <c r="AO201" s="59">
        <f t="shared" si="205"/>
        <v>258.51550516456842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14.809788666286918</v>
      </c>
      <c r="AV201" s="21">
        <f>EXP(-LN(2)/25)*AV200+(1-EXP(-LN(2)/25))/(LN(2)/25)*Calculateur!AQ201*Calculateur!AS201*VLOOKUP('Données projet'!$B$10,Paramètres!$A$1:$I$89,3,0)*0.475*44/12</f>
        <v>1.9633672726137428</v>
      </c>
      <c r="AW201" s="21">
        <f>EXP(-LN(2)/2)*AW200+(1-EXP(-LN(2)/2))/(LN(2)/2)*AQ201*AT201*VLOOKUP('Données projet'!$B$10,Paramètres!$A$1:$I$89,3,0)*0.475*44/12</f>
        <v>1.2267382040952302E-16</v>
      </c>
      <c r="AX201" s="21">
        <f t="shared" si="166"/>
        <v>16.773155938900661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8.5265128291212022E-14</v>
      </c>
      <c r="BE201" s="13">
        <f>BD201*VLOOKUP('Données projet'!$B$11,Paramètres!$A$1:$I$89,3,0)*VLOOKUP('Données projet'!$B$11,Paramètres!$A$1:$I$89,5,0)</f>
        <v>8.9119112089974823E-14</v>
      </c>
      <c r="BF201" s="13">
        <f t="shared" si="167"/>
        <v>1.3568952080113142E-12</v>
      </c>
      <c r="BG201" s="20">
        <f t="shared" si="168"/>
        <v>2.5184749408430782E-12</v>
      </c>
      <c r="BH201" s="59">
        <f t="shared" si="194"/>
        <v>293.33333333333582</v>
      </c>
      <c r="BI201" s="59">
        <f ca="1">AVERAGE(OFFSET($BH$3,0,0,'Données projet'!$E$11+1,1))-AVERAGE(OFFSET($H$3,0,0,'Données projet'!$E$11+1,1))</f>
        <v>260.74709892624571</v>
      </c>
      <c r="BJ201" s="59">
        <f t="shared" si="206"/>
        <v>237.17381692184887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2.5557505099155899</v>
      </c>
      <c r="BQ201" s="21">
        <f>EXP(-LN(2)/25)*BQ200+(1-EXP(-LN(2)/25))/(LN(2)/25)*Calculateur!BL201*Calculateur!BN201*VLOOKUP('Données projet'!$B$11,Paramètres!$A$1:$I$89,3,0)*0.475*44/12</f>
        <v>3.0023759959173706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5.558126505832961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3.979039320256561E-13</v>
      </c>
      <c r="BZ201" s="13">
        <f>BY201*VLOOKUP('Données projet'!$B$12,Paramètres!$A$1:$I$89,3,0)*VLOOKUP('Données projet'!$B$12,Paramètres!$A$1:$I$89,5,0)</f>
        <v>3.6002347769681362E-13</v>
      </c>
      <c r="CA201" s="13">
        <f t="shared" si="170"/>
        <v>4.6593569189922594E-12</v>
      </c>
      <c r="CB201" s="20">
        <f t="shared" si="171"/>
        <v>8.7420875242334695E-12</v>
      </c>
      <c r="CC201" s="59">
        <f t="shared" si="195"/>
        <v>293.33333333334207</v>
      </c>
      <c r="CD201" s="59">
        <f ca="1">AVERAGE(OFFSET($CC$3,0,0,'Données projet'!$E$12+1,1))-AVERAGE(OFFSET($H$3,0,0,'Données projet'!$E$12+1,1))</f>
        <v>695.0879239758051</v>
      </c>
      <c r="CE201" s="59">
        <f t="shared" si="207"/>
        <v>226.22150997227476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80.499878436876941</v>
      </c>
      <c r="CL201" s="21">
        <f>EXP(-LN(2)/25)*CL200+(1-EXP(-LN(2)/25))/(LN(2)/25)*Calculateur!CG201*Calculateur!CI201*VLOOKUP('Données projet'!$B$12,Paramètres!$A$1:$I$89,3,0)*0.475*44/12</f>
        <v>10.315262619511932</v>
      </c>
      <c r="CM201" s="21">
        <f>EXP(-LN(2)/2)*CM200+(1-EXP(-LN(2)/2))/(LN(2)/2)*CG201*CJ201*VLOOKUP('Données projet'!$B$12,Paramètres!$A$1:$I$89,3,0)*0.475*44/12</f>
        <v>1.5351261818781278E-5</v>
      </c>
      <c r="CN201" s="22">
        <f t="shared" si="172"/>
        <v>90.81515640765069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3.979039320256561E-13</v>
      </c>
      <c r="CU201" s="17">
        <f>CT201*VLOOKUP('Données projet'!$B$13,Paramètres!$A$1:$I$89,3,0)*VLOOKUP('Données projet'!$B$13,Paramètres!$A$1:$I$89,5,0)</f>
        <v>4.0347458707401528E-13</v>
      </c>
      <c r="CV201" s="13">
        <f t="shared" si="173"/>
        <v>5.1528944501892313E-12</v>
      </c>
      <c r="CW201" s="20">
        <f t="shared" si="174"/>
        <v>9.6773427399001538E-12</v>
      </c>
      <c r="CX201" s="59">
        <f t="shared" si="196"/>
        <v>293.33333333334298</v>
      </c>
      <c r="CY201" s="59">
        <f ca="1">AVERAGE(OFFSET($CX$3,0,0,'Données projet'!$E$13+1,1))-AVERAGE(OFFSET($H$3,0,0,'Données projet'!$E$13+1,1))</f>
        <v>773.15074145293738</v>
      </c>
      <c r="CZ201" s="59">
        <f t="shared" si="208"/>
        <v>248.49577986312505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90.215381006844865</v>
      </c>
      <c r="DG201" s="21">
        <f>EXP(-LN(2)/25)*DG200+(1-EXP(-LN(2)/25))/(LN(2)/25)*Calculateur!DB201*Calculateur!DD201*VLOOKUP('Données projet'!$B$13,Paramètres!$A$1:$I$89,3,0)*0.475*44/12</f>
        <v>11.560208108073716</v>
      </c>
      <c r="DH201" s="21">
        <f>EXP(-LN(2)/2)*DH200+(1-EXP(-LN(2)/2))/(LN(2)/2)*DB201*DE201*VLOOKUP('Données projet'!$B$13,Paramètres!$A$1:$I$89,3,0)*0.475*44/12</f>
        <v>1.7204000314151428E-5</v>
      </c>
      <c r="DI201" s="22">
        <f t="shared" si="175"/>
        <v>101.77560631891889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3.4106051316484809E-13</v>
      </c>
      <c r="DP201" s="17">
        <f>DO201*VLOOKUP('Données projet'!$B$14,Paramètres!$A$1:$I$89,3,0)*VLOOKUP('Données projet'!$B$14,Paramètres!$A$1:$I$89,5,0)</f>
        <v>1.5961632016114892E-13</v>
      </c>
      <c r="DQ201" s="13">
        <f t="shared" si="176"/>
        <v>2.2708641912150958E-12</v>
      </c>
      <c r="DR201" s="20">
        <f t="shared" si="177"/>
        <v>4.2330868906469593E-12</v>
      </c>
      <c r="DS201" s="59">
        <f t="shared" si="197"/>
        <v>293.33333333333752</v>
      </c>
      <c r="DT201" s="59">
        <f ca="1">AVERAGE(OFFSET($DS$3,0,0,'Données projet'!$E$14+1,1))-AVERAGE(OFFSET($H$3,0,0,'Données projet'!$E$14+1,1))</f>
        <v>293.15557501692803</v>
      </c>
      <c r="DU201" s="59">
        <f t="shared" si="209"/>
        <v>237.1930412773068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22.517798099675275</v>
      </c>
      <c r="EB201" s="21">
        <f>EXP(-LN(2)/25)*EB200+(1-EXP(-LN(2)/25))/(LN(2)/25)*Calculateur!DW201*Calculateur!DY201*VLOOKUP('Données projet'!$B$14,Paramètres!$A$1:$I$89,3,0)*0.475*44/12</f>
        <v>3.5512017185555029</v>
      </c>
      <c r="EC201" s="21">
        <f>EXP(-LN(2)/2)*EC200+(1-EXP(-LN(2)/2))/(LN(2)/2)*DW201*DZ201*VLOOKUP('Données projet'!$B$14,Paramètres!$A$1:$I$89,3,0)*0.475*44/12</f>
        <v>1.2656361674052001E-12</v>
      </c>
      <c r="ED201" s="22">
        <f t="shared" si="178"/>
        <v>26.068999818232044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-1.7053025658242404E-13</v>
      </c>
      <c r="EK201" s="17">
        <f>EJ201*VLOOKUP('Données projet'!$B$15,Paramètres!$A$1:$I$89,3,0)*VLOOKUP('Données projet'!$B$15,Paramètres!$A$1:$I$89,5,0)</f>
        <v>-1.0197709343628959E-13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225.86663363047296</v>
      </c>
      <c r="EP201" s="59">
        <f t="shared" si="210"/>
        <v>258.08349727304397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6.9156173991820751</v>
      </c>
      <c r="EW201" s="21">
        <f>EXP(-LN(2)/25)*EW200+(1-EXP(-LN(2)/25))/(LN(2)/25)*Calculateur!ER201*Calculateur!ET201*VLOOKUP('Données projet'!$B$15,Paramètres!$A$1:$I$89,3,0)*0.475*44/12</f>
        <v>0.86105472701372365</v>
      </c>
      <c r="EX201" s="21">
        <f>EXP(-LN(2)/2)*EX200+(1-EXP(-LN(2)/2))/(LN(2)/2)*ER201*EU201*VLOOKUP('Données projet'!$B$15,Paramètres!$A$1:$I$89,3,0)*0.475*44/12</f>
        <v>1.5151361555906892E-19</v>
      </c>
      <c r="EY201" s="22">
        <f t="shared" si="181"/>
        <v>7.7766721261957983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388.12151914648013</v>
      </c>
      <c r="T202" s="59">
        <f t="shared" si="204"/>
        <v>481.43684454382793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10.48451393671307</v>
      </c>
      <c r="AA202" s="21">
        <f>EXP(-LN(2)/25)*AA201+(1-EXP(-LN(2)/25))/(LN(2)/25)*Calculateur!V202*Calculateur!X202*VLOOKUP('Données projet'!$B$9,Paramètres!$A$1:$I$89,3,0)*0.475*44/12</f>
        <v>1.1699714730349624</v>
      </c>
      <c r="AB202" s="21">
        <f>EXP(-LN(2)/2)*AB201+(1-EXP(-LN(2)/2))/(LN(2)/2)*V202*Y202*VLOOKUP('Données projet'!$B$9,Paramètres!$A$1:$I$89,3,0)*0.475*44/12</f>
        <v>2.3150428268612689E-20</v>
      </c>
      <c r="AC202" s="22">
        <f t="shared" si="163"/>
        <v>11.654485409748032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-1.3596945791505279E-13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349.71285006949597</v>
      </c>
      <c r="AO202" s="59">
        <f t="shared" si="205"/>
        <v>258.51550516456842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14.519377743620176</v>
      </c>
      <c r="AV202" s="21">
        <f>EXP(-LN(2)/25)*AV201+(1-EXP(-LN(2)/25))/(LN(2)/25)*Calculateur!AQ202*Calculateur!AS202*VLOOKUP('Données projet'!$B$10,Paramètres!$A$1:$I$89,3,0)*0.475*44/12</f>
        <v>1.9096788912951224</v>
      </c>
      <c r="AW202" s="21">
        <f>EXP(-LN(2)/2)*AW201+(1-EXP(-LN(2)/2))/(LN(2)/2)*AQ202*AT202*VLOOKUP('Données projet'!$B$10,Paramètres!$A$1:$I$89,3,0)*0.475*44/12</f>
        <v>8.6743490285634423E-17</v>
      </c>
      <c r="AX202" s="21">
        <f t="shared" si="166"/>
        <v>16.429056634915298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8.5265128291212022E-14</v>
      </c>
      <c r="BE202" s="13">
        <f>BD202*VLOOKUP('Données projet'!$B$11,Paramètres!$A$1:$I$89,3,0)*VLOOKUP('Données projet'!$B$11,Paramètres!$A$1:$I$89,5,0)</f>
        <v>8.9119112089974823E-14</v>
      </c>
      <c r="BF202" s="13">
        <f t="shared" si="167"/>
        <v>1.3568952080113142E-12</v>
      </c>
      <c r="BG202" s="20">
        <f t="shared" si="168"/>
        <v>2.5184749408430782E-12</v>
      </c>
      <c r="BH202" s="59">
        <f t="shared" si="194"/>
        <v>293.33333333333582</v>
      </c>
      <c r="BI202" s="59">
        <f ca="1">AVERAGE(OFFSET($BH$3,0,0,'Données projet'!$E$11+1,1))-AVERAGE(OFFSET($H$3,0,0,'Données projet'!$E$11+1,1))</f>
        <v>260.74709892624571</v>
      </c>
      <c r="BJ202" s="59">
        <f t="shared" si="206"/>
        <v>237.17381692184887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2.5056338012700321</v>
      </c>
      <c r="BQ202" s="21">
        <f>EXP(-LN(2)/25)*BQ201+(1-EXP(-LN(2)/25))/(LN(2)/25)*Calculateur!BL202*Calculateur!BN202*VLOOKUP('Données projet'!$B$11,Paramètres!$A$1:$I$89,3,0)*0.475*44/12</f>
        <v>2.9202758664209183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5.4259096676909504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3.979039320256561E-13</v>
      </c>
      <c r="BZ202" s="13">
        <f>BY202*VLOOKUP('Données projet'!$B$12,Paramètres!$A$1:$I$89,3,0)*VLOOKUP('Données projet'!$B$12,Paramètres!$A$1:$I$89,5,0)</f>
        <v>3.6002347769681362E-13</v>
      </c>
      <c r="CA202" s="13">
        <f t="shared" si="170"/>
        <v>4.6593569189922594E-12</v>
      </c>
      <c r="CB202" s="20">
        <f t="shared" si="171"/>
        <v>8.7420875242334695E-12</v>
      </c>
      <c r="CC202" s="59">
        <f t="shared" si="195"/>
        <v>293.33333333334207</v>
      </c>
      <c r="CD202" s="59">
        <f ca="1">AVERAGE(OFFSET($CC$3,0,0,'Données projet'!$E$12+1,1))-AVERAGE(OFFSET($H$3,0,0,'Données projet'!$E$12+1,1))</f>
        <v>695.0879239758051</v>
      </c>
      <c r="CE202" s="59">
        <f t="shared" si="207"/>
        <v>226.22150997227476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78.921324920807407</v>
      </c>
      <c r="CL202" s="21">
        <f>EXP(-LN(2)/25)*CL201+(1-EXP(-LN(2)/25))/(LN(2)/25)*Calculateur!CG202*Calculateur!CI202*VLOOKUP('Données projet'!$B$12,Paramètres!$A$1:$I$89,3,0)*0.475*44/12</f>
        <v>10.033191220725293</v>
      </c>
      <c r="CM202" s="21">
        <f>EXP(-LN(2)/2)*CM201+(1-EXP(-LN(2)/2))/(LN(2)/2)*CG202*CJ202*VLOOKUP('Données projet'!$B$12,Paramètres!$A$1:$I$89,3,0)*0.475*44/12</f>
        <v>1.0854981331830375E-5</v>
      </c>
      <c r="CN202" s="22">
        <f t="shared" si="172"/>
        <v>88.954526996514033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3.979039320256561E-13</v>
      </c>
      <c r="CU202" s="17">
        <f>CT202*VLOOKUP('Données projet'!$B$13,Paramètres!$A$1:$I$89,3,0)*VLOOKUP('Données projet'!$B$13,Paramètres!$A$1:$I$89,5,0)</f>
        <v>4.0347458707401528E-13</v>
      </c>
      <c r="CV202" s="13">
        <f t="shared" si="173"/>
        <v>5.1528944501892313E-12</v>
      </c>
      <c r="CW202" s="20">
        <f t="shared" si="174"/>
        <v>9.6773427399001538E-12</v>
      </c>
      <c r="CX202" s="59">
        <f t="shared" si="196"/>
        <v>293.33333333334298</v>
      </c>
      <c r="CY202" s="59">
        <f ca="1">AVERAGE(OFFSET($CX$3,0,0,'Données projet'!$E$13+1,1))-AVERAGE(OFFSET($H$3,0,0,'Données projet'!$E$13+1,1))</f>
        <v>773.15074145293738</v>
      </c>
      <c r="CZ202" s="59">
        <f t="shared" si="208"/>
        <v>248.49577986312505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88.446312411249693</v>
      </c>
      <c r="DG202" s="21">
        <f>EXP(-LN(2)/25)*DG201+(1-EXP(-LN(2)/25))/(LN(2)/25)*Calculateur!DB202*Calculateur!DD202*VLOOKUP('Données projet'!$B$13,Paramètres!$A$1:$I$89,3,0)*0.475*44/12</f>
        <v>11.244093609433518</v>
      </c>
      <c r="DH202" s="21">
        <f>EXP(-LN(2)/2)*DH201+(1-EXP(-LN(2)/2))/(LN(2)/2)*DB202*DE202*VLOOKUP('Données projet'!$B$13,Paramètres!$A$1:$I$89,3,0)*0.475*44/12</f>
        <v>1.2165065285671969E-5</v>
      </c>
      <c r="DI202" s="22">
        <f t="shared" si="175"/>
        <v>99.690418185748499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3.4106051316484809E-13</v>
      </c>
      <c r="DP202" s="17">
        <f>DO202*VLOOKUP('Données projet'!$B$14,Paramètres!$A$1:$I$89,3,0)*VLOOKUP('Données projet'!$B$14,Paramètres!$A$1:$I$89,5,0)</f>
        <v>1.5961632016114892E-13</v>
      </c>
      <c r="DQ202" s="13">
        <f t="shared" si="176"/>
        <v>2.2708641912150958E-12</v>
      </c>
      <c r="DR202" s="20">
        <f t="shared" si="177"/>
        <v>4.2330868906469593E-12</v>
      </c>
      <c r="DS202" s="59">
        <f t="shared" si="197"/>
        <v>293.33333333333752</v>
      </c>
      <c r="DT202" s="59">
        <f ca="1">AVERAGE(OFFSET($DS$3,0,0,'Données projet'!$E$14+1,1))-AVERAGE(OFFSET($H$3,0,0,'Données projet'!$E$14+1,1))</f>
        <v>293.15557501692803</v>
      </c>
      <c r="DU202" s="59">
        <f t="shared" si="209"/>
        <v>237.1930412773068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22.076237813441313</v>
      </c>
      <c r="EB202" s="21">
        <f>EXP(-LN(2)/25)*EB201+(1-EXP(-LN(2)/25))/(LN(2)/25)*Calculateur!DW202*Calculateur!DY202*VLOOKUP('Données projet'!$B$14,Paramètres!$A$1:$I$89,3,0)*0.475*44/12</f>
        <v>3.4540939208120207</v>
      </c>
      <c r="EC202" s="21">
        <f>EXP(-LN(2)/2)*EC201+(1-EXP(-LN(2)/2))/(LN(2)/2)*DW202*DZ202*VLOOKUP('Données projet'!$B$14,Paramètres!$A$1:$I$89,3,0)*0.475*44/12</f>
        <v>8.9493991648716946E-13</v>
      </c>
      <c r="ED202" s="22">
        <f t="shared" si="178"/>
        <v>25.530331734254229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-1.7053025658242404E-13</v>
      </c>
      <c r="EK202" s="17">
        <f>EJ202*VLOOKUP('Données projet'!$B$15,Paramètres!$A$1:$I$89,3,0)*VLOOKUP('Données projet'!$B$15,Paramètres!$A$1:$I$89,5,0)</f>
        <v>-1.0197709343628959E-13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225.86663363047296</v>
      </c>
      <c r="EP202" s="59">
        <f t="shared" si="210"/>
        <v>258.08349727304397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6.780006360094224</v>
      </c>
      <c r="EW202" s="21">
        <f>EXP(-LN(2)/25)*EW201+(1-EXP(-LN(2)/25))/(LN(2)/25)*Calculateur!ER202*Calculateur!ET202*VLOOKUP('Données projet'!$B$15,Paramètres!$A$1:$I$89,3,0)*0.475*44/12</f>
        <v>0.83750914022263323</v>
      </c>
      <c r="EX202" s="21">
        <f>EXP(-LN(2)/2)*EX201+(1-EXP(-LN(2)/2))/(LN(2)/2)*ER202*EU202*VLOOKUP('Données projet'!$B$15,Paramètres!$A$1:$I$89,3,0)*0.475*44/12</f>
        <v>1.0713630500390924E-19</v>
      </c>
      <c r="EY202" s="22">
        <f t="shared" si="181"/>
        <v>7.6175155003168573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388.12151914648013</v>
      </c>
      <c r="T203" s="59">
        <f t="shared" si="204"/>
        <v>481.43684454382793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10.278919013336182</v>
      </c>
      <c r="AA203" s="21">
        <f>EXP(-LN(2)/25)*AA202+(1-EXP(-LN(2)/25))/(LN(2)/25)*Calculateur!V203*Calculateur!X203*VLOOKUP('Données projet'!$B$9,Paramètres!$A$1:$I$89,3,0)*0.475*44/12</f>
        <v>1.1379785415786956</v>
      </c>
      <c r="AB203" s="21">
        <f>EXP(-LN(2)/2)*AB202+(1-EXP(-LN(2)/2))/(LN(2)/2)*V203*Y203*VLOOKUP('Données projet'!$B$9,Paramètres!$A$1:$I$89,3,0)*0.475*44/12</f>
        <v>1.6369824816108776E-20</v>
      </c>
      <c r="AC203" s="22">
        <f t="shared" si="163"/>
        <v>11.416897554914877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-1.3596945791505279E-13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349.71285006949597</v>
      </c>
      <c r="AO203" s="59">
        <f t="shared" si="205"/>
        <v>258.51550516456842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14.234661602013755</v>
      </c>
      <c r="AV203" s="21">
        <f>EXP(-LN(2)/25)*AV202+(1-EXP(-LN(2)/25))/(LN(2)/25)*Calculateur!AQ203*Calculateur!AS203*VLOOKUP('Données projet'!$B$10,Paramètres!$A$1:$I$89,3,0)*0.475*44/12</f>
        <v>1.857458621587009</v>
      </c>
      <c r="AW203" s="21">
        <f>EXP(-LN(2)/2)*AW202+(1-EXP(-LN(2)/2))/(LN(2)/2)*AQ203*AT203*VLOOKUP('Données projet'!$B$10,Paramètres!$A$1:$I$89,3,0)*0.475*44/12</f>
        <v>6.133691020476151E-17</v>
      </c>
      <c r="AX203" s="21">
        <f t="shared" si="166"/>
        <v>16.092120223600766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8.5265128291212022E-14</v>
      </c>
      <c r="BE203" s="13">
        <f>BD203*VLOOKUP('Données projet'!$B$11,Paramètres!$A$1:$I$89,3,0)*VLOOKUP('Données projet'!$B$11,Paramètres!$A$1:$I$89,5,0)</f>
        <v>8.9119112089974823E-14</v>
      </c>
      <c r="BF203" s="13">
        <f t="shared" si="167"/>
        <v>1.3568952080113142E-12</v>
      </c>
      <c r="BG203" s="20">
        <f t="shared" si="168"/>
        <v>2.5184749408430782E-12</v>
      </c>
      <c r="BH203" s="59">
        <f t="shared" si="194"/>
        <v>293.33333333333582</v>
      </c>
      <c r="BI203" s="59">
        <f ca="1">AVERAGE(OFFSET($BH$3,0,0,'Données projet'!$E$11+1,1))-AVERAGE(OFFSET($H$3,0,0,'Données projet'!$E$11+1,1))</f>
        <v>260.74709892624571</v>
      </c>
      <c r="BJ203" s="59">
        <f t="shared" si="206"/>
        <v>237.17381692184887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2.4564998507128397</v>
      </c>
      <c r="BQ203" s="21">
        <f>EXP(-LN(2)/25)*BQ202+(1-EXP(-LN(2)/25))/(LN(2)/25)*Calculateur!BL203*Calculateur!BN203*VLOOKUP('Données projet'!$B$11,Paramètres!$A$1:$I$89,3,0)*0.475*44/12</f>
        <v>2.8404207692830048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5.296920619995845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3.979039320256561E-13</v>
      </c>
      <c r="BZ203" s="13">
        <f>BY203*VLOOKUP('Données projet'!$B$12,Paramètres!$A$1:$I$89,3,0)*VLOOKUP('Données projet'!$B$12,Paramètres!$A$1:$I$89,5,0)</f>
        <v>3.6002347769681362E-13</v>
      </c>
      <c r="CA203" s="13">
        <f t="shared" si="170"/>
        <v>4.6593569189922594E-12</v>
      </c>
      <c r="CB203" s="20">
        <f t="shared" si="171"/>
        <v>8.7420875242334695E-12</v>
      </c>
      <c r="CC203" s="59">
        <f t="shared" si="195"/>
        <v>293.33333333334207</v>
      </c>
      <c r="CD203" s="59">
        <f ca="1">AVERAGE(OFFSET($CC$3,0,0,'Données projet'!$E$12+1,1))-AVERAGE(OFFSET($H$3,0,0,'Données projet'!$E$12+1,1))</f>
        <v>695.0879239758051</v>
      </c>
      <c r="CE203" s="59">
        <f t="shared" si="207"/>
        <v>226.22150997227476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77.373725876365413</v>
      </c>
      <c r="CL203" s="21">
        <f>EXP(-LN(2)/25)*CL202+(1-EXP(-LN(2)/25))/(LN(2)/25)*Calculateur!CG203*Calculateur!CI203*VLOOKUP('Données projet'!$B$12,Paramètres!$A$1:$I$89,3,0)*0.475*44/12</f>
        <v>9.7588330791719642</v>
      </c>
      <c r="CM203" s="21">
        <f>EXP(-LN(2)/2)*CM202+(1-EXP(-LN(2)/2))/(LN(2)/2)*CG203*CJ203*VLOOKUP('Données projet'!$B$12,Paramètres!$A$1:$I$89,3,0)*0.475*44/12</f>
        <v>7.6756309093906389E-6</v>
      </c>
      <c r="CN203" s="22">
        <f t="shared" si="172"/>
        <v>87.132566631168288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3.979039320256561E-13</v>
      </c>
      <c r="CU203" s="17">
        <f>CT203*VLOOKUP('Données projet'!$B$13,Paramètres!$A$1:$I$89,3,0)*VLOOKUP('Données projet'!$B$13,Paramètres!$A$1:$I$89,5,0)</f>
        <v>4.0347458707401528E-13</v>
      </c>
      <c r="CV203" s="13">
        <f t="shared" si="173"/>
        <v>5.1528944501892313E-12</v>
      </c>
      <c r="CW203" s="20">
        <f t="shared" si="174"/>
        <v>9.6773427399001538E-12</v>
      </c>
      <c r="CX203" s="59">
        <f t="shared" si="196"/>
        <v>293.33333333334298</v>
      </c>
      <c r="CY203" s="59">
        <f ca="1">AVERAGE(OFFSET($CX$3,0,0,'Données projet'!$E$13+1,1))-AVERAGE(OFFSET($H$3,0,0,'Données projet'!$E$13+1,1))</f>
        <v>773.15074145293738</v>
      </c>
      <c r="CZ203" s="59">
        <f t="shared" si="208"/>
        <v>248.49577986312505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86.71193417178884</v>
      </c>
      <c r="DG203" s="21">
        <f>EXP(-LN(2)/25)*DG202+(1-EXP(-LN(2)/25))/(LN(2)/25)*Calculateur!DB203*Calculateur!DD203*VLOOKUP('Données projet'!$B$13,Paramètres!$A$1:$I$89,3,0)*0.475*44/12</f>
        <v>10.936623278382374</v>
      </c>
      <c r="DH203" s="21">
        <f>EXP(-LN(2)/2)*DH202+(1-EXP(-LN(2)/2))/(LN(2)/2)*DB203*DE203*VLOOKUP('Données projet'!$B$13,Paramètres!$A$1:$I$89,3,0)*0.475*44/12</f>
        <v>8.6020001570757142E-6</v>
      </c>
      <c r="DI203" s="22">
        <f t="shared" si="175"/>
        <v>97.648566052171361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3.4106051316484809E-13</v>
      </c>
      <c r="DP203" s="17">
        <f>DO203*VLOOKUP('Données projet'!$B$14,Paramètres!$A$1:$I$89,3,0)*VLOOKUP('Données projet'!$B$14,Paramètres!$A$1:$I$89,5,0)</f>
        <v>1.5961632016114892E-13</v>
      </c>
      <c r="DQ203" s="13">
        <f t="shared" si="176"/>
        <v>2.2708641912150958E-12</v>
      </c>
      <c r="DR203" s="20">
        <f t="shared" si="177"/>
        <v>4.2330868906469593E-12</v>
      </c>
      <c r="DS203" s="59">
        <f t="shared" si="197"/>
        <v>293.33333333333752</v>
      </c>
      <c r="DT203" s="59">
        <f ca="1">AVERAGE(OFFSET($DS$3,0,0,'Données projet'!$E$14+1,1))-AVERAGE(OFFSET($H$3,0,0,'Données projet'!$E$14+1,1))</f>
        <v>293.15557501692803</v>
      </c>
      <c r="DU203" s="59">
        <f t="shared" si="209"/>
        <v>237.1930412773068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21.643336255095221</v>
      </c>
      <c r="EB203" s="21">
        <f>EXP(-LN(2)/25)*EB202+(1-EXP(-LN(2)/25))/(LN(2)/25)*Calculateur!DW203*Calculateur!DY203*VLOOKUP('Données projet'!$B$14,Paramètres!$A$1:$I$89,3,0)*0.475*44/12</f>
        <v>3.3596415409045113</v>
      </c>
      <c r="EC203" s="21">
        <f>EXP(-LN(2)/2)*EC202+(1-EXP(-LN(2)/2))/(LN(2)/2)*DW203*DZ203*VLOOKUP('Données projet'!$B$14,Paramètres!$A$1:$I$89,3,0)*0.475*44/12</f>
        <v>6.3281808370260014E-13</v>
      </c>
      <c r="ED203" s="22">
        <f t="shared" si="178"/>
        <v>25.002977796000366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-1.7053025658242404E-13</v>
      </c>
      <c r="EK203" s="17">
        <f>EJ203*VLOOKUP('Données projet'!$B$15,Paramètres!$A$1:$I$89,3,0)*VLOOKUP('Données projet'!$B$15,Paramètres!$A$1:$I$89,5,0)</f>
        <v>-1.0197709343628959E-13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225.86663363047296</v>
      </c>
      <c r="EP203" s="59">
        <f t="shared" si="210"/>
        <v>258.08349727304397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6.6470545707683195</v>
      </c>
      <c r="EW203" s="21">
        <f>EXP(-LN(2)/25)*EW202+(1-EXP(-LN(2)/25))/(LN(2)/25)*Calculateur!ER203*Calculateur!ET203*VLOOKUP('Données projet'!$B$15,Paramètres!$A$1:$I$89,3,0)*0.475*44/12</f>
        <v>0.81460740874055382</v>
      </c>
      <c r="EX203" s="21">
        <f>EXP(-LN(2)/2)*EX202+(1-EXP(-LN(2)/2))/(LN(2)/2)*ER203*EU203*VLOOKUP('Données projet'!$B$15,Paramètres!$A$1:$I$89,3,0)*0.475*44/12</f>
        <v>7.5756807779534471E-20</v>
      </c>
      <c r="EY203" s="22">
        <f t="shared" si="181"/>
        <v>7.4616619795088734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1.3927421509577205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1.2474449991725556</v>
      </c>
      <c r="BA205" s="82">
        <f>EXP(LN('Données projet'!B88)/'Données projet'!A88)</f>
        <v>1.3087609363064139</v>
      </c>
      <c r="BV205" s="82">
        <f>EXP(LN('Données projet'!B114)/'Données projet'!A114)</f>
        <v>1.1636646418946561</v>
      </c>
      <c r="CQ205" s="82">
        <f>EXP(LN('Données projet'!B140)/'Données projet'!A140)</f>
        <v>1.1636646418946561</v>
      </c>
      <c r="DL205" s="82">
        <f>EXP(LN('Données projet'!B166)/'Données projet'!A166)</f>
        <v>1.1203305107380264</v>
      </c>
      <c r="EG205" s="82">
        <f>EXP(LN('Données projet'!B192)/'Données projet'!A192)</f>
        <v>1.2274456314762281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13281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61328125" style="4" bestFit="1" customWidth="1"/>
    <col min="7" max="7" width="11.4609375" style="4" bestFit="1" customWidth="1"/>
    <col min="8" max="8" width="39" style="4" bestFit="1" customWidth="1"/>
    <col min="9" max="9" width="16.613281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D17" sqref="D17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Pin maritime</v>
      </c>
      <c r="B6" s="146">
        <f>'Données projet'!D9</f>
        <v>4.18</v>
      </c>
      <c r="C6" s="147">
        <f ca="1">IF(OR('Données projet'!B9="",'Données projet'!C9="",'Données projet'!C9=0%),0,Calculateur!S3)</f>
        <v>388.12151914648013</v>
      </c>
      <c r="D6" s="147">
        <f>IF(OR('Données projet'!B9="",'Données projet'!C9="",'Données projet'!C9=0%),0,Calculateur!T3)</f>
        <v>481.43684454382793</v>
      </c>
      <c r="E6" s="147">
        <f ca="1">MIN(C6,D6)</f>
        <v>388.12151914648013</v>
      </c>
      <c r="F6" s="147">
        <f ca="1">E6*B6</f>
        <v>1622.3479500322869</v>
      </c>
      <c r="G6" s="147">
        <f ca="1">F6*(100%-'Données projet'!$C$24)*(100%-'Données projet'!$C$25)*(100%-'Données projet'!$C$26)*(100%-'Données projet'!$C$27)</f>
        <v>1314.1018395261526</v>
      </c>
      <c r="H6" s="148">
        <f>IF(OR('Données projet'!B9="",'Données projet'!C9="",'Données projet'!C9=0%),0,AVERAGE(Calculateur!$AC$3:$AC$33)*B6)</f>
        <v>59.341019001089741</v>
      </c>
      <c r="I6" s="149">
        <f>H6*(100%-'Données projet'!$C$24)*(100%-'Données projet'!$C$25)*(100%-'Données projet'!$C$26)*(100%-'Données projet'!$C$27)</f>
        <v>48.066225390882693</v>
      </c>
      <c r="J6" s="150">
        <f>IF(OR('Données projet'!B9="",'Données projet'!C9="",'Données projet'!C9=0%),0,SUM(Calculateur!$V$3:$V$33)*VLOOKUP('Données projet'!$B$9,Paramètres!$A$1:$I$89,9,0)*B6)</f>
        <v>399.00649800000002</v>
      </c>
      <c r="K6" s="151">
        <f>J6*(100%-'Données projet'!$C$24)*(100%-'Données projet'!$C$25)*(100%-'Données projet'!$C$26)*(100%-'Données projet'!$C$27)</f>
        <v>323.19526338000003</v>
      </c>
      <c r="L6" s="152">
        <f ca="1">G6+I6+K6</f>
        <v>1685.3633282970354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Pin laricio</v>
      </c>
      <c r="B7" s="154">
        <f>'Données projet'!D10</f>
        <v>2.5079999999999996</v>
      </c>
      <c r="C7" s="147">
        <f ca="1">IF(OR('Données projet'!B10="",'Données projet'!C10="",'Données projet'!C10=0%),0,Calculateur!AN3)</f>
        <v>349.71285006949597</v>
      </c>
      <c r="D7" s="147">
        <f>IF(OR('Données projet'!B10="",'Données projet'!C10="",'Données projet'!C10=0%),0,Calculateur!AO3)</f>
        <v>258.51550516456842</v>
      </c>
      <c r="E7" s="147">
        <f t="shared" ref="E7:E15" ca="1" si="0">MIN(C7,D7)</f>
        <v>258.51550516456842</v>
      </c>
      <c r="F7" s="147">
        <f t="shared" ref="F7:F15" ca="1" si="1">E7*B7</f>
        <v>648.35688695273745</v>
      </c>
      <c r="G7" s="147">
        <f ca="1">F7*(100%-'Données projet'!$C$24)*(100%-'Données projet'!$C$25)*(100%-'Données projet'!$C$26)*(100%-'Données projet'!$C$27)</f>
        <v>525.16907843171737</v>
      </c>
      <c r="H7" s="155">
        <f>IF(OR('Données projet'!B10="",'Données projet'!C10="",'Données projet'!C10=0%),0,AVERAGE(Calculateur!$AX$3:$AX$33)*B7)</f>
        <v>15.895706510200796</v>
      </c>
      <c r="I7" s="149">
        <f>H7*(100%-'Données projet'!$C$24)*(100%-'Données projet'!$C$25)*(100%-'Données projet'!$C$26)*(100%-'Données projet'!$C$27)</f>
        <v>12.875522273262646</v>
      </c>
      <c r="J7" s="150">
        <f>IF(OR('Données projet'!B10="",'Données projet'!C10="",'Données projet'!C10=0%),0,SUM(Calculateur!$AQ$3:$AQ$33)*VLOOKUP('Données projet'!$B$10,Paramètres!$A$1:$I$89,9,0)*B7)</f>
        <v>97.652741999999975</v>
      </c>
      <c r="K7" s="151">
        <f>J7*(100%-'Données projet'!$C$24)*(100%-'Données projet'!$C$25)*(100%-'Données projet'!$C$26)*(100%-'Données projet'!$C$27)</f>
        <v>79.098721019999985</v>
      </c>
      <c r="L7" s="152">
        <f t="shared" ref="L7:L15" ca="1" si="2">G7+I7+K7</f>
        <v>617.14332172497996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Chêne chevelu</v>
      </c>
      <c r="B8" s="154">
        <f>'Données projet'!D11</f>
        <v>0.25079999999999997</v>
      </c>
      <c r="C8" s="147">
        <f ca="1">IF(OR('Données projet'!B11="",'Données projet'!C11="",'Données projet'!C11=0%),0,Calculateur!BI3)</f>
        <v>260.74709892624571</v>
      </c>
      <c r="D8" s="147">
        <f>IF(OR('Données projet'!B11="",'Données projet'!C11="",'Données projet'!C11=0%),0,Calculateur!BJ3)</f>
        <v>237.17381692184887</v>
      </c>
      <c r="E8" s="147">
        <f t="shared" ca="1" si="0"/>
        <v>237.17381692184887</v>
      </c>
      <c r="F8" s="147">
        <f t="shared" ca="1" si="1"/>
        <v>59.48319328399969</v>
      </c>
      <c r="G8" s="147">
        <f ca="1">F8*(100%-'Données projet'!$C$24)*(100%-'Données projet'!$C$25)*(100%-'Données projet'!$C$26)*(100%-'Données projet'!$C$27)</f>
        <v>48.181386560039748</v>
      </c>
      <c r="H8" s="155">
        <f>IF(OR('Données projet'!B11="",'Données projet'!C11="",'Données projet'!C11=0%),0,AVERAGE(Calculateur!$BS$3:$BS$33)*B8)</f>
        <v>0.70198143003758251</v>
      </c>
      <c r="I8" s="149">
        <f>H8*(100%-'Données projet'!$C$24)*(100%-'Données projet'!$C$25)*(100%-'Données projet'!$C$26)*(100%-'Données projet'!$C$27)</f>
        <v>0.56860495833044189</v>
      </c>
      <c r="J8" s="150">
        <f>IF(OR('Données projet'!B11="",'Données projet'!C11="",'Données projet'!C11=0%),0,SUM(Calculateur!$BL$3:$BL$33)*VLOOKUP('Données projet'!$B$11,Paramètres!$A$1:$I$89,9,0)*B8)</f>
        <v>3.5369230769230762</v>
      </c>
      <c r="K8" s="151">
        <f>J8*(100%-'Données projet'!$C$24)*(100%-'Données projet'!$C$25)*(100%-'Données projet'!$C$26)*(100%-'Données projet'!$C$27)</f>
        <v>2.8649076923076917</v>
      </c>
      <c r="L8" s="152">
        <f t="shared" ca="1" si="2"/>
        <v>51.614899210677876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Chêne sessile</v>
      </c>
      <c r="B9" s="154">
        <f>'Données projet'!D12</f>
        <v>0.33439999999999998</v>
      </c>
      <c r="C9" s="147">
        <f ca="1">IF(OR('Données projet'!B12="",'Données projet'!C12="",'Données projet'!C12=0%),0,Calculateur!CD3)</f>
        <v>695.0879239758051</v>
      </c>
      <c r="D9" s="147">
        <f>IF(OR('Données projet'!B12="",'Données projet'!C12="",'Données projet'!C12=0%),0,Calculateur!CE3)</f>
        <v>226.22150997227476</v>
      </c>
      <c r="E9" s="147">
        <f t="shared" ca="1" si="0"/>
        <v>226.22150997227476</v>
      </c>
      <c r="F9" s="147">
        <f t="shared" ca="1" si="1"/>
        <v>75.648472934728673</v>
      </c>
      <c r="G9" s="147">
        <f ca="1">F9*(100%-'Données projet'!$C$24)*(100%-'Données projet'!$C$25)*(100%-'Données projet'!$C$26)*(100%-'Données projet'!$C$27)</f>
        <v>61.275263077130226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61.275263077130226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>Chêne pubescent</v>
      </c>
      <c r="B10" s="154">
        <f>'Données projet'!D13</f>
        <v>0.25079999999999997</v>
      </c>
      <c r="C10" s="147">
        <f ca="1">IF(OR('Données projet'!B13="",'Données projet'!C13="",'Données projet'!C13=0%),0,Calculateur!CY3)</f>
        <v>773.15074145293738</v>
      </c>
      <c r="D10" s="147">
        <f>IF(OR('Données projet'!B13="",'Données projet'!C13="",'Données projet'!C13=0%),0,Calculateur!CZ3)</f>
        <v>248.49577986312505</v>
      </c>
      <c r="E10" s="147">
        <f t="shared" ca="1" si="0"/>
        <v>248.49577986312505</v>
      </c>
      <c r="F10" s="147">
        <f t="shared" ca="1" si="1"/>
        <v>62.322741589671757</v>
      </c>
      <c r="G10" s="147">
        <f ca="1">F10*(100%-'Données projet'!$C$24)*(100%-'Données projet'!$C$25)*(100%-'Données projet'!$C$26)*(100%-'Données projet'!$C$27)</f>
        <v>50.481420687634127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50.481420687634127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>Cèdre de l'Atlas</v>
      </c>
      <c r="B11" s="154">
        <f>'Données projet'!D14</f>
        <v>0.41799999999999998</v>
      </c>
      <c r="C11" s="147">
        <f ca="1">IF(OR('Données projet'!B14="",'Données projet'!C14="",'Données projet'!C14=0%),0,Calculateur!DT3)</f>
        <v>293.15557501692803</v>
      </c>
      <c r="D11" s="147">
        <f>IF(OR('Données projet'!B14="",'Données projet'!C14="",'Données projet'!C14=0%),0,Calculateur!DU3)</f>
        <v>237.1930412773068</v>
      </c>
      <c r="E11" s="147">
        <f t="shared" ca="1" si="0"/>
        <v>237.1930412773068</v>
      </c>
      <c r="F11" s="147">
        <f t="shared" ca="1" si="1"/>
        <v>99.146691253914241</v>
      </c>
      <c r="G11" s="147">
        <f ca="1">F11*(100%-'Données projet'!$C$24)*(100%-'Données projet'!$C$25)*(100%-'Données projet'!$C$26)*(100%-'Données projet'!$C$27)</f>
        <v>80.30881991567054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80.30881991567054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>Pin taeda</v>
      </c>
      <c r="B12" s="154">
        <f>'Données projet'!D15</f>
        <v>0.41799999999999998</v>
      </c>
      <c r="C12" s="147">
        <f ca="1">IF(OR('Données projet'!B15="",'Données projet'!C15="",'Données projet'!C15=0%),0,Calculateur!EO3)</f>
        <v>225.86663363047296</v>
      </c>
      <c r="D12" s="147">
        <f>IF(OR('Données projet'!B15="",'Données projet'!C15="",'Données projet'!C15=0%),0,Calculateur!EP3)</f>
        <v>258.08349727304397</v>
      </c>
      <c r="E12" s="147">
        <f t="shared" ca="1" si="0"/>
        <v>225.86663363047296</v>
      </c>
      <c r="F12" s="147">
        <f t="shared" ca="1" si="1"/>
        <v>94.412252857537695</v>
      </c>
      <c r="G12" s="147">
        <f ca="1">F12*(100%-'Données projet'!$C$24)*(100%-'Données projet'!$C$25)*(100%-'Données projet'!$C$26)*(100%-'Données projet'!$C$27)</f>
        <v>76.473924814605525</v>
      </c>
      <c r="H12" s="155">
        <f>IF(OR('Données projet'!B15="",'Données projet'!C15="",'Données projet'!C15=0%),0,AVERAGE(Calculateur!$EY$3:$EY$33)*B12)</f>
        <v>1.7162394605900577</v>
      </c>
      <c r="I12" s="149">
        <f>H12*(100%-'Données projet'!$C$24)*(100%-'Données projet'!$C$25)*(100%-'Données projet'!$C$26)*(100%-'Données projet'!$C$27)</f>
        <v>1.3901539630779469</v>
      </c>
      <c r="J12" s="150">
        <f>IF(OR('Données projet'!B15="",'Données projet'!C15="",'Données projet'!C15=0%),0,SUM(Calculateur!$ER$3:$ER$33)*VLOOKUP('Données projet'!$B$15,Paramètres!$A$1:$I$89,9,0)*B12)</f>
        <v>15.718262999999995</v>
      </c>
      <c r="K12" s="151">
        <f>J12*(100%-'Données projet'!$C$24)*(100%-'Données projet'!$C$25)*(100%-'Données projet'!$C$26)*(100%-'Données projet'!$C$27)</f>
        <v>12.731793029999997</v>
      </c>
      <c r="L12" s="152">
        <f t="shared" ca="1" si="2"/>
        <v>90.595871807683466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2661.7181889048766</v>
      </c>
      <c r="G16" s="166">
        <f t="shared" ca="1" si="3"/>
        <v>2155.9917330129506</v>
      </c>
      <c r="H16" s="167">
        <f t="shared" si="3"/>
        <v>77.654946401918167</v>
      </c>
      <c r="I16" s="167">
        <f t="shared" si="3"/>
        <v>62.900506585553728</v>
      </c>
      <c r="J16" s="168">
        <f t="shared" si="3"/>
        <v>515.91442607692306</v>
      </c>
      <c r="K16" s="168">
        <f t="shared" si="3"/>
        <v>417.89068512230767</v>
      </c>
      <c r="L16" s="169">
        <f t="shared" ca="1" si="3"/>
        <v>2636.7829247208115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>Pin taeda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R1" zoomScale="80" zoomScaleNormal="80" workbookViewId="0">
      <selection activeCell="U22" sqref="U22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13281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3818.6604282070393</v>
      </c>
      <c r="U10" s="178">
        <f>'Données projet'!D9</f>
        <v>4.18</v>
      </c>
      <c r="V10" s="177">
        <f>U10*T10</f>
        <v>15962.000589905423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1545.4019447850478</v>
      </c>
      <c r="U11" s="178">
        <f>'Données projet'!D10</f>
        <v>2.5079999999999996</v>
      </c>
      <c r="V11" s="177">
        <f t="shared" ref="V11" si="0">U11*T11</f>
        <v>3875.8680775208991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chevelu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486.92773227846953</v>
      </c>
      <c r="U12" s="178">
        <f>'Données projet'!D11</f>
        <v>0.25079999999999997</v>
      </c>
      <c r="V12" s="177">
        <f t="shared" ref="V12:V19" si="1">U12*T12</f>
        <v>122.12147525544015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1871.5356930073738</v>
      </c>
      <c r="U13" s="178">
        <f>'Données projet'!D12</f>
        <v>0.33439999999999998</v>
      </c>
      <c r="V13" s="177">
        <f t="shared" si="1"/>
        <v>625.84153574166578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pubescent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1871.5356930073738</v>
      </c>
      <c r="U14" s="178">
        <f>'Données projet'!D13</f>
        <v>0.25079999999999997</v>
      </c>
      <c r="V14" s="177">
        <f t="shared" si="1"/>
        <v>469.38115180624931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Cèdre de l'Atlas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758.61850001802338</v>
      </c>
      <c r="U15" s="178">
        <f>'Données projet'!D14</f>
        <v>0.41799999999999998</v>
      </c>
      <c r="V15" s="177">
        <f t="shared" si="1"/>
        <v>317.10253300753374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Pin taeda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1352.9010715334505</v>
      </c>
      <c r="U16" s="178">
        <f>'Données projet'!D15</f>
        <v>0.41799999999999998</v>
      </c>
      <c r="V16" s="177">
        <f t="shared" si="1"/>
        <v>565.5126479009823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5000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15</v>
      </c>
      <c r="B23" s="181">
        <f>'Données projet'!D36</f>
        <v>50.480000000000004</v>
      </c>
      <c r="C23" s="193">
        <v>8</v>
      </c>
      <c r="D23" s="182">
        <f>B23*C23</f>
        <v>403.84000000000003</v>
      </c>
      <c r="E23" s="193">
        <v>60</v>
      </c>
      <c r="F23" s="230"/>
      <c r="H23" s="190">
        <v>4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-35282.295338918921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20</v>
      </c>
      <c r="B24" s="181">
        <f>'Données projet'!D37</f>
        <v>55.160000000000025</v>
      </c>
      <c r="C24" s="193">
        <v>13.125</v>
      </c>
      <c r="D24" s="182">
        <f t="shared" ref="D24:D42" si="2">B24*C24</f>
        <v>723.97500000000036</v>
      </c>
      <c r="E24" s="193">
        <v>60</v>
      </c>
      <c r="F24" s="233"/>
      <c r="H24" s="190">
        <v>5</v>
      </c>
      <c r="I24" s="191">
        <v>600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32101.949616874892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26</v>
      </c>
      <c r="B25" s="181">
        <f>'Données projet'!D38</f>
        <v>56.150000000000006</v>
      </c>
      <c r="C25" s="193">
        <v>24.5</v>
      </c>
      <c r="D25" s="182">
        <f t="shared" si="2"/>
        <v>1375.6750000000002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180</v>
      </c>
      <c r="Q25" s="234"/>
      <c r="R25" s="23"/>
      <c r="S25" s="186" t="s">
        <v>266</v>
      </c>
      <c r="T25" s="299">
        <f ca="1">T23-T24</f>
        <v>-67384.244955793809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32</v>
      </c>
      <c r="B26" s="181">
        <f>'Données projet'!D39</f>
        <v>79.57000000000005</v>
      </c>
      <c r="C26" s="193">
        <v>24.5</v>
      </c>
      <c r="D26" s="182">
        <f t="shared" si="2"/>
        <v>1949.4650000000013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40</v>
      </c>
      <c r="B27" s="181">
        <f>'Données projet'!D40</f>
        <v>116.63</v>
      </c>
      <c r="C27" s="193">
        <v>24.5</v>
      </c>
      <c r="D27" s="182">
        <f t="shared" si="2"/>
        <v>2857.4349999999999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48</v>
      </c>
      <c r="B28" s="181">
        <f>'Données projet'!D41</f>
        <v>106.28000000000003</v>
      </c>
      <c r="C28" s="193">
        <v>24.5</v>
      </c>
      <c r="D28" s="182">
        <f t="shared" si="2"/>
        <v>2603.8600000000006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56</v>
      </c>
      <c r="B29" s="181">
        <f>'Données projet'!D42</f>
        <v>563.75</v>
      </c>
      <c r="C29" s="193">
        <v>35.5</v>
      </c>
      <c r="D29" s="182">
        <f t="shared" si="2"/>
        <v>20013.125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3839.9461264204419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172.2488038277512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164.83139122272846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157.73338872988367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150.94104184677869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144.44118837012314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138.22123289007001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132.26912238284211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126.57332285439441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121.12279698985112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115.90698276540779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110.91577298125148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106.13949567583876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101.56889538357775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97.195115199595961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93.009679616838227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89.00447810223757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85.171749380131644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81.504066392470492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77.994321906670336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74.635714743225222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22</v>
      </c>
      <c r="B54" s="181">
        <f>'Données projet'!D62</f>
        <v>52.620000000000005</v>
      </c>
      <c r="C54" s="191">
        <v>12.75</v>
      </c>
      <c r="D54" s="179">
        <f>B54*C54</f>
        <v>670.90500000000009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71.42173659638776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27</v>
      </c>
      <c r="B55" s="181">
        <f>'Données projet'!D63</f>
        <v>37.929999999999993</v>
      </c>
      <c r="C55" s="191">
        <v>12.75</v>
      </c>
      <c r="D55" s="179">
        <f t="shared" ref="D55:D73" si="4">B55*C55</f>
        <v>483.6074999999999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68.346159422380651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33</v>
      </c>
      <c r="B56" s="181">
        <f>'Données projet'!D64</f>
        <v>50.460000000000008</v>
      </c>
      <c r="C56" s="191">
        <v>12.75</v>
      </c>
      <c r="D56" s="179">
        <f t="shared" si="4"/>
        <v>643.36500000000012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65.403023370699188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41</v>
      </c>
      <c r="B57" s="181">
        <f>'Données projet'!D65</f>
        <v>72.16</v>
      </c>
      <c r="C57" s="191">
        <v>24.5</v>
      </c>
      <c r="D57" s="179">
        <f t="shared" si="4"/>
        <v>1767.9199999999998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62.586625235118852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50</v>
      </c>
      <c r="B58" s="181">
        <f>'Données projet'!D66</f>
        <v>70.20999999999998</v>
      </c>
      <c r="C58" s="191">
        <v>24.5</v>
      </c>
      <c r="D58" s="179">
        <f t="shared" si="4"/>
        <v>1720.1449999999995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59.891507402027614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60</v>
      </c>
      <c r="B59" s="181">
        <f>'Données projet'!D67</f>
        <v>69.839999999999975</v>
      </c>
      <c r="C59" s="191">
        <v>24.5</v>
      </c>
      <c r="D59" s="179">
        <f t="shared" si="4"/>
        <v>1711.0799999999995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57.312447274667591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70</v>
      </c>
      <c r="B60" s="181">
        <f>'Données projet'!D68</f>
        <v>67.88</v>
      </c>
      <c r="C60" s="191">
        <v>24.5</v>
      </c>
      <c r="D60" s="179">
        <f t="shared" si="4"/>
        <v>1663.06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54.84444715279195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80</v>
      </c>
      <c r="B61" s="181">
        <f>'Données projet'!D69</f>
        <v>520.03</v>
      </c>
      <c r="C61" s="191">
        <v>34</v>
      </c>
      <c r="D61" s="179">
        <f t="shared" si="4"/>
        <v>17681.02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52.482724548126285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50.222702916867249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48.060002791260544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45.990433293072279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44.009984012509385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42.114817236851088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40.301260513733105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38.565799534672827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36.905071325045775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35.315857727316533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33.795079164896208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32.339788674541829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30.947166195733814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29.614513105965376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28.339246991354429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Chêne chevelu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27.11889664244443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25.951097265497065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24.833585899997193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23.764197033490142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22.740858405253721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21.761586990673429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20.824485158539165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19.927736993817387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19.069604778772618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10</v>
      </c>
      <c r="B85" s="181">
        <f>'Données projet'!D88</f>
        <v>0</v>
      </c>
      <c r="C85" s="191">
        <v>13.5625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18.248425625619735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15</v>
      </c>
      <c r="B86" s="181">
        <f>'Données projet'!D89</f>
        <v>0</v>
      </c>
      <c r="C86" s="191">
        <v>13.5625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17.462608254181564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20</v>
      </c>
      <c r="B87" s="181">
        <f>'Données projet'!D90</f>
        <v>26.282051282051281</v>
      </c>
      <c r="C87" s="191">
        <v>13.5625</v>
      </c>
      <c r="D87" s="179">
        <f t="shared" si="6"/>
        <v>356.4503205128205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16.710629908307723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25</v>
      </c>
      <c r="B88" s="181">
        <f>'Données projet'!D91</f>
        <v>14.743589743589743</v>
      </c>
      <c r="C88" s="191">
        <v>13.5625</v>
      </c>
      <c r="D88" s="179">
        <f t="shared" si="6"/>
        <v>199.95993589743588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15.991033405079159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30</v>
      </c>
      <c r="B89" s="181">
        <f>'Données projet'!D92</f>
        <v>15.384615384615383</v>
      </c>
      <c r="C89" s="191">
        <v>13.5625</v>
      </c>
      <c r="D89" s="179">
        <f t="shared" si="6"/>
        <v>208.65384615384613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15.302424311080539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35</v>
      </c>
      <c r="B90" s="181">
        <f>'Données projet'!D93</f>
        <v>15.384615384615383</v>
      </c>
      <c r="C90" s="191">
        <v>13.5625</v>
      </c>
      <c r="D90" s="179">
        <f t="shared" si="6"/>
        <v>208.65384615384613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40</v>
      </c>
      <c r="B91" s="181">
        <f>'Données projet'!D94</f>
        <v>14.743589743589743</v>
      </c>
      <c r="C91" s="191">
        <v>13.5625</v>
      </c>
      <c r="D91" s="179">
        <f t="shared" si="6"/>
        <v>199.95993589743588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45</v>
      </c>
      <c r="B92" s="181">
        <f>'Données projet'!D95</f>
        <v>14.102564102564102</v>
      </c>
      <c r="C92" s="191">
        <v>13.5625</v>
      </c>
      <c r="D92" s="179">
        <f t="shared" si="6"/>
        <v>191.26602564102564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50</v>
      </c>
      <c r="B93" s="181">
        <f>'Données projet'!D96</f>
        <v>13.461538461538462</v>
      </c>
      <c r="C93" s="191">
        <v>13.5625</v>
      </c>
      <c r="D93" s="179">
        <f t="shared" si="6"/>
        <v>182.57211538461539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55</v>
      </c>
      <c r="B94" s="181">
        <f>'Données projet'!D97</f>
        <v>12.820512820512819</v>
      </c>
      <c r="C94" s="191">
        <v>32.787500000000001</v>
      </c>
      <c r="D94" s="179">
        <f t="shared" si="6"/>
        <v>420.35256410256409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60</v>
      </c>
      <c r="B95" s="181">
        <f>'Données projet'!D98</f>
        <v>11.538461538461538</v>
      </c>
      <c r="C95" s="191">
        <v>32.787500000000001</v>
      </c>
      <c r="D95" s="179">
        <f t="shared" si="6"/>
        <v>378.31730769230768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65</v>
      </c>
      <c r="B96" s="181">
        <f>'Données projet'!D99</f>
        <v>10.897435897435898</v>
      </c>
      <c r="C96" s="191">
        <v>32.787500000000001</v>
      </c>
      <c r="D96" s="179">
        <f t="shared" si="6"/>
        <v>357.2996794871795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70</v>
      </c>
      <c r="B97" s="181">
        <f>'Données projet'!D100</f>
        <v>10.256410256410255</v>
      </c>
      <c r="C97" s="191">
        <v>32.787500000000001</v>
      </c>
      <c r="D97" s="179">
        <f t="shared" si="6"/>
        <v>336.28205128205127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75</v>
      </c>
      <c r="B98" s="181">
        <f>'Données projet'!D101</f>
        <v>8.9743589743589745</v>
      </c>
      <c r="C98" s="191">
        <v>32.787500000000001</v>
      </c>
      <c r="D98" s="179">
        <f t="shared" si="6"/>
        <v>294.24679487179486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80</v>
      </c>
      <c r="B99" s="181">
        <f>'Données projet'!D102</f>
        <v>8.3333333333333339</v>
      </c>
      <c r="C99" s="191">
        <v>32.787500000000001</v>
      </c>
      <c r="D99" s="179">
        <f t="shared" si="6"/>
        <v>273.22916666666669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85</v>
      </c>
      <c r="B100" s="181">
        <f>'Données projet'!D103</f>
        <v>7.6923076923076916</v>
      </c>
      <c r="C100" s="191">
        <v>32.787500000000001</v>
      </c>
      <c r="D100" s="179">
        <f t="shared" si="6"/>
        <v>252.21153846153845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90</v>
      </c>
      <c r="B101" s="181">
        <f>'Données projet'!D104</f>
        <v>7.0512820512820511</v>
      </c>
      <c r="C101" s="191">
        <v>32.787500000000001</v>
      </c>
      <c r="D101" s="179">
        <f t="shared" si="6"/>
        <v>231.19391025641025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95</v>
      </c>
      <c r="B102" s="181">
        <f>'Données projet'!D105</f>
        <v>7.0512820512820511</v>
      </c>
      <c r="C102" s="191">
        <v>32.787500000000001</v>
      </c>
      <c r="D102" s="179">
        <f t="shared" si="6"/>
        <v>231.19391025641025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100</v>
      </c>
      <c r="B103" s="181">
        <f>'Données projet'!D106</f>
        <v>153.84615384615384</v>
      </c>
      <c r="C103" s="191">
        <v>43.025000000000006</v>
      </c>
      <c r="D103" s="179">
        <f t="shared" si="6"/>
        <v>6619.2307692307695</v>
      </c>
      <c r="E103" s="193">
        <v>60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34</v>
      </c>
      <c r="B116" s="181">
        <f>'Données projet'!D114</f>
        <v>36.679999999999978</v>
      </c>
      <c r="C116" s="191">
        <v>15</v>
      </c>
      <c r="D116" s="179">
        <f>B116*C116</f>
        <v>550.1999999999997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42</v>
      </c>
      <c r="B117" s="181">
        <f>'Données projet'!D115</f>
        <v>58.099999999999994</v>
      </c>
      <c r="C117" s="191">
        <v>15</v>
      </c>
      <c r="D117" s="179">
        <f t="shared" ref="D117:D135" si="8">B117*C117</f>
        <v>871.49999999999989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50</v>
      </c>
      <c r="B118" s="181">
        <f>'Données projet'!D116</f>
        <v>70.730000000000018</v>
      </c>
      <c r="C118" s="191">
        <v>15</v>
      </c>
      <c r="D118" s="179">
        <f t="shared" si="8"/>
        <v>1060.9500000000003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58</v>
      </c>
      <c r="B119" s="181">
        <f>'Données projet'!D117</f>
        <v>65.819999999999993</v>
      </c>
      <c r="C119" s="191">
        <v>59.875</v>
      </c>
      <c r="D119" s="179">
        <f t="shared" si="8"/>
        <v>3940.9724999999994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66</v>
      </c>
      <c r="B120" s="181">
        <f>'Données projet'!D118</f>
        <v>76.480000000000018</v>
      </c>
      <c r="C120" s="191">
        <v>59.875</v>
      </c>
      <c r="D120" s="179">
        <f t="shared" si="8"/>
        <v>4579.2400000000007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74</v>
      </c>
      <c r="B121" s="181">
        <f>'Données projet'!D119</f>
        <v>75.29000000000002</v>
      </c>
      <c r="C121" s="191">
        <v>59.875</v>
      </c>
      <c r="D121" s="179">
        <f t="shared" si="8"/>
        <v>4507.9887500000013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82</v>
      </c>
      <c r="B122" s="181">
        <f>'Données projet'!D120</f>
        <v>58.140000000000043</v>
      </c>
      <c r="C122" s="191">
        <v>59.875</v>
      </c>
      <c r="D122" s="179">
        <f t="shared" si="8"/>
        <v>3481.1325000000024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90</v>
      </c>
      <c r="B123" s="181">
        <f>'Données projet'!D121</f>
        <v>68.54000000000002</v>
      </c>
      <c r="C123" s="191">
        <v>59.875</v>
      </c>
      <c r="D123" s="179">
        <f t="shared" si="8"/>
        <v>4103.8325000000013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100</v>
      </c>
      <c r="B124" s="181">
        <f>'Données projet'!D122</f>
        <v>93.039999999999964</v>
      </c>
      <c r="C124" s="191">
        <v>179.75</v>
      </c>
      <c r="D124" s="179">
        <f t="shared" si="8"/>
        <v>16723.939999999995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110</v>
      </c>
      <c r="B125" s="181">
        <f>'Données projet'!D123</f>
        <v>73.299999999999955</v>
      </c>
      <c r="C125" s="191">
        <v>179.75</v>
      </c>
      <c r="D125" s="179">
        <f t="shared" si="8"/>
        <v>13175.674999999992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120</v>
      </c>
      <c r="B126" s="181">
        <f>'Données projet'!D124</f>
        <v>66.050000000000011</v>
      </c>
      <c r="C126" s="191">
        <v>179.75</v>
      </c>
      <c r="D126" s="179">
        <f t="shared" si="8"/>
        <v>11872.487500000003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130</v>
      </c>
      <c r="B127" s="181">
        <f>'Données projet'!D125</f>
        <v>75.799999999999955</v>
      </c>
      <c r="C127" s="191">
        <v>179.75</v>
      </c>
      <c r="D127" s="179">
        <f t="shared" si="8"/>
        <v>13625.049999999992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140</v>
      </c>
      <c r="B128" s="181">
        <f>'Données projet'!D126</f>
        <v>74.669999999999959</v>
      </c>
      <c r="C128" s="191">
        <v>179.75</v>
      </c>
      <c r="D128" s="179">
        <f t="shared" si="8"/>
        <v>13421.932499999994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150</v>
      </c>
      <c r="B129" s="181">
        <f>'Données projet'!D127</f>
        <v>259.52</v>
      </c>
      <c r="C129" s="191">
        <v>234.375</v>
      </c>
      <c r="D129" s="179">
        <f t="shared" si="8"/>
        <v>60824.999999999993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153</v>
      </c>
      <c r="B130" s="181">
        <f>'Données projet'!D128</f>
        <v>156.29000000000002</v>
      </c>
      <c r="C130" s="191">
        <v>234.375</v>
      </c>
      <c r="D130" s="179">
        <f t="shared" si="8"/>
        <v>36630.468750000007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156</v>
      </c>
      <c r="B131" s="181">
        <f>'Données projet'!D129</f>
        <v>96.65</v>
      </c>
      <c r="C131" s="191">
        <v>234.375</v>
      </c>
      <c r="D131" s="179">
        <f t="shared" si="8"/>
        <v>22652.34375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159</v>
      </c>
      <c r="B132" s="181">
        <f>'Données projet'!D130</f>
        <v>201.48</v>
      </c>
      <c r="C132" s="191">
        <v>234.375</v>
      </c>
      <c r="D132" s="179">
        <f t="shared" si="8"/>
        <v>47221.875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>Chêne pubescent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34</v>
      </c>
      <c r="B147" s="175">
        <f>'Données projet'!D140</f>
        <v>36.679999999999978</v>
      </c>
      <c r="C147" s="191">
        <v>15</v>
      </c>
      <c r="D147" s="182">
        <f>B147*C147</f>
        <v>550.1999999999997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42</v>
      </c>
      <c r="B148" s="175">
        <f>'Données projet'!D141</f>
        <v>58.099999999999994</v>
      </c>
      <c r="C148" s="191">
        <v>15</v>
      </c>
      <c r="D148" s="182">
        <f t="shared" ref="D148:D166" si="10">B148*C148</f>
        <v>871.49999999999989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50</v>
      </c>
      <c r="B149" s="175">
        <f>'Données projet'!D142</f>
        <v>70.730000000000018</v>
      </c>
      <c r="C149" s="191">
        <v>15</v>
      </c>
      <c r="D149" s="182">
        <f t="shared" si="10"/>
        <v>1060.9500000000003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58</v>
      </c>
      <c r="B150" s="175">
        <f>'Données projet'!D143</f>
        <v>65.819999999999993</v>
      </c>
      <c r="C150" s="191">
        <v>59.875</v>
      </c>
      <c r="D150" s="182">
        <f t="shared" si="10"/>
        <v>3940.9724999999994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66</v>
      </c>
      <c r="B151" s="175">
        <f>'Données projet'!D144</f>
        <v>76.480000000000018</v>
      </c>
      <c r="C151" s="191">
        <v>59.875</v>
      </c>
      <c r="D151" s="182">
        <f t="shared" si="10"/>
        <v>4579.2400000000007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74</v>
      </c>
      <c r="B152" s="175">
        <f>'Données projet'!D145</f>
        <v>75.29000000000002</v>
      </c>
      <c r="C152" s="191">
        <v>59.875</v>
      </c>
      <c r="D152" s="182">
        <f t="shared" si="10"/>
        <v>4507.9887500000013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82</v>
      </c>
      <c r="B153" s="175">
        <f>'Données projet'!D146</f>
        <v>58.140000000000043</v>
      </c>
      <c r="C153" s="191">
        <v>59.875</v>
      </c>
      <c r="D153" s="182">
        <f t="shared" si="10"/>
        <v>3481.1325000000024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90</v>
      </c>
      <c r="B154" s="175">
        <f>'Données projet'!D147</f>
        <v>68.54000000000002</v>
      </c>
      <c r="C154" s="191">
        <v>59.875</v>
      </c>
      <c r="D154" s="182">
        <f t="shared" si="10"/>
        <v>4103.8325000000013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100</v>
      </c>
      <c r="B155" s="175">
        <f>'Données projet'!D148</f>
        <v>93.039999999999964</v>
      </c>
      <c r="C155" s="191">
        <v>179.75</v>
      </c>
      <c r="D155" s="182">
        <f t="shared" si="10"/>
        <v>16723.939999999995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110</v>
      </c>
      <c r="B156" s="175">
        <f>'Données projet'!D149</f>
        <v>73.299999999999955</v>
      </c>
      <c r="C156" s="191">
        <v>179.75</v>
      </c>
      <c r="D156" s="182">
        <f t="shared" si="10"/>
        <v>13175.674999999992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120</v>
      </c>
      <c r="B157" s="175">
        <f>'Données projet'!D150</f>
        <v>66.050000000000011</v>
      </c>
      <c r="C157" s="191">
        <v>179.75</v>
      </c>
      <c r="D157" s="182">
        <f t="shared" si="10"/>
        <v>11872.487500000003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130</v>
      </c>
      <c r="B158" s="175">
        <f>'Données projet'!D151</f>
        <v>75.799999999999955</v>
      </c>
      <c r="C158" s="191">
        <v>179.75</v>
      </c>
      <c r="D158" s="182">
        <f t="shared" si="10"/>
        <v>13625.049999999992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140</v>
      </c>
      <c r="B159" s="175">
        <f>'Données projet'!D152</f>
        <v>74.669999999999959</v>
      </c>
      <c r="C159" s="191">
        <v>179.75</v>
      </c>
      <c r="D159" s="182">
        <f t="shared" si="10"/>
        <v>13421.932499999994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150</v>
      </c>
      <c r="B160" s="175">
        <f>'Données projet'!D153</f>
        <v>259.52</v>
      </c>
      <c r="C160" s="191">
        <v>234.375</v>
      </c>
      <c r="D160" s="182">
        <f t="shared" si="10"/>
        <v>60824.999999999993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153</v>
      </c>
      <c r="B161" s="175">
        <f>'Données projet'!D154</f>
        <v>156.29000000000002</v>
      </c>
      <c r="C161" s="191">
        <v>234.375</v>
      </c>
      <c r="D161" s="182">
        <f t="shared" si="10"/>
        <v>36630.468750000007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156</v>
      </c>
      <c r="B162" s="175">
        <f>'Données projet'!D155</f>
        <v>96.65</v>
      </c>
      <c r="C162" s="191">
        <v>234.375</v>
      </c>
      <c r="D162" s="182">
        <f t="shared" si="10"/>
        <v>22652.34375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159</v>
      </c>
      <c r="B163" s="175">
        <f>'Données projet'!D156</f>
        <v>201.48</v>
      </c>
      <c r="C163" s="191">
        <v>234.375</v>
      </c>
      <c r="D163" s="182">
        <f t="shared" si="10"/>
        <v>47221.875</v>
      </c>
      <c r="E163" s="193">
        <v>60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>Cèdre de l'Atlas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51</v>
      </c>
      <c r="B178" s="181">
        <f>'Données projet'!D166</f>
        <v>101.57999999999998</v>
      </c>
      <c r="C178" s="193">
        <v>17.774999999999999</v>
      </c>
      <c r="D178" s="179">
        <f>B178*C178</f>
        <v>1805.5844999999995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63</v>
      </c>
      <c r="B179" s="181">
        <f>'Données projet'!D167</f>
        <v>115.59000000000003</v>
      </c>
      <c r="C179" s="193">
        <v>30.374999999999996</v>
      </c>
      <c r="D179" s="179">
        <f t="shared" ref="D179:D197" si="11">B179*C179</f>
        <v>3511.0462500000008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75</v>
      </c>
      <c r="B180" s="181">
        <f>'Données projet'!D168</f>
        <v>93.759999999999991</v>
      </c>
      <c r="C180" s="193">
        <v>30.374999999999996</v>
      </c>
      <c r="D180" s="179">
        <f t="shared" si="11"/>
        <v>2847.9599999999996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87</v>
      </c>
      <c r="B181" s="181">
        <f>'Données projet'!D169</f>
        <v>92.519999999999982</v>
      </c>
      <c r="C181" s="193">
        <v>30.374999999999996</v>
      </c>
      <c r="D181" s="179">
        <f t="shared" si="11"/>
        <v>2810.2949999999992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99</v>
      </c>
      <c r="B182" s="181">
        <f>'Données projet'!D170</f>
        <v>222.86</v>
      </c>
      <c r="C182" s="193">
        <v>37.53</v>
      </c>
      <c r="D182" s="179">
        <f t="shared" si="11"/>
        <v>8363.9358000000011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109</v>
      </c>
      <c r="B183" s="181">
        <f>'Données projet'!D171</f>
        <v>290.11</v>
      </c>
      <c r="C183" s="193">
        <v>37.53</v>
      </c>
      <c r="D183" s="179">
        <f t="shared" si="11"/>
        <v>10887.828300000001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>Pin taeda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24</v>
      </c>
      <c r="B209" s="181">
        <f>'Données projet'!D192</f>
        <v>49.61999999999999</v>
      </c>
      <c r="C209" s="193">
        <v>8</v>
      </c>
      <c r="D209" s="179">
        <f>B209*C209</f>
        <v>396.95999999999992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30</v>
      </c>
      <c r="B210" s="181">
        <f>'Données projet'!D193</f>
        <v>37.829999999999984</v>
      </c>
      <c r="C210" s="193">
        <v>13.125</v>
      </c>
      <c r="D210" s="179">
        <f t="shared" ref="D210:D228" si="12">B210*C210</f>
        <v>496.51874999999978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38</v>
      </c>
      <c r="B211" s="181">
        <f>'Données projet'!D194</f>
        <v>54.399999999999977</v>
      </c>
      <c r="C211" s="193">
        <v>24.5</v>
      </c>
      <c r="D211" s="179">
        <f t="shared" si="12"/>
        <v>1332.7999999999995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46</v>
      </c>
      <c r="B212" s="181">
        <f>'Données projet'!D195</f>
        <v>65.679999999999978</v>
      </c>
      <c r="C212" s="193">
        <v>24.5</v>
      </c>
      <c r="D212" s="179">
        <f t="shared" si="12"/>
        <v>1609.1599999999994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54</v>
      </c>
      <c r="B213" s="181">
        <f>'Données projet'!D196</f>
        <v>72.400000000000006</v>
      </c>
      <c r="C213" s="193">
        <v>24.5</v>
      </c>
      <c r="D213" s="179">
        <f t="shared" si="12"/>
        <v>1773.8000000000002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62</v>
      </c>
      <c r="B214" s="181">
        <f>'Données projet'!D197</f>
        <v>325.44</v>
      </c>
      <c r="C214" s="193">
        <v>24.5</v>
      </c>
      <c r="D214" s="179">
        <f t="shared" si="12"/>
        <v>7973.28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1D040C-4181-4CE3-912C-CB1408BAD4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2024-12-18T09:47:33Z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