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# HERMOUET/DE LA FRANQUERIE - 15850127- CD/"/>
    </mc:Choice>
  </mc:AlternateContent>
  <xr:revisionPtr revIDLastSave="0" documentId="14_{95FA9AA0-8854-4C5B-A422-01F4DF075B48}" xr6:coauthVersionLast="47" xr6:coauthVersionMax="47" xr10:uidLastSave="{00000000-0000-0000-0000-000000000000}"/>
  <bookViews>
    <workbookView xWindow="317" yWindow="1920" windowWidth="14606" windowHeight="8889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6" l="1"/>
  <c r="I24" i="6"/>
  <c r="I23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C20" i="2"/>
  <c r="FS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I21" i="2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C113" i="2"/>
  <c r="FS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X155" i="2"/>
  <c r="EY154" i="2"/>
  <c r="DI154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CN156" i="2"/>
  <c r="EC157" i="2"/>
  <c r="EB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I160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A161" i="2"/>
  <c r="EB161" i="2"/>
  <c r="FS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B162" i="2" l="1"/>
  <c r="EY161" i="2"/>
  <c r="DI161" i="2"/>
  <c r="EW162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Y162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A164" i="2"/>
  <c r="HH164" i="2"/>
  <c r="EY163" i="2"/>
  <c r="FR164" i="2"/>
  <c r="DH164" i="2"/>
  <c r="DI163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A167" i="2"/>
  <c r="EB167" i="2"/>
  <c r="FR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HI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Y171" i="2"/>
  <c r="EB172" i="2"/>
  <c r="HG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B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B175" i="2"/>
  <c r="AA175" i="2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A178" i="2"/>
  <c r="EB178" i="2"/>
  <c r="FS178" i="2"/>
  <c r="FQ178" i="2"/>
  <c r="ED177" i="2"/>
  <c r="HH178" i="2"/>
  <c r="HG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I185" i="2"/>
  <c r="EY184" i="2"/>
  <c r="EW185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FS186" i="2"/>
  <c r="ED185" i="2"/>
  <c r="EB186" i="2"/>
  <c r="EA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HH189" i="2" l="1"/>
  <c r="EY188" i="2"/>
  <c r="AA189" i="2"/>
  <c r="EB189" i="2"/>
  <c r="EV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Y189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D190" i="2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C192" i="2"/>
  <c r="EW192" i="2"/>
  <c r="HG192" i="2"/>
  <c r="EA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A193" i="2" l="1"/>
  <c r="DI192" i="2"/>
  <c r="EY192" i="2"/>
  <c r="EB193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HG194" i="2"/>
  <c r="EB194" i="2"/>
  <c r="EA194" i="2"/>
  <c r="HI194" i="2"/>
  <c r="FQ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ED194" i="2"/>
  <c r="HI195" i="2"/>
  <c r="EB195" i="2"/>
  <c r="AA195" i="2"/>
  <c r="FQ195" i="2"/>
  <c r="EX195" i="2"/>
  <c r="EY194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AA197" i="2"/>
  <c r="EY196" i="2"/>
  <c r="FS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FS199" i="2"/>
  <c r="EA199" i="2"/>
  <c r="HH199" i="2"/>
  <c r="EB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D200" i="2" l="1"/>
  <c r="DI200" i="2"/>
  <c r="FS201" i="2"/>
  <c r="EA201" i="2"/>
  <c r="EB201" i="2"/>
  <c r="HH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I202" i="2"/>
  <c r="FS202" i="2"/>
  <c r="EY201" i="2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BC68" i="2" a="1"/>
  <c r="BC68" i="2" s="1"/>
  <c r="BC65" i="2" a="1"/>
  <c r="BC65" i="2" s="1"/>
  <c r="BC181" i="2" a="1"/>
  <c r="BC181" i="2" s="1"/>
  <c r="DN56" i="2" a="1"/>
  <c r="DN56" i="2" s="1"/>
  <c r="EI106" i="2" a="1"/>
  <c r="EI106" i="2" s="1"/>
  <c r="DN41" i="2" a="1"/>
  <c r="DN41" i="2" s="1"/>
  <c r="DN86" i="2" a="1"/>
  <c r="DN86" i="2" s="1"/>
  <c r="FD48" i="2" a="1"/>
  <c r="FD48" i="2" s="1"/>
  <c r="BC130" i="2" a="1"/>
  <c r="BC130" i="2" s="1"/>
  <c r="BC55" i="2" a="1"/>
  <c r="BC55" i="2" s="1"/>
  <c r="BC192" i="2" a="1"/>
  <c r="BC192" i="2" s="1"/>
  <c r="BC164" i="2" a="1"/>
  <c r="BC164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EI67" i="2" a="1"/>
  <c r="EI67" i="2" s="1"/>
  <c r="EI139" i="2" a="1"/>
  <c r="EI139" i="2" s="1"/>
  <c r="EI37" i="2" a="1"/>
  <c r="EI37" i="2" s="1"/>
  <c r="DN162" i="2" a="1"/>
  <c r="DN162" i="2" s="1"/>
  <c r="DN6" i="2" a="1"/>
  <c r="DN6" i="2" s="1"/>
  <c r="DO6" i="2" s="1"/>
  <c r="DN46" i="2" a="1"/>
  <c r="DN46" i="2" s="1"/>
  <c r="HJ202" i="2"/>
  <c r="AX200" i="2"/>
  <c r="FD189" i="2" l="1" a="1"/>
  <c r="FD189" i="2" s="1"/>
  <c r="FD188" i="2" a="1"/>
  <c r="FD188" i="2" s="1"/>
  <c r="EY202" i="2"/>
  <c r="EI35" i="2" a="1"/>
  <c r="EI35" i="2" s="1"/>
  <c r="EI166" i="2" a="1"/>
  <c r="EI166" i="2" s="1"/>
  <c r="EI87" i="2" a="1"/>
  <c r="EI87" i="2" s="1"/>
  <c r="EI109" i="2" a="1"/>
  <c r="EI109" i="2" s="1"/>
  <c r="EI38" i="2" a="1"/>
  <c r="EI38" i="2" s="1"/>
  <c r="EI170" i="2" a="1"/>
  <c r="EI170" i="2" s="1"/>
  <c r="BC32" i="2" a="1"/>
  <c r="BC32" i="2" s="1"/>
  <c r="BC47" i="2" a="1"/>
  <c r="BC47" i="2" s="1"/>
  <c r="FD159" i="2" a="1"/>
  <c r="FD159" i="2" s="1"/>
  <c r="FD167" i="2" a="1"/>
  <c r="FD167" i="2" s="1"/>
  <c r="BC114" i="2" a="1"/>
  <c r="BC114" i="2" s="1"/>
  <c r="BC82" i="2" a="1"/>
  <c r="BC82" i="2" s="1"/>
  <c r="BC58" i="2" a="1"/>
  <c r="BC58" i="2" s="1"/>
  <c r="BC34" i="2" a="1"/>
  <c r="BC34" i="2" s="1"/>
  <c r="BC126" i="2" a="1"/>
  <c r="BC126" i="2" s="1"/>
  <c r="GT15" i="2" a="1"/>
  <c r="GT15" i="2" s="1"/>
  <c r="EI16" i="2" a="1"/>
  <c r="EI16" i="2" s="1"/>
  <c r="EI113" i="2" a="1"/>
  <c r="EI113" i="2" s="1"/>
  <c r="CS137" i="2" a="1"/>
  <c r="CS137" i="2" s="1"/>
  <c r="GT122" i="2" a="1"/>
  <c r="GT122" i="2" s="1"/>
  <c r="FY104" i="2" a="1"/>
  <c r="FY104" i="2" s="1"/>
  <c r="EI20" i="2" a="1"/>
  <c r="EI20" i="2" s="1"/>
  <c r="GT126" i="2" a="1"/>
  <c r="GT126" i="2" s="1"/>
  <c r="EI195" i="2" a="1"/>
  <c r="EI195" i="2" s="1"/>
  <c r="GT51" i="2" a="1"/>
  <c r="GT51" i="2" s="1"/>
  <c r="FY190" i="2" a="1"/>
  <c r="FY190" i="2" s="1"/>
  <c r="GT11" i="2" a="1"/>
  <c r="GT11" i="2" s="1"/>
  <c r="GT174" i="2" a="1"/>
  <c r="GT174" i="2" s="1"/>
  <c r="EI34" i="2" a="1"/>
  <c r="EI34" i="2" s="1"/>
  <c r="GT74" i="2" a="1"/>
  <c r="GT74" i="2" s="1"/>
  <c r="GT68" i="2" a="1"/>
  <c r="GT68" i="2" s="1"/>
  <c r="FY78" i="2" a="1"/>
  <c r="FY78" i="2" s="1"/>
  <c r="GT147" i="2" a="1"/>
  <c r="GT147" i="2" s="1"/>
  <c r="GT152" i="2" a="1"/>
  <c r="GT152" i="2" s="1"/>
  <c r="GT38" i="2" a="1"/>
  <c r="GT38" i="2" s="1"/>
  <c r="EI165" i="2" a="1"/>
  <c r="EI165" i="2" s="1"/>
  <c r="GT178" i="2" a="1"/>
  <c r="GT178" i="2" s="1"/>
  <c r="GT181" i="2" a="1"/>
  <c r="GT181" i="2" s="1"/>
  <c r="FY186" i="2" a="1"/>
  <c r="FY186" i="2" s="1"/>
  <c r="GT107" i="2" a="1"/>
  <c r="GT107" i="2" s="1"/>
  <c r="FY30" i="2" a="1"/>
  <c r="FY30" i="2" s="1"/>
  <c r="GT190" i="2" a="1"/>
  <c r="GT190" i="2" s="1"/>
  <c r="EI71" i="2" a="1"/>
  <c r="EI71" i="2" s="1"/>
  <c r="CS129" i="2" a="1"/>
  <c r="CS129" i="2" s="1"/>
  <c r="GT184" i="2" a="1"/>
  <c r="GT184" i="2" s="1"/>
  <c r="FY69" i="2" a="1"/>
  <c r="FY69" i="2" s="1"/>
  <c r="GT102" i="2" a="1"/>
  <c r="GT102" i="2" s="1"/>
  <c r="GT33" i="2" a="1"/>
  <c r="GT33" i="2" s="1"/>
  <c r="GT133" i="2" a="1"/>
  <c r="GT133" i="2" s="1"/>
  <c r="AH163" i="2" a="1"/>
  <c r="AH163" i="2" s="1"/>
  <c r="FD82" i="2" a="1"/>
  <c r="FD82" i="2" s="1"/>
  <c r="CS52" i="2" a="1"/>
  <c r="CS52" i="2" s="1"/>
  <c r="GT115" i="2" a="1"/>
  <c r="GT115" i="2" s="1"/>
  <c r="FY35" i="2" a="1"/>
  <c r="FY35" i="2" s="1"/>
  <c r="GT138" i="2" a="1"/>
  <c r="GT138" i="2" s="1"/>
  <c r="FY142" i="2" a="1"/>
  <c r="FY142" i="2" s="1"/>
  <c r="FY196" i="2" a="1"/>
  <c r="FY196" i="2" s="1"/>
  <c r="GT191" i="2" a="1"/>
  <c r="GT191" i="2" s="1"/>
  <c r="GT121" i="2" a="1"/>
  <c r="GT121" i="2" s="1"/>
  <c r="EI128" i="2" a="1"/>
  <c r="EI128" i="2" s="1"/>
  <c r="GT189" i="2" a="1"/>
  <c r="GT189" i="2" s="1"/>
  <c r="EI57" i="2" a="1"/>
  <c r="EI57" i="2" s="1"/>
  <c r="GT198" i="2" a="1"/>
  <c r="GT198" i="2" s="1"/>
  <c r="EI36" i="2" a="1"/>
  <c r="EI36" i="2" s="1"/>
  <c r="GT21" i="2" a="1"/>
  <c r="GT21" i="2" s="1"/>
  <c r="FD160" i="2" a="1"/>
  <c r="FD160" i="2" s="1"/>
  <c r="EI142" i="2" a="1"/>
  <c r="EI142" i="2" s="1"/>
  <c r="FY50" i="2" a="1"/>
  <c r="FY50" i="2" s="1"/>
  <c r="FS203" i="2"/>
  <c r="DN177" i="2" a="1"/>
  <c r="DN177" i="2" s="1"/>
  <c r="DN164" i="2" a="1"/>
  <c r="DN164" i="2" s="1"/>
  <c r="DN114" i="2" a="1"/>
  <c r="DN114" i="2" s="1"/>
  <c r="DN38" i="2" a="1"/>
  <c r="DN38" i="2" s="1"/>
  <c r="DN80" i="2" a="1"/>
  <c r="DN80" i="2" s="1"/>
  <c r="DN70" i="2" a="1"/>
  <c r="DN70" i="2" s="1"/>
  <c r="DN168" i="2" a="1"/>
  <c r="DN168" i="2" s="1"/>
  <c r="DN123" i="2" a="1"/>
  <c r="DN123" i="2" s="1"/>
  <c r="DN50" i="2" a="1"/>
  <c r="DN50" i="2" s="1"/>
  <c r="DN124" i="2" a="1"/>
  <c r="DN124" i="2" s="1"/>
  <c r="DN49" i="2" a="1"/>
  <c r="DN49" i="2" s="1"/>
  <c r="DN63" i="2" a="1"/>
  <c r="DN63" i="2" s="1"/>
  <c r="DN190" i="2" a="1"/>
  <c r="DN190" i="2" s="1"/>
  <c r="DN137" i="2" a="1"/>
  <c r="DN137" i="2" s="1"/>
  <c r="DN170" i="2" a="1"/>
  <c r="DN170" i="2" s="1"/>
  <c r="DN187" i="2" a="1"/>
  <c r="DN187" i="2" s="1"/>
  <c r="DN155" i="2" a="1"/>
  <c r="DN155" i="2" s="1"/>
  <c r="DN110" i="2" a="1"/>
  <c r="DN110" i="2" s="1"/>
  <c r="DN150" i="2" a="1"/>
  <c r="DN150" i="2" s="1"/>
  <c r="DN25" i="2" a="1"/>
  <c r="DN25" i="2" s="1"/>
  <c r="DN176" i="2" a="1"/>
  <c r="DN176" i="2" s="1"/>
  <c r="DN186" i="2" a="1"/>
  <c r="DN186" i="2" s="1"/>
  <c r="DN153" i="2" a="1"/>
  <c r="DN153" i="2" s="1"/>
  <c r="DN103" i="2" a="1"/>
  <c r="DN103" i="2" s="1"/>
  <c r="DN129" i="2" a="1"/>
  <c r="DN129" i="2" s="1"/>
  <c r="DN113" i="2" a="1"/>
  <c r="DN113" i="2" s="1"/>
  <c r="DN45" i="2" a="1"/>
  <c r="DN45" i="2" s="1"/>
  <c r="DN31" i="2" a="1"/>
  <c r="DN31" i="2" s="1"/>
  <c r="DN192" i="2" a="1"/>
  <c r="DN192" i="2" s="1"/>
  <c r="DN184" i="2" a="1"/>
  <c r="DN184" i="2" s="1"/>
  <c r="DN132" i="2" a="1"/>
  <c r="DN132" i="2" s="1"/>
  <c r="DN167" i="2" a="1"/>
  <c r="DN167" i="2" s="1"/>
  <c r="DN66" i="2" a="1"/>
  <c r="DN66" i="2" s="1"/>
  <c r="DN152" i="2" a="1"/>
  <c r="DN152" i="2" s="1"/>
  <c r="DN43" i="2" a="1"/>
  <c r="DN43" i="2" s="1"/>
  <c r="DN115" i="2" a="1"/>
  <c r="DN115" i="2" s="1"/>
  <c r="DN135" i="2" a="1"/>
  <c r="DN135" i="2" s="1"/>
  <c r="DN133" i="2" a="1"/>
  <c r="DN133" i="2" s="1"/>
  <c r="DN65" i="2" a="1"/>
  <c r="DN65" i="2" s="1"/>
  <c r="DN55" i="2" a="1"/>
  <c r="DN55" i="2" s="1"/>
  <c r="DN30" i="2" a="1"/>
  <c r="DN30" i="2" s="1"/>
  <c r="DN16" i="2" a="1"/>
  <c r="DN16" i="2" s="1"/>
  <c r="DN188" i="2" a="1"/>
  <c r="DN188" i="2" s="1"/>
  <c r="DN29" i="2" a="1"/>
  <c r="DN29" i="2" s="1"/>
  <c r="CS72" i="2" a="1"/>
  <c r="CS72" i="2" s="1"/>
  <c r="CS185" i="2" a="1"/>
  <c r="CS185" i="2" s="1"/>
  <c r="CS120" i="2" a="1"/>
  <c r="CS120" i="2" s="1"/>
  <c r="CS116" i="2" a="1"/>
  <c r="CS116" i="2" s="1"/>
  <c r="CS38" i="2" a="1"/>
  <c r="CS38" i="2" s="1"/>
  <c r="CS105" i="2" a="1"/>
  <c r="CS105" i="2" s="1"/>
  <c r="CS66" i="2" a="1"/>
  <c r="CS66" i="2" s="1"/>
  <c r="CS134" i="2" a="1"/>
  <c r="CS134" i="2" s="1"/>
  <c r="CS161" i="2" a="1"/>
  <c r="CS161" i="2" s="1"/>
  <c r="CS114" i="2" a="1"/>
  <c r="CS114" i="2" s="1"/>
  <c r="CS24" i="2" a="1"/>
  <c r="CS24" i="2" s="1"/>
  <c r="CS56" i="2" a="1"/>
  <c r="CS56" i="2" s="1"/>
  <c r="CS77" i="2" a="1"/>
  <c r="CS77" i="2" s="1"/>
  <c r="BX107" i="2" a="1"/>
  <c r="BX107" i="2" s="1"/>
  <c r="BC117" i="2" a="1"/>
  <c r="BC117" i="2" s="1"/>
  <c r="AH199" i="2" a="1"/>
  <c r="AH199" i="2" s="1"/>
  <c r="AH166" i="2" a="1"/>
  <c r="AH166" i="2" s="1"/>
  <c r="AH19" i="2" a="1"/>
  <c r="AH19" i="2" s="1"/>
  <c r="AH62" i="2" a="1"/>
  <c r="AH62" i="2" s="1"/>
  <c r="AH92" i="2" a="1"/>
  <c r="AH92" i="2" s="1"/>
  <c r="AH90" i="2" a="1"/>
  <c r="AH90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J124" i="2" l="1"/>
  <c r="FJ73" i="2"/>
  <c r="FJ135" i="2"/>
  <c r="FJ128" i="2"/>
  <c r="FJ187" i="2"/>
  <c r="FJ198" i="2"/>
  <c r="FJ169" i="2"/>
  <c r="FJ38" i="2"/>
  <c r="FJ183" i="2"/>
  <c r="FJ106" i="2"/>
  <c r="FJ167" i="2"/>
  <c r="FJ123" i="2"/>
  <c r="FJ25" i="2"/>
  <c r="FJ188" i="2"/>
  <c r="FJ40" i="2"/>
  <c r="FJ139" i="2"/>
  <c r="FJ203" i="2"/>
  <c r="FJ174" i="2"/>
  <c r="FJ91" i="2"/>
  <c r="FJ181" i="2"/>
  <c r="FJ60" i="2"/>
  <c r="FJ35" i="2"/>
  <c r="FJ99" i="2"/>
  <c r="FJ150" i="2"/>
  <c r="FJ102" i="2"/>
  <c r="FJ110" i="2"/>
  <c r="FJ65" i="2"/>
  <c r="FJ144" i="2"/>
  <c r="FJ44" i="2"/>
  <c r="FJ19" i="2"/>
  <c r="FJ143" i="2"/>
  <c r="FJ194" i="2"/>
  <c r="FJ158" i="2"/>
  <c r="FJ84" i="2"/>
  <c r="FJ103" i="2"/>
  <c r="FE84" i="2"/>
  <c r="FF83" i="2"/>
  <c r="FG83" i="2" s="1"/>
  <c r="FH83" i="2" s="1"/>
  <c r="FI83" i="2" s="1"/>
  <c r="FJ154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76" i="2" l="1"/>
  <c r="FJ163" i="2"/>
  <c r="FJ191" i="2"/>
  <c r="FJ37" i="2"/>
  <c r="FJ116" i="2"/>
  <c r="FJ113" i="2"/>
  <c r="FJ11" i="2"/>
  <c r="FJ80" i="2"/>
  <c r="FJ89" i="2"/>
  <c r="FJ165" i="2"/>
  <c r="FJ81" i="2"/>
  <c r="FJ118" i="2"/>
  <c r="FJ36" i="2"/>
  <c r="FJ202" i="2"/>
  <c r="FJ28" i="2"/>
  <c r="FJ157" i="2"/>
  <c r="FJ58" i="2"/>
  <c r="FJ3" i="2"/>
  <c r="C13" i="4" s="1"/>
  <c r="E13" i="4" s="1"/>
  <c r="F13" i="4" s="1"/>
  <c r="G13" i="4" s="1"/>
  <c r="L13" i="4" s="1"/>
  <c r="FJ22" i="2"/>
  <c r="FJ43" i="2"/>
  <c r="FJ96" i="2"/>
  <c r="FJ16" i="2"/>
  <c r="FJ63" i="2"/>
  <c r="FJ6" i="2"/>
  <c r="FJ153" i="2"/>
  <c r="FJ111" i="2"/>
  <c r="FJ68" i="2"/>
  <c r="FJ17" i="2"/>
  <c r="FJ147" i="2"/>
  <c r="FJ101" i="2"/>
  <c r="FJ54" i="2"/>
  <c r="FJ114" i="2"/>
  <c r="FJ100" i="2"/>
  <c r="FJ164" i="2"/>
  <c r="FJ5" i="2"/>
  <c r="FJ56" i="2"/>
  <c r="FJ50" i="2"/>
  <c r="FJ85" i="2"/>
  <c r="FJ9" i="2"/>
  <c r="FJ130" i="2"/>
  <c r="FJ47" i="2"/>
  <c r="FJ12" i="2"/>
  <c r="FJ162" i="2"/>
  <c r="FJ133" i="2"/>
  <c r="FJ83" i="2"/>
  <c r="FJ72" i="2"/>
  <c r="FJ21" i="2"/>
  <c r="FJ122" i="2"/>
  <c r="FJ180" i="2"/>
  <c r="FJ131" i="2"/>
  <c r="FJ13" i="2"/>
  <c r="FJ67" i="2"/>
  <c r="FJ200" i="2"/>
  <c r="FJ149" i="2"/>
  <c r="FJ45" i="2"/>
  <c r="FJ136" i="2"/>
  <c r="FJ193" i="2"/>
  <c r="FJ182" i="2"/>
  <c r="FJ107" i="2"/>
  <c r="FJ192" i="2"/>
  <c r="FJ138" i="2"/>
  <c r="FJ112" i="2"/>
  <c r="FJ76" i="2"/>
  <c r="FJ51" i="2"/>
  <c r="FJ18" i="2"/>
  <c r="FJ66" i="2"/>
  <c r="FJ15" i="2"/>
  <c r="FJ94" i="2"/>
  <c r="FJ177" i="2"/>
  <c r="FJ20" i="2"/>
  <c r="FJ127" i="2"/>
  <c r="FJ26" i="2"/>
  <c r="FJ29" i="2"/>
  <c r="FJ39" i="2"/>
  <c r="FJ64" i="2"/>
  <c r="FJ170" i="2"/>
  <c r="FJ70" i="2"/>
  <c r="FJ34" i="2"/>
  <c r="FJ196" i="2"/>
  <c r="FJ179" i="2"/>
  <c r="FJ79" i="2"/>
  <c r="FJ49" i="2"/>
  <c r="FJ78" i="2"/>
  <c r="FJ201" i="2"/>
  <c r="FJ24" i="2"/>
  <c r="FJ151" i="2"/>
  <c r="FJ178" i="2"/>
  <c r="FJ195" i="2"/>
  <c r="FJ121" i="2"/>
  <c r="FJ46" i="2"/>
  <c r="FJ55" i="2"/>
  <c r="FJ77" i="2"/>
  <c r="FJ115" i="2"/>
  <c r="FJ146" i="2"/>
  <c r="FJ190" i="2"/>
  <c r="FJ31" i="2"/>
  <c r="FJ82" i="2"/>
  <c r="FJ155" i="2"/>
  <c r="FJ160" i="2"/>
  <c r="FJ145" i="2"/>
  <c r="FJ168" i="2"/>
  <c r="FJ141" i="2"/>
  <c r="FJ53" i="2"/>
  <c r="FJ86" i="2"/>
  <c r="FJ97" i="2"/>
  <c r="FJ117" i="2"/>
  <c r="FJ173" i="2"/>
  <c r="FJ184" i="2"/>
  <c r="FJ30" i="2"/>
  <c r="FJ27" i="2"/>
  <c r="FJ161" i="2"/>
  <c r="FJ132" i="2"/>
  <c r="FJ186" i="2"/>
  <c r="FJ87" i="2"/>
  <c r="FJ199" i="2"/>
  <c r="FJ41" i="2"/>
  <c r="FJ88" i="2"/>
  <c r="FJ75" i="2"/>
  <c r="FJ159" i="2"/>
  <c r="FJ62" i="2"/>
  <c r="FJ166" i="2"/>
  <c r="FJ23" i="2"/>
  <c r="FJ125" i="2"/>
  <c r="FJ98" i="2"/>
  <c r="FJ57" i="2"/>
  <c r="FJ74" i="2"/>
  <c r="FJ61" i="2"/>
  <c r="FJ92" i="2"/>
  <c r="FJ126" i="2"/>
  <c r="FJ48" i="2"/>
  <c r="FJ119" i="2"/>
  <c r="FJ109" i="2"/>
  <c r="FJ120" i="2"/>
  <c r="FJ59" i="2"/>
  <c r="FJ142" i="2"/>
  <c r="FJ104" i="2"/>
  <c r="FJ185" i="2"/>
  <c r="FJ69" i="2"/>
  <c r="FJ4" i="2"/>
  <c r="FJ140" i="2"/>
  <c r="FJ71" i="2"/>
  <c r="FJ134" i="2"/>
  <c r="FJ8" i="2"/>
  <c r="FJ93" i="2"/>
  <c r="FJ175" i="2"/>
  <c r="FJ148" i="2"/>
  <c r="FJ197" i="2"/>
  <c r="FJ14" i="2"/>
  <c r="FJ7" i="2"/>
  <c r="FJ42" i="2"/>
  <c r="FJ189" i="2"/>
  <c r="FJ10" i="2"/>
  <c r="FJ33" i="2"/>
  <c r="FJ172" i="2"/>
  <c r="FJ108" i="2"/>
  <c r="FJ105" i="2"/>
  <c r="FJ152" i="2"/>
  <c r="FJ156" i="2"/>
  <c r="FJ137" i="2"/>
  <c r="FJ52" i="2"/>
  <c r="FJ32" i="2"/>
  <c r="FJ171" i="2"/>
  <c r="FJ95" i="2"/>
  <c r="FJ129" i="2"/>
  <c r="FJ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D60" i="2" l="1"/>
  <c r="CD119" i="2"/>
  <c r="CD70" i="2"/>
  <c r="CD35" i="2"/>
  <c r="CD81" i="2"/>
  <c r="CD63" i="2"/>
  <c r="CD172" i="2"/>
  <c r="CD25" i="2"/>
  <c r="CD74" i="2"/>
  <c r="CD138" i="2"/>
  <c r="CD184" i="2"/>
  <c r="CD99" i="2"/>
  <c r="CD77" i="2"/>
  <c r="CD163" i="2"/>
  <c r="CD188" i="2"/>
  <c r="CD169" i="2"/>
  <c r="CD9" i="2"/>
  <c r="CD58" i="2"/>
  <c r="CD173" i="2"/>
  <c r="CD72" i="2"/>
  <c r="CD134" i="2"/>
  <c r="CD41" i="2"/>
  <c r="CD75" i="2"/>
  <c r="CD16" i="2"/>
  <c r="CD92" i="2"/>
  <c r="CD198" i="2"/>
  <c r="CD193" i="2"/>
  <c r="CD187" i="2"/>
  <c r="CD180" i="2"/>
  <c r="CD113" i="2"/>
  <c r="CD12" i="2"/>
  <c r="CD3" i="2"/>
  <c r="C9" i="4" s="1"/>
  <c r="E9" i="4" s="1"/>
  <c r="F9" i="4" s="1"/>
  <c r="G9" i="4" s="1"/>
  <c r="L9" i="4" s="1"/>
  <c r="CD136" i="2"/>
  <c r="CD33" i="2"/>
  <c r="CD98" i="2"/>
  <c r="CD71" i="2"/>
  <c r="CD42" i="2"/>
  <c r="CD62" i="2"/>
  <c r="CD165" i="2"/>
  <c r="CD185" i="2"/>
  <c r="CD202" i="2"/>
  <c r="CD14" i="2"/>
  <c r="CD114" i="2"/>
  <c r="CD170" i="2"/>
  <c r="CD13" i="2"/>
  <c r="CD189" i="2"/>
  <c r="CD30" i="2"/>
  <c r="CD168" i="2"/>
  <c r="CD53" i="2"/>
  <c r="CD181" i="2"/>
  <c r="CD128" i="2"/>
  <c r="CD126" i="2"/>
  <c r="CD47" i="2"/>
  <c r="CD8" i="2"/>
  <c r="CD179" i="2"/>
  <c r="CD101" i="2"/>
  <c r="CD24" i="2"/>
  <c r="CD85" i="2"/>
  <c r="CD139" i="2"/>
  <c r="CD31" i="2"/>
  <c r="CD122" i="2"/>
  <c r="CD103" i="2"/>
  <c r="CD102" i="2"/>
  <c r="CD112" i="2"/>
  <c r="CD194" i="2"/>
  <c r="CD88" i="2"/>
  <c r="CD117" i="2"/>
  <c r="CD166" i="2"/>
  <c r="CD160" i="2"/>
  <c r="CD186" i="2"/>
  <c r="CD97" i="2"/>
  <c r="CD200" i="2"/>
  <c r="CD137" i="2"/>
  <c r="CD199" i="2"/>
  <c r="CD22" i="2"/>
  <c r="CD147" i="2"/>
  <c r="CD93" i="2"/>
  <c r="CD100" i="2"/>
  <c r="CD130" i="2"/>
  <c r="CD148" i="2"/>
  <c r="CD144" i="2"/>
  <c r="CD192" i="2"/>
  <c r="CD152" i="2"/>
  <c r="CD196" i="2"/>
  <c r="CD79" i="2"/>
  <c r="CD124" i="2"/>
  <c r="CD178" i="2"/>
  <c r="CD5" i="2"/>
  <c r="CD167" i="2"/>
  <c r="CD23" i="2"/>
  <c r="CD61" i="2"/>
  <c r="CD26" i="2"/>
  <c r="CD131" i="2"/>
  <c r="CD56" i="2"/>
  <c r="CD132" i="2"/>
  <c r="CD121" i="2"/>
  <c r="CD143" i="2"/>
  <c r="CD40" i="2"/>
  <c r="CD21" i="2"/>
  <c r="CD94" i="2"/>
  <c r="CD177" i="2"/>
  <c r="CD141" i="2"/>
  <c r="CD73" i="2"/>
  <c r="CD10" i="2"/>
  <c r="CD65" i="2"/>
  <c r="CD106" i="2"/>
  <c r="CD37" i="2"/>
  <c r="CD59" i="2"/>
  <c r="CD80" i="2"/>
  <c r="CD55" i="2"/>
  <c r="CD127" i="2"/>
  <c r="CD107" i="2"/>
  <c r="CD175" i="2"/>
  <c r="CD110" i="2"/>
  <c r="CD48" i="2"/>
  <c r="CD18" i="2"/>
  <c r="CD28" i="2"/>
  <c r="CD133" i="2"/>
  <c r="CD129" i="2"/>
  <c r="CD32" i="2"/>
  <c r="CD190" i="2"/>
  <c r="CD95" i="2"/>
  <c r="CD161" i="2"/>
  <c r="CD162" i="2"/>
  <c r="CD111" i="2"/>
  <c r="CD118" i="2"/>
  <c r="CD66" i="2"/>
  <c r="CD46" i="2"/>
  <c r="CD157" i="2"/>
  <c r="CD29" i="2"/>
  <c r="CD96" i="2"/>
  <c r="CD91" i="2"/>
  <c r="CD43" i="2"/>
  <c r="CD52" i="2"/>
  <c r="CD201" i="2"/>
  <c r="CD150" i="2"/>
  <c r="CD135" i="2"/>
  <c r="CD156" i="2"/>
  <c r="CD153" i="2"/>
  <c r="CD197" i="2"/>
  <c r="CD149" i="2"/>
  <c r="CD20" i="2"/>
  <c r="CD57" i="2"/>
  <c r="CD11" i="2"/>
  <c r="CD86" i="2"/>
  <c r="CD34" i="2"/>
  <c r="CD67" i="2"/>
  <c r="CD51" i="2"/>
  <c r="CD120" i="2"/>
  <c r="CD15" i="2"/>
  <c r="CD50" i="2"/>
  <c r="CD44" i="2"/>
  <c r="CD54" i="2"/>
  <c r="CD90" i="2"/>
  <c r="CD191" i="2"/>
  <c r="CD195" i="2"/>
  <c r="CD38" i="2"/>
  <c r="CD140" i="2"/>
  <c r="CD164" i="2"/>
  <c r="CD116" i="2"/>
  <c r="CD115" i="2"/>
  <c r="CD155" i="2"/>
  <c r="CD84" i="2"/>
  <c r="CD17" i="2"/>
  <c r="CD123" i="2"/>
  <c r="CD203" i="2"/>
  <c r="CD68" i="2"/>
  <c r="CD4" i="2"/>
  <c r="CD146" i="2"/>
  <c r="CD89" i="2"/>
  <c r="CD27" i="2"/>
  <c r="CD171" i="2"/>
  <c r="CD108" i="2"/>
  <c r="CD78" i="2"/>
  <c r="CD7" i="2"/>
  <c r="CD159" i="2"/>
  <c r="CD182" i="2"/>
  <c r="CD36" i="2"/>
  <c r="CD76" i="2"/>
  <c r="CD45" i="2"/>
  <c r="CD142" i="2"/>
  <c r="CD174" i="2"/>
  <c r="CD109" i="2"/>
  <c r="CD176" i="2"/>
  <c r="CD6" i="2"/>
  <c r="CD64" i="2"/>
  <c r="CD87" i="2"/>
  <c r="CD145" i="2"/>
  <c r="CD151" i="2"/>
  <c r="CD49" i="2"/>
  <c r="CD19" i="2"/>
  <c r="CD104" i="2"/>
  <c r="CD83" i="2"/>
  <c r="CD105" i="2"/>
  <c r="CD69" i="2"/>
  <c r="CD39" i="2"/>
  <c r="CD183" i="2"/>
  <c r="CD125" i="2"/>
  <c r="CD154" i="2"/>
  <c r="CD82" i="2"/>
  <c r="CD158" i="2"/>
  <c r="DT125" i="2"/>
  <c r="DT124" i="2"/>
  <c r="DT27" i="2"/>
  <c r="DT13" i="2"/>
  <c r="DT186" i="2"/>
  <c r="DT20" i="2"/>
  <c r="DT47" i="2"/>
  <c r="DT128" i="2"/>
  <c r="DT43" i="2"/>
  <c r="DT113" i="2"/>
  <c r="DT93" i="2"/>
  <c r="DT200" i="2"/>
  <c r="DT147" i="2"/>
  <c r="DT50" i="2"/>
  <c r="DT133" i="2"/>
  <c r="DT7" i="2"/>
  <c r="DT31" i="2"/>
  <c r="DT201" i="2"/>
  <c r="DT11" i="2"/>
  <c r="DT132" i="2"/>
  <c r="DT134" i="2"/>
  <c r="DT89" i="2"/>
  <c r="DT64" i="2"/>
  <c r="DT44" i="2"/>
  <c r="DT15" i="2"/>
  <c r="DT25" i="2"/>
  <c r="DT131" i="2"/>
  <c r="DT165" i="2"/>
  <c r="DT116" i="2"/>
  <c r="DT16" i="2"/>
  <c r="DT184" i="2"/>
  <c r="DT19" i="2"/>
  <c r="DT84" i="2"/>
  <c r="DT57" i="2"/>
  <c r="DT115" i="2"/>
  <c r="DT183" i="2"/>
  <c r="DT151" i="2"/>
  <c r="DT70" i="2"/>
  <c r="DT39" i="2"/>
  <c r="DT59" i="2"/>
  <c r="DT180" i="2"/>
  <c r="DT99" i="2"/>
  <c r="DT136" i="2"/>
  <c r="DT182" i="2"/>
  <c r="DT203" i="2"/>
  <c r="DT140" i="2"/>
  <c r="DT105" i="2"/>
  <c r="DT164" i="2"/>
  <c r="DT155" i="2"/>
  <c r="DT175" i="2"/>
  <c r="DT58" i="2"/>
  <c r="DT104" i="2"/>
  <c r="DT150" i="2"/>
  <c r="DT35" i="2"/>
  <c r="DT129" i="2"/>
  <c r="DT67" i="2"/>
  <c r="DT60" i="2"/>
  <c r="DT122" i="2"/>
  <c r="DT103" i="2"/>
  <c r="DT66" i="2"/>
  <c r="DT34" i="2"/>
  <c r="DT159" i="2"/>
  <c r="DT48" i="2"/>
  <c r="DT139" i="2"/>
  <c r="DT192" i="2"/>
  <c r="DT29" i="2"/>
  <c r="DT127" i="2"/>
  <c r="DT56" i="2"/>
  <c r="DT86" i="2"/>
  <c r="DT193" i="2"/>
  <c r="DT95" i="2"/>
  <c r="DT126" i="2"/>
  <c r="DT107" i="2"/>
  <c r="DT199" i="2"/>
  <c r="DT119" i="2"/>
  <c r="DT85" i="2"/>
  <c r="DT17" i="2"/>
  <c r="DT53" i="2"/>
  <c r="DT100" i="2"/>
  <c r="DT10" i="2"/>
  <c r="DT52" i="2"/>
  <c r="DT108" i="2"/>
  <c r="DT77" i="2"/>
  <c r="DT22" i="2"/>
  <c r="DT38" i="2"/>
  <c r="DT148" i="2"/>
  <c r="DT78" i="2"/>
  <c r="DT98" i="2"/>
  <c r="DT142" i="2"/>
  <c r="DT91" i="2"/>
  <c r="DT51" i="2"/>
  <c r="DT30" i="2"/>
  <c r="DT94" i="2"/>
  <c r="DT156" i="2"/>
  <c r="DT61" i="2"/>
  <c r="DT92" i="2"/>
  <c r="DT109" i="2"/>
  <c r="DT79" i="2"/>
  <c r="DT65" i="2"/>
  <c r="DT143" i="2"/>
  <c r="DT117" i="2"/>
  <c r="DT158" i="2"/>
  <c r="DT63" i="2"/>
  <c r="DT141" i="2"/>
  <c r="DT138" i="2"/>
  <c r="DT177" i="2"/>
  <c r="DT26" i="2"/>
  <c r="DT198" i="2"/>
  <c r="DT97" i="2"/>
  <c r="DT157" i="2"/>
  <c r="DT18" i="2"/>
  <c r="DT187" i="2"/>
  <c r="DT75" i="2"/>
  <c r="DT173" i="2"/>
  <c r="DT106" i="2"/>
  <c r="DT28" i="2"/>
  <c r="DT190" i="2"/>
  <c r="DT49" i="2"/>
  <c r="DT6" i="2"/>
  <c r="DT130" i="2"/>
  <c r="DT185" i="2"/>
  <c r="DT144" i="2"/>
  <c r="DT12" i="2"/>
  <c r="DT120" i="2"/>
  <c r="DT189" i="2"/>
  <c r="DT69" i="2"/>
  <c r="DT161" i="2"/>
  <c r="DT71" i="2"/>
  <c r="DT188" i="2"/>
  <c r="DT82" i="2"/>
  <c r="DT179" i="2"/>
  <c r="DT162" i="2"/>
  <c r="DT160" i="2"/>
  <c r="DT172" i="2"/>
  <c r="DT42" i="2"/>
  <c r="DT168" i="2"/>
  <c r="DT46" i="2"/>
  <c r="DT36" i="2"/>
  <c r="DT166" i="2"/>
  <c r="DT23" i="2"/>
  <c r="DT123" i="2"/>
  <c r="DT154" i="2"/>
  <c r="DT170" i="2"/>
  <c r="DT14" i="2"/>
  <c r="DT45" i="2"/>
  <c r="DT145" i="2"/>
  <c r="DT87" i="2"/>
  <c r="DT73" i="2"/>
  <c r="DT178" i="2"/>
  <c r="DT163" i="2"/>
  <c r="DT194" i="2"/>
  <c r="DT152" i="2"/>
  <c r="DT195" i="2"/>
  <c r="DT21" i="2"/>
  <c r="DT55" i="2"/>
  <c r="DT135" i="2"/>
  <c r="DT9" i="2"/>
  <c r="DT76" i="2"/>
  <c r="DT40" i="2"/>
  <c r="DT8" i="2"/>
  <c r="DT54" i="2"/>
  <c r="DT167" i="2"/>
  <c r="DT68" i="2"/>
  <c r="DT149" i="2"/>
  <c r="DT196" i="2"/>
  <c r="DT197" i="2"/>
  <c r="DT5" i="2"/>
  <c r="DT112" i="2"/>
  <c r="DT153" i="2"/>
  <c r="DT74" i="2"/>
  <c r="DT137" i="2"/>
  <c r="DT24" i="2"/>
  <c r="DT90" i="2"/>
  <c r="DT83" i="2"/>
  <c r="DT41" i="2"/>
  <c r="DT72" i="2"/>
  <c r="DT80" i="2"/>
  <c r="DT37" i="2"/>
  <c r="DT81" i="2"/>
  <c r="DT121" i="2"/>
  <c r="DT32" i="2"/>
  <c r="DT88" i="2"/>
  <c r="DT114" i="2"/>
  <c r="DT174" i="2"/>
  <c r="DT33" i="2"/>
  <c r="DT3" i="2"/>
  <c r="C11" i="4" s="1"/>
  <c r="E11" i="4" s="1"/>
  <c r="F11" i="4" s="1"/>
  <c r="G11" i="4" s="1"/>
  <c r="L11" i="4" s="1"/>
  <c r="DT111" i="2"/>
  <c r="DT169" i="2"/>
  <c r="DT191" i="2"/>
  <c r="DT4" i="2"/>
  <c r="DT102" i="2"/>
  <c r="DT176" i="2"/>
  <c r="DT110" i="2"/>
  <c r="DT181" i="2"/>
  <c r="DT146" i="2"/>
  <c r="DT101" i="2"/>
  <c r="DT62" i="2"/>
  <c r="DT171" i="2"/>
  <c r="DT118" i="2"/>
  <c r="DT202" i="2"/>
  <c r="DT96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<sst xmlns="http://schemas.openxmlformats.org/spreadsheetml/2006/main" count="1177" uniqueCount="324">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</sst>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10.054116155559297</c:v>
                </c:pt>
                <c:pt idx="2">
                  <c:v>19.670529704904983</c:v>
                </c:pt>
                <c:pt idx="3">
                  <c:v>29.145587283740067</c:v>
                </c:pt>
                <c:pt idx="4">
                  <c:v>38.533509753361791</c:v>
                </c:pt>
                <c:pt idx="5">
                  <c:v>47.858871785587461</c:v>
                </c:pt>
                <c:pt idx="6">
                  <c:v>57.135691799242814</c:v>
                </c:pt>
                <c:pt idx="7">
                  <c:v>66.373006926914783</c:v>
                </c:pt>
                <c:pt idx="8">
                  <c:v>75.577111888235933</c:v>
                </c:pt>
                <c:pt idx="9">
                  <c:v>84.752633382211499</c:v>
                </c:pt>
                <c:pt idx="10">
                  <c:v>93.903109635645436</c:v>
                </c:pt>
                <c:pt idx="11">
                  <c:v>103.03133028043521</c:v>
                </c:pt>
                <c:pt idx="12">
                  <c:v>112.13954865102259</c:v>
                </c:pt>
                <c:pt idx="13">
                  <c:v>121.22962111033615</c:v>
                </c:pt>
                <c:pt idx="14">
                  <c:v>130.30310220341408</c:v>
                </c:pt>
                <c:pt idx="15">
                  <c:v>139.36131181345283</c:v>
                </c:pt>
                <c:pt idx="16">
                  <c:v>148.40538388297122</c:v>
                </c:pt>
                <c:pt idx="17">
                  <c:v>157.43630260034357</c:v>
                </c:pt>
                <c:pt idx="18">
                  <c:v>166.45492982619194</c:v>
                </c:pt>
                <c:pt idx="19">
                  <c:v>175.462026250294</c:v>
                </c:pt>
                <c:pt idx="20">
                  <c:v>184.45826796733903</c:v>
                </c:pt>
                <c:pt idx="21">
                  <c:v>193.44425964332299</c:v>
                </c:pt>
                <c:pt idx="22">
                  <c:v>202.42054510300082</c:v>
                </c:pt>
                <c:pt idx="23">
                  <c:v>211.38761593793268</c:v>
                </c:pt>
                <c:pt idx="24">
                  <c:v>220.34591857523677</c:v>
                </c:pt>
                <c:pt idx="25">
                  <c:v>229.29586013501878</c:v>
                </c:pt>
                <c:pt idx="26">
                  <c:v>238.23781332423221</c:v>
                </c:pt>
                <c:pt idx="27">
                  <c:v>247.17212055645965</c:v>
                </c:pt>
                <c:pt idx="28">
                  <c:v>256.09909744419912</c:v>
                </c:pt>
                <c:pt idx="29">
                  <c:v>265.01903577823191</c:v>
                </c:pt>
                <c:pt idx="30">
                  <c:v>273.93220608449866</c:v>
                </c:pt>
                <c:pt idx="31">
                  <c:v>282.83885983048071</c:v>
                </c:pt>
                <c:pt idx="32">
                  <c:v>291.73923133889144</c:v>
                </c:pt>
                <c:pt idx="33">
                  <c:v>300.63353945543383</c:v>
                </c:pt>
                <c:pt idx="34">
                  <c:v>309.52198900872827</c:v>
                </c:pt>
                <c:pt idx="35">
                  <c:v>318.40477209365588</c:v>
                </c:pt>
                <c:pt idx="36">
                  <c:v>327.2820692039133</c:v>
                </c:pt>
                <c:pt idx="37">
                  <c:v>336.15405023518832</c:v>
                </c:pt>
                <c:pt idx="38">
                  <c:v>345.02087537683605</c:v>
                </c:pt>
                <c:pt idx="39">
                  <c:v>353.88269590705289</c:v>
                </c:pt>
                <c:pt idx="40">
                  <c:v>362.73965490420022</c:v>
                </c:pt>
                <c:pt idx="41">
                  <c:v>371.59188788499273</c:v>
                </c:pt>
                <c:pt idx="42">
                  <c:v>380.43952337867154</c:v>
                </c:pt>
                <c:pt idx="43">
                  <c:v>305.94993325599131</c:v>
                </c:pt>
                <c:pt idx="44">
                  <c:v>327.87968452851231</c:v>
                </c:pt>
                <c:pt idx="45">
                  <c:v>349.77706400653625</c:v>
                </c:pt>
                <c:pt idx="46">
                  <c:v>371.64438205650396</c:v>
                </c:pt>
                <c:pt idx="47">
                  <c:v>393.48365507240305</c:v>
                </c:pt>
                <c:pt idx="48">
                  <c:v>415.29665745757416</c:v>
                </c:pt>
                <c:pt idx="49">
                  <c:v>437.08496211206631</c:v>
                </c:pt>
                <c:pt idx="50">
                  <c:v>458.84997242486565</c:v>
                </c:pt>
                <c:pt idx="51">
                  <c:v>400.29082381282961</c:v>
                </c:pt>
                <c:pt idx="52">
                  <c:v>422.64292900434634</c:v>
                </c:pt>
                <c:pt idx="53">
                  <c:v>444.96959590667331</c:v>
                </c:pt>
                <c:pt idx="54">
                  <c:v>467.27227938549885</c:v>
                </c:pt>
                <c:pt idx="55">
                  <c:v>489.55228419968324</c:v>
                </c:pt>
                <c:pt idx="56">
                  <c:v>511.8107867537222</c:v>
                </c:pt>
                <c:pt idx="57">
                  <c:v>534.04885287027707</c:v>
                </c:pt>
                <c:pt idx="58">
                  <c:v>556.26745244958261</c:v>
                </c:pt>
                <c:pt idx="59">
                  <c:v>475.38496601817178</c:v>
                </c:pt>
                <c:pt idx="60">
                  <c:v>497.1065828061349</c:v>
                </c:pt>
                <c:pt idx="61">
                  <c:v>518.80810289935755</c:v>
                </c:pt>
                <c:pt idx="62">
                  <c:v>540.49048445786013</c:v>
                </c:pt>
                <c:pt idx="63">
                  <c:v>562.1546025644958</c:v>
                </c:pt>
                <c:pt idx="64">
                  <c:v>583.80125941670201</c:v>
                </c:pt>
                <c:pt idx="65">
                  <c:v>605.43119292893903</c:v>
                </c:pt>
                <c:pt idx="66">
                  <c:v>627.04508404267926</c:v>
                </c:pt>
                <c:pt idx="67">
                  <c:v>532.94961868501457</c:v>
                </c:pt>
                <c:pt idx="68">
                  <c:v>553.81900027056327</c:v>
                </c:pt>
                <c:pt idx="69">
                  <c:v>574.67190958891786</c:v>
                </c:pt>
                <c:pt idx="70">
                  <c:v>595.50902793448722</c:v>
                </c:pt>
                <c:pt idx="71">
                  <c:v>616.3309850808954</c:v>
                </c:pt>
                <c:pt idx="72">
                  <c:v>637.13836482110844</c:v>
                </c:pt>
                <c:pt idx="73">
                  <c:v>657.93170974676843</c:v>
                </c:pt>
                <c:pt idx="74">
                  <c:v>678.71152539242337</c:v>
                </c:pt>
                <c:pt idx="75">
                  <c:v>589.39248343066197</c:v>
                </c:pt>
                <c:pt idx="76">
                  <c:v>609.81939965343656</c:v>
                </c:pt>
                <c:pt idx="77">
                  <c:v>630.23212138343479</c:v>
                </c:pt>
                <c:pt idx="78">
                  <c:v>650.63117263740162</c:v>
                </c:pt>
                <c:pt idx="79">
                  <c:v>671.0170419270911</c:v>
                </c:pt>
                <c:pt idx="80">
                  <c:v>691.39018569222901</c:v>
                </c:pt>
                <c:pt idx="81">
                  <c:v>711.75103130816262</c:v>
                </c:pt>
                <c:pt idx="82">
                  <c:v>732.09997973179236</c:v>
                </c:pt>
                <c:pt idx="83">
                  <c:v>752.43740783832027</c:v>
                </c:pt>
                <c:pt idx="84">
                  <c:v>772.76367049249313</c:v>
                </c:pt>
                <c:pt idx="85">
                  <c:v>650.12920889874385</c:v>
                </c:pt>
                <c:pt idx="86">
                  <c:v>669.71701867432307</c:v>
                </c:pt>
                <c:pt idx="87">
                  <c:v>689.29305455282781</c:v>
                </c:pt>
                <c:pt idx="88">
                  <c:v>708.85769765774864</c:v>
                </c:pt>
                <c:pt idx="89">
                  <c:v>728.41130638097991</c:v>
                </c:pt>
                <c:pt idx="90">
                  <c:v>747.95421832473903</c:v>
                </c:pt>
                <c:pt idx="91">
                  <c:v>767.48675203017956</c:v>
                </c:pt>
                <c:pt idx="92">
                  <c:v>787.00920852106856</c:v>
                </c:pt>
                <c:pt idx="93">
                  <c:v>806.52187268649811</c:v>
                </c:pt>
                <c:pt idx="94">
                  <c:v>826.02501452298031</c:v>
                </c:pt>
                <c:pt idx="95">
                  <c:v>701.67129024281076</c:v>
                </c:pt>
                <c:pt idx="96">
                  <c:v>720.73653490537436</c:v>
                </c:pt>
                <c:pt idx="97">
                  <c:v>739.79149113437143</c:v>
                </c:pt>
                <c:pt idx="98">
                  <c:v>758.83646096992186</c:v>
                </c:pt>
                <c:pt idx="99">
                  <c:v>777.87173007154217</c:v>
                </c:pt>
                <c:pt idx="100">
                  <c:v>796.89756899371525</c:v>
                </c:pt>
                <c:pt idx="101">
                  <c:v>815.91423433344517</c:v>
                </c:pt>
                <c:pt idx="102">
                  <c:v>834.9219697653848</c:v>
                </c:pt>
                <c:pt idx="103">
                  <c:v>853.92100697791045</c:v>
                </c:pt>
                <c:pt idx="104">
                  <c:v>872.91156652165955</c:v>
                </c:pt>
                <c:pt idx="105">
                  <c:v>751.18515125457725</c:v>
                </c:pt>
                <c:pt idx="106">
                  <c:v>770.01780601548671</c:v>
                </c:pt>
                <c:pt idx="107">
                  <c:v>788.84112658247284</c:v>
                </c:pt>
                <c:pt idx="108">
                  <c:v>807.65536680926198</c:v>
                </c:pt>
                <c:pt idx="109">
                  <c:v>826.4607677718451</c:v>
                </c:pt>
                <c:pt idx="110">
                  <c:v>845.25755869361831</c:v>
                </c:pt>
                <c:pt idx="111">
                  <c:v>864.04595778405246</c:v>
                </c:pt>
                <c:pt idx="112">
                  <c:v>882.82617300070933</c:v>
                </c:pt>
                <c:pt idx="113">
                  <c:v>901.59840274312739</c:v>
                </c:pt>
                <c:pt idx="114">
                  <c:v>920.3628364859884</c:v>
                </c:pt>
                <c:pt idx="115">
                  <c:v>807.92331757574232</c:v>
                </c:pt>
                <c:pt idx="116">
                  <c:v>826.87951165846027</c:v>
                </c:pt>
                <c:pt idx="117">
                  <c:v>845.82696195992901</c:v>
                </c:pt>
                <c:pt idx="118">
                  <c:v>864.76589170258092</c:v>
                </c:pt>
                <c:pt idx="119">
                  <c:v>883.69651354629275</c:v>
                </c:pt>
                <c:pt idx="120">
                  <c:v>902.61903030830717</c:v>
                </c:pt>
                <c:pt idx="121">
                  <c:v>921.53363561972344</c:v>
                </c:pt>
                <c:pt idx="122">
                  <c:v>940.44051452535894</c:v>
                </c:pt>
                <c:pt idx="123">
                  <c:v>959.33984403292789</c:v>
                </c:pt>
                <c:pt idx="124">
                  <c:v>978.23179361675386</c:v>
                </c:pt>
                <c:pt idx="125">
                  <c:v>874.76515272876622</c:v>
                </c:pt>
                <c:pt idx="126">
                  <c:v>893.91855298893552</c:v>
                </c:pt>
                <c:pt idx="127">
                  <c:v>913.06376068907173</c:v>
                </c:pt>
                <c:pt idx="128">
                  <c:v>932.20097158344367</c:v>
                </c:pt>
                <c:pt idx="129">
                  <c:v>951.33037274444223</c:v>
                </c:pt>
                <c:pt idx="130">
                  <c:v>970.45214311796599</c:v>
                </c:pt>
                <c:pt idx="131">
                  <c:v>989.56645403281527</c:v>
                </c:pt>
                <c:pt idx="132">
                  <c:v>1008.6734696687436</c:v>
                </c:pt>
                <c:pt idx="133">
                  <c:v>1027.7733474872464</c:v>
                </c:pt>
                <c:pt idx="134">
                  <c:v>1046.8662386287169</c:v>
                </c:pt>
                <c:pt idx="135">
                  <c:v>937.50616413149157</c:v>
                </c:pt>
                <c:pt idx="136">
                  <c:v>956.88987982155186</c:v>
                </c:pt>
                <c:pt idx="137">
                  <c:v>976.26581060894898</c:v>
                </c:pt>
                <c:pt idx="138">
                  <c:v>995.63413254764862</c:v>
                </c:pt>
                <c:pt idx="139">
                  <c:v>1014.9950142932879</c:v>
                </c:pt>
                <c:pt idx="140">
                  <c:v>1034.348617552087</c:v>
                </c:pt>
                <c:pt idx="141">
                  <c:v>1053.6950974944727</c:v>
                </c:pt>
                <c:pt idx="142">
                  <c:v>1073.0346031367867</c:v>
                </c:pt>
                <c:pt idx="143">
                  <c:v>1092.3672776940891</c:v>
                </c:pt>
                <c:pt idx="144">
                  <c:v>1111.6932589067299</c:v>
                </c:pt>
                <c:pt idx="145">
                  <c:v>1000.7143247071086</c:v>
                </c:pt>
                <c:pt idx="146">
                  <c:v>1020.4775739626069</c:v>
                </c:pt>
                <c:pt idx="147">
                  <c:v>1040.2332839460321</c:v>
                </c:pt>
                <c:pt idx="148">
                  <c:v>1059.9816177943073</c:v>
                </c:pt>
                <c:pt idx="149">
                  <c:v>1079.7227320792654</c:v>
                </c:pt>
                <c:pt idx="150">
                  <c:v>1099.4567771894424</c:v>
                </c:pt>
                <c:pt idx="151">
                  <c:v>1119.18389768308</c:v>
                </c:pt>
                <c:pt idx="152">
                  <c:v>1138.9042326149813</c:v>
                </c:pt>
                <c:pt idx="153">
                  <c:v>1158.6179158395955</c:v>
                </c:pt>
                <c:pt idx="154">
                  <c:v>1178.3250762924317</c:v>
                </c:pt>
                <c:pt idx="155">
                  <c:v>1069.3888801992859</c:v>
                </c:pt>
                <c:pt idx="156">
                  <c:v>1089.4500490111525</c:v>
                </c:pt>
                <c:pt idx="157">
                  <c:v>1109.5039893416961</c:v>
                </c:pt>
                <c:pt idx="158">
                  <c:v>1129.5508500388312</c:v>
                </c:pt>
                <c:pt idx="159">
                  <c:v>1149.5907742448753</c:v>
                </c:pt>
                <c:pt idx="160">
                  <c:v>1169.6238997128767</c:v>
                </c:pt>
                <c:pt idx="161">
                  <c:v>1189.6503591001856</c:v>
                </c:pt>
                <c:pt idx="162">
                  <c:v>1209.6702802412601</c:v>
                </c:pt>
                <c:pt idx="163">
                  <c:v>1229.6837864015072</c:v>
                </c:pt>
                <c:pt idx="164">
                  <c:v>1249.6909965137713</c:v>
                </c:pt>
                <c:pt idx="165">
                  <c:v>1130.6704624928343</c:v>
                </c:pt>
                <c:pt idx="166">
                  <c:v>1150.9929748829218</c:v>
                </c:pt>
                <c:pt idx="167">
                  <c:v>1171.3085048429873</c:v>
                </c:pt>
                <c:pt idx="168">
                  <c:v>1191.6171903343427</c:v>
                </c:pt>
                <c:pt idx="169">
                  <c:v>1211.9191642403603</c:v>
                </c:pt>
                <c:pt idx="170">
                  <c:v>1232.2145546369943</c:v>
                </c:pt>
                <c:pt idx="171">
                  <c:v>1252.5034850445916</c:v>
                </c:pt>
                <c:pt idx="172">
                  <c:v>1272.7860746625593</c:v>
                </c:pt>
                <c:pt idx="173">
                  <c:v>1293.0624385883307</c:v>
                </c:pt>
                <c:pt idx="174">
                  <c:v>1313.332688021904</c:v>
                </c:pt>
                <c:pt idx="175">
                  <c:v>818.64838934960699</c:v>
                </c:pt>
                <c:pt idx="176">
                  <c:v>831.70007355677342</c:v>
                </c:pt>
                <c:pt idx="177">
                  <c:v>844.74763878272279</c:v>
                </c:pt>
                <c:pt idx="178">
                  <c:v>578.41661778916796</c:v>
                </c:pt>
                <c:pt idx="179">
                  <c:v>586.46643387783058</c:v>
                </c:pt>
                <c:pt idx="180">
                  <c:v>594.51394828220111</c:v>
                </c:pt>
                <c:pt idx="181">
                  <c:v>412.651388094487</c:v>
                </c:pt>
                <c:pt idx="182">
                  <c:v>417.59659621587792</c:v>
                </c:pt>
                <c:pt idx="183">
                  <c:v>422.54054218163583</c:v>
                </c:pt>
                <c:pt idx="184">
                  <c:v>1.7963379770041364E-11</c:v>
                </c:pt>
                <c:pt idx="185">
                  <c:v>1.7963379770041364E-11</c:v>
                </c:pt>
                <c:pt idx="186">
                  <c:v>1.7963379770041364E-11</c:v>
                </c:pt>
                <c:pt idx="187">
                  <c:v>1.7963379770041364E-11</c:v>
                </c:pt>
                <c:pt idx="188">
                  <c:v>1.7963379770041364E-11</c:v>
                </c:pt>
                <c:pt idx="189">
                  <c:v>1.7963379770041364E-11</c:v>
                </c:pt>
                <c:pt idx="190">
                  <c:v>1.7963379770041364E-11</c:v>
                </c:pt>
                <c:pt idx="191">
                  <c:v>1.7963379770041364E-11</c:v>
                </c:pt>
                <c:pt idx="192">
                  <c:v>1.7963379770041364E-11</c:v>
                </c:pt>
                <c:pt idx="193">
                  <c:v>1.7963379770041364E-11</c:v>
                </c:pt>
                <c:pt idx="194">
                  <c:v>1.7963379770041364E-11</c:v>
                </c:pt>
                <c:pt idx="195">
                  <c:v>1.7963379770041364E-11</c:v>
                </c:pt>
                <c:pt idx="196">
                  <c:v>1.7963379770041364E-11</c:v>
                </c:pt>
                <c:pt idx="197">
                  <c:v>1.7963379770041364E-11</c:v>
                </c:pt>
                <c:pt idx="198">
                  <c:v>1.7963379770041364E-11</c:v>
                </c:pt>
                <c:pt idx="199">
                  <c:v>1.7963379770041364E-11</c:v>
                </c:pt>
                <c:pt idx="200">
                  <c:v>1.7963379770041364E-11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3.3607023068976729</c:v>
                </c:pt>
                <c:pt idx="2">
                  <c:v>4.2547221455608728</c:v>
                </c:pt>
                <c:pt idx="3">
                  <c:v>5.3874913175360541</c:v>
                </c:pt>
                <c:pt idx="4">
                  <c:v>6.822999493748207</c:v>
                </c:pt>
                <c:pt idx="5">
                  <c:v>8.6424447671064257</c:v>
                </c:pt>
                <c:pt idx="6">
                  <c:v>10.948875863598902</c:v>
                </c:pt>
                <c:pt idx="7">
                  <c:v>13.873090242281457</c:v>
                </c:pt>
                <c:pt idx="8">
                  <c:v>17.581128737253849</c:v>
                </c:pt>
                <c:pt idx="9">
                  <c:v>22.283800014650385</c:v>
                </c:pt>
                <c:pt idx="10">
                  <c:v>28.248785974087401</c:v>
                </c:pt>
                <c:pt idx="11">
                  <c:v>37.044761351668747</c:v>
                </c:pt>
                <c:pt idx="12">
                  <c:v>45.783421279666953</c:v>
                </c:pt>
                <c:pt idx="13">
                  <c:v>54.477343172934816</c:v>
                </c:pt>
                <c:pt idx="14">
                  <c:v>63.134713140647797</c:v>
                </c:pt>
                <c:pt idx="15">
                  <c:v>71.761269961795847</c:v>
                </c:pt>
                <c:pt idx="16">
                  <c:v>83.617060344493396</c:v>
                </c:pt>
                <c:pt idx="17">
                  <c:v>95.430378362145419</c:v>
                </c:pt>
                <c:pt idx="18">
                  <c:v>107.20723543568683</c:v>
                </c:pt>
                <c:pt idx="19">
                  <c:v>118.9522086529156</c:v>
                </c:pt>
                <c:pt idx="20">
                  <c:v>130.66889437805216</c:v>
                </c:pt>
                <c:pt idx="21">
                  <c:v>99.850701125907904</c:v>
                </c:pt>
                <c:pt idx="22">
                  <c:v>111.61512570313761</c:v>
                </c:pt>
                <c:pt idx="23">
                  <c:v>123.3491121177467</c:v>
                </c:pt>
                <c:pt idx="24">
                  <c:v>135.05596788582679</c:v>
                </c:pt>
                <c:pt idx="25">
                  <c:v>146.73837885160424</c:v>
                </c:pt>
                <c:pt idx="26">
                  <c:v>130.66889437805222</c:v>
                </c:pt>
                <c:pt idx="27">
                  <c:v>142.36018960459288</c:v>
                </c:pt>
                <c:pt idx="28">
                  <c:v>154.02847557165751</c:v>
                </c:pt>
                <c:pt idx="29">
                  <c:v>165.67574259607389</c:v>
                </c:pt>
                <c:pt idx="30">
                  <c:v>177.30367784131445</c:v>
                </c:pt>
                <c:pt idx="31">
                  <c:v>158.68980415698181</c:v>
                </c:pt>
                <c:pt idx="32">
                  <c:v>169.16608298395553</c:v>
                </c:pt>
                <c:pt idx="33">
                  <c:v>179.62707610009167</c:v>
                </c:pt>
                <c:pt idx="34">
                  <c:v>190.07380002073512</c:v>
                </c:pt>
                <c:pt idx="35">
                  <c:v>200.50715025518218</c:v>
                </c:pt>
                <c:pt idx="36">
                  <c:v>181.65947157363226</c:v>
                </c:pt>
                <c:pt idx="37">
                  <c:v>191.81359784117478</c:v>
                </c:pt>
                <c:pt idx="38">
                  <c:v>201.95521485937351</c:v>
                </c:pt>
                <c:pt idx="39">
                  <c:v>212.08503993201165</c:v>
                </c:pt>
                <c:pt idx="40">
                  <c:v>222.20371616988226</c:v>
                </c:pt>
                <c:pt idx="41">
                  <c:v>202.53437324255785</c:v>
                </c:pt>
                <c:pt idx="42">
                  <c:v>211.79577397903063</c:v>
                </c:pt>
                <c:pt idx="43">
                  <c:v>221.04784133997921</c:v>
                </c:pt>
                <c:pt idx="44">
                  <c:v>230.2910214517143</c:v>
                </c:pt>
                <c:pt idx="45">
                  <c:v>239.52572166460229</c:v>
                </c:pt>
                <c:pt idx="46">
                  <c:v>220.75885097534115</c:v>
                </c:pt>
                <c:pt idx="47">
                  <c:v>229.42483959070205</c:v>
                </c:pt>
                <c:pt idx="48">
                  <c:v>238.08334323928753</c:v>
                </c:pt>
                <c:pt idx="49">
                  <c:v>246.73467280489569</c:v>
                </c:pt>
                <c:pt idx="50">
                  <c:v>255.37911556611792</c:v>
                </c:pt>
                <c:pt idx="51">
                  <c:v>236.9292971220211</c:v>
                </c:pt>
                <c:pt idx="52">
                  <c:v>244.42833642786528</c:v>
                </c:pt>
                <c:pt idx="53">
                  <c:v>251.9221473953688</c:v>
                </c:pt>
                <c:pt idx="54">
                  <c:v>259.41090767814842</c:v>
                </c:pt>
                <c:pt idx="55">
                  <c:v>266.89478382272017</c:v>
                </c:pt>
                <c:pt idx="56">
                  <c:v>249.61690536823653</c:v>
                </c:pt>
                <c:pt idx="57">
                  <c:v>256.81920545571325</c:v>
                </c:pt>
                <c:pt idx="58">
                  <c:v>264.01693774461648</c:v>
                </c:pt>
                <c:pt idx="59">
                  <c:v>271.21024448496547</c:v>
                </c:pt>
                <c:pt idx="60">
                  <c:v>278.39925975574312</c:v>
                </c:pt>
                <c:pt idx="61">
                  <c:v>261.71415155067552</c:v>
                </c:pt>
                <c:pt idx="62">
                  <c:v>268.04572597702128</c:v>
                </c:pt>
                <c:pt idx="63">
                  <c:v>274.37393226183292</c:v>
                </c:pt>
                <c:pt idx="64">
                  <c:v>280.69885915498259</c:v>
                </c:pt>
                <c:pt idx="65">
                  <c:v>287.02059107494546</c:v>
                </c:pt>
                <c:pt idx="66">
                  <c:v>271.49788662587986</c:v>
                </c:pt>
                <c:pt idx="67">
                  <c:v>277.53680025840237</c:v>
                </c:pt>
                <c:pt idx="68">
                  <c:v>283.5727648129357</c:v>
                </c:pt>
                <c:pt idx="69">
                  <c:v>289.60585200572694</c:v>
                </c:pt>
                <c:pt idx="70">
                  <c:v>295.63613031709252</c:v>
                </c:pt>
                <c:pt idx="71">
                  <c:v>280.41143241335362</c:v>
                </c:pt>
                <c:pt idx="72">
                  <c:v>285.29679456567902</c:v>
                </c:pt>
                <c:pt idx="73">
                  <c:v>290.18028419185146</c:v>
                </c:pt>
                <c:pt idx="74">
                  <c:v>295.06193730222367</c:v>
                </c:pt>
                <c:pt idx="75">
                  <c:v>299.94178861650352</c:v>
                </c:pt>
                <c:pt idx="76">
                  <c:v>287.30786792948942</c:v>
                </c:pt>
                <c:pt idx="77">
                  <c:v>291.90342847509879</c:v>
                </c:pt>
                <c:pt idx="78">
                  <c:v>296.49737320370468</c:v>
                </c:pt>
                <c:pt idx="79">
                  <c:v>301.08973072459509</c:v>
                </c:pt>
                <c:pt idx="80">
                  <c:v>305.68052870172897</c:v>
                </c:pt>
                <c:pt idx="81">
                  <c:v>293.91347640596678</c:v>
                </c:pt>
                <c:pt idx="82">
                  <c:v>297.93265411137128</c:v>
                </c:pt>
                <c:pt idx="83">
                  <c:v>301.95062331967574</c:v>
                </c:pt>
                <c:pt idx="84">
                  <c:v>305.96740240919087</c:v>
                </c:pt>
                <c:pt idx="85">
                  <c:v>309.98300923549431</c:v>
                </c:pt>
                <c:pt idx="86">
                  <c:v>299.65478781030816</c:v>
                </c:pt>
                <c:pt idx="87">
                  <c:v>303.67224474828663</c:v>
                </c:pt>
                <c:pt idx="88">
                  <c:v>307.68851928258727</c:v>
                </c:pt>
                <c:pt idx="89">
                  <c:v>311.70362905144191</c:v>
                </c:pt>
                <c:pt idx="90">
                  <c:v>315.71759120085159</c:v>
                </c:pt>
                <c:pt idx="91">
                  <c:v>305.39364900712383</c:v>
                </c:pt>
                <c:pt idx="92">
                  <c:v>309.4094222256216</c:v>
                </c:pt>
                <c:pt idx="93">
                  <c:v>313.42403808604359</c:v>
                </c:pt>
                <c:pt idx="94">
                  <c:v>317.43751352960925</c:v>
                </c:pt>
                <c:pt idx="95">
                  <c:v>321.44986503349952</c:v>
                </c:pt>
                <c:pt idx="96">
                  <c:v>309.98300923549442</c:v>
                </c:pt>
                <c:pt idx="97">
                  <c:v>314.2841639743362</c:v>
                </c:pt>
                <c:pt idx="98">
                  <c:v>318.58401365201161</c:v>
                </c:pt>
                <c:pt idx="99">
                  <c:v>322.88257839605905</c:v>
                </c:pt>
                <c:pt idx="100">
                  <c:v>327.17987775354362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2.8167663049162832</c:v>
                </c:pt>
                <c:pt idx="2">
                  <c:v>3.5524452752527771</c:v>
                </c:pt>
                <c:pt idx="3">
                  <c:v>4.4810160304681945</c:v>
                </c:pt>
                <c:pt idx="4">
                  <c:v>5.6532387557440282</c:v>
                </c:pt>
                <c:pt idx="5">
                  <c:v>7.133276837391672</c:v>
                </c:pt>
                <c:pt idx="6">
                  <c:v>9.002247118422753</c:v>
                </c:pt>
                <c:pt idx="7">
                  <c:v>11.362713273379695</c:v>
                </c:pt>
                <c:pt idx="8">
                  <c:v>14.344373503714223</c:v>
                </c:pt>
                <c:pt idx="9">
                  <c:v>18.111260823932788</c:v>
                </c:pt>
                <c:pt idx="10">
                  <c:v>22.870859223592827</c:v>
                </c:pt>
                <c:pt idx="11">
                  <c:v>28.885646762333149</c:v>
                </c:pt>
                <c:pt idx="12">
                  <c:v>36.48771328793655</c:v>
                </c:pt>
                <c:pt idx="13">
                  <c:v>46.097273704206465</c:v>
                </c:pt>
                <c:pt idx="14">
                  <c:v>58.246117380438761</c:v>
                </c:pt>
                <c:pt idx="15">
                  <c:v>73.607312852834198</c:v>
                </c:pt>
                <c:pt idx="16">
                  <c:v>67.020773057882352</c:v>
                </c:pt>
                <c:pt idx="17">
                  <c:v>89.433224652663043</c:v>
                </c:pt>
                <c:pt idx="18">
                  <c:v>111.70385301179901</c:v>
                </c:pt>
                <c:pt idx="19">
                  <c:v>133.8651241066807</c:v>
                </c:pt>
                <c:pt idx="20">
                  <c:v>155.93775882820458</c:v>
                </c:pt>
                <c:pt idx="21">
                  <c:v>126.61600564455136</c:v>
                </c:pt>
                <c:pt idx="22">
                  <c:v>150.61714980411784</c:v>
                </c:pt>
                <c:pt idx="23">
                  <c:v>174.52697249791549</c:v>
                </c:pt>
                <c:pt idx="24">
                  <c:v>198.35976383962796</c:v>
                </c:pt>
                <c:pt idx="25">
                  <c:v>222.12608711761615</c:v>
                </c:pt>
                <c:pt idx="26">
                  <c:v>191.55758507110065</c:v>
                </c:pt>
                <c:pt idx="27">
                  <c:v>213.83373999500802</c:v>
                </c:pt>
                <c:pt idx="28">
                  <c:v>236.05644310479684</c:v>
                </c:pt>
                <c:pt idx="29">
                  <c:v>258.23143377259919</c:v>
                </c:pt>
                <c:pt idx="30">
                  <c:v>280.36338431358689</c:v>
                </c:pt>
                <c:pt idx="31">
                  <c:v>248.08915865906408</c:v>
                </c:pt>
                <c:pt idx="32">
                  <c:v>268.36470618638242</c:v>
                </c:pt>
                <c:pt idx="33">
                  <c:v>288.60576477216426</c:v>
                </c:pt>
                <c:pt idx="34">
                  <c:v>308.81509268095925</c:v>
                </c:pt>
                <c:pt idx="35">
                  <c:v>328.99505767197456</c:v>
                </c:pt>
                <c:pt idx="36">
                  <c:v>294.59690838804573</c:v>
                </c:pt>
                <c:pt idx="37">
                  <c:v>312.5542734716102</c:v>
                </c:pt>
                <c:pt idx="38">
                  <c:v>330.48876005573732</c:v>
                </c:pt>
                <c:pt idx="39">
                  <c:v>348.4017840337396</c:v>
                </c:pt>
                <c:pt idx="40">
                  <c:v>366.29460383970854</c:v>
                </c:pt>
                <c:pt idx="41">
                  <c:v>329.36849727470798</c:v>
                </c:pt>
                <c:pt idx="42">
                  <c:v>344.67160985755481</c:v>
                </c:pt>
                <c:pt idx="43">
                  <c:v>359.9598009685954</c:v>
                </c:pt>
                <c:pt idx="44">
                  <c:v>375.23379351840316</c:v>
                </c:pt>
                <c:pt idx="45">
                  <c:v>390.49424676672476</c:v>
                </c:pt>
                <c:pt idx="46">
                  <c:v>362.94118566705453</c:v>
                </c:pt>
                <c:pt idx="47">
                  <c:v>376.35086351579008</c:v>
                </c:pt>
                <c:pt idx="48">
                  <c:v>389.75013922020366</c:v>
                </c:pt>
                <c:pt idx="49">
                  <c:v>403.13942078264876</c:v>
                </c:pt>
                <c:pt idx="50">
                  <c:v>416.51908689232118</c:v>
                </c:pt>
                <c:pt idx="51">
                  <c:v>396.07407711953448</c:v>
                </c:pt>
                <c:pt idx="52">
                  <c:v>407.22865549260882</c:v>
                </c:pt>
                <c:pt idx="53">
                  <c:v>418.37663353903218</c:v>
                </c:pt>
                <c:pt idx="54">
                  <c:v>429.51821195249204</c:v>
                </c:pt>
                <c:pt idx="55">
                  <c:v>440.65358016358778</c:v>
                </c:pt>
                <c:pt idx="56">
                  <c:v>426.17639891086424</c:v>
                </c:pt>
                <c:pt idx="57">
                  <c:v>435.82900470393218</c:v>
                </c:pt>
                <c:pt idx="58">
                  <c:v>445.47702323258522</c:v>
                </c:pt>
                <c:pt idx="59">
                  <c:v>455.12056788314334</c:v>
                </c:pt>
                <c:pt idx="60">
                  <c:v>464.7597468435597</c:v>
                </c:pt>
                <c:pt idx="61">
                  <c:v>450.67025003611349</c:v>
                </c:pt>
                <c:pt idx="62">
                  <c:v>458.82845530839751</c:v>
                </c:pt>
                <c:pt idx="63">
                  <c:v>466.98356378402349</c:v>
                </c:pt>
                <c:pt idx="64">
                  <c:v>475.13563719240005</c:v>
                </c:pt>
                <c:pt idx="65">
                  <c:v>483.28473497109462</c:v>
                </c:pt>
                <c:pt idx="66">
                  <c:v>469.94830210518904</c:v>
                </c:pt>
                <c:pt idx="67">
                  <c:v>476.98796406826</c:v>
                </c:pt>
                <c:pt idx="68">
                  <c:v>484.02541648570531</c:v>
                </c:pt>
                <c:pt idx="69">
                  <c:v>491.06069603012844</c:v>
                </c:pt>
                <c:pt idx="70">
                  <c:v>498.09383823712528</c:v>
                </c:pt>
                <c:pt idx="71">
                  <c:v>485.87701503548419</c:v>
                </c:pt>
                <c:pt idx="72">
                  <c:v>492.17133336598067</c:v>
                </c:pt>
                <c:pt idx="73">
                  <c:v>498.4639450680906</c:v>
                </c:pt>
                <c:pt idx="74">
                  <c:v>504.75487473697353</c:v>
                </c:pt>
                <c:pt idx="75">
                  <c:v>511.04414630438458</c:v>
                </c:pt>
                <c:pt idx="76">
                  <c:v>499.57423066075035</c:v>
                </c:pt>
                <c:pt idx="77">
                  <c:v>504.75487473697353</c:v>
                </c:pt>
                <c:pt idx="78">
                  <c:v>509.93439429922063</c:v>
                </c:pt>
                <c:pt idx="79">
                  <c:v>515.11280238810866</c:v>
                </c:pt>
                <c:pt idx="80">
                  <c:v>520.29011176051029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9.2921937322638239</c:v>
                </c:pt>
                <c:pt idx="2">
                  <c:v>18.177089899913412</c:v>
                </c:pt>
                <c:pt idx="3">
                  <c:v>26.930449399251376</c:v>
                </c:pt>
                <c:pt idx="4">
                  <c:v>35.602726635721403</c:v>
                </c:pt>
                <c:pt idx="5">
                  <c:v>44.216789199875343</c:v>
                </c:pt>
                <c:pt idx="6">
                  <c:v>52.785681720112542</c:v>
                </c:pt>
                <c:pt idx="7">
                  <c:v>61.317813563984139</c:v>
                </c:pt>
                <c:pt idx="8">
                  <c:v>69.819042187991144</c:v>
                </c:pt>
                <c:pt idx="9">
                  <c:v>78.293672897174659</c:v>
                </c:pt>
                <c:pt idx="10">
                  <c:v>86.744998135170761</c:v>
                </c:pt>
                <c:pt idx="11">
                  <c:v>95.175613751905487</c:v>
                </c:pt>
                <c:pt idx="12">
                  <c:v>103.58761655378898</c:v>
                </c:pt>
                <c:pt idx="13">
                  <c:v>111.98273395137143</c:v>
                </c:pt>
                <c:pt idx="14">
                  <c:v>120.36241250311315</c:v>
                </c:pt>
                <c:pt idx="15">
                  <c:v>128.7278804064338</c:v>
                </c:pt>
                <c:pt idx="16">
                  <c:v>137.08019283445722</c:v>
                </c:pt>
                <c:pt idx="17">
                  <c:v>145.42026560884469</c:v>
                </c:pt>
                <c:pt idx="18">
                  <c:v>153.74890072101104</c:v>
                </c:pt>
                <c:pt idx="19">
                  <c:v>162.06680601936617</c:v>
                </c:pt>
                <c:pt idx="20">
                  <c:v>170.37461063363551</c:v>
                </c:pt>
                <c:pt idx="21">
                  <c:v>178.67287722665</c:v>
                </c:pt>
                <c:pt idx="22">
                  <c:v>186.96211184634055</c:v>
                </c:pt>
                <c:pt idx="23">
                  <c:v>195.24277193582597</c:v>
                </c:pt>
                <c:pt idx="24">
                  <c:v>203.51527291113393</c:v>
                </c:pt>
                <c:pt idx="25">
                  <c:v>211.77999361174412</c:v>
                </c:pt>
                <c:pt idx="26">
                  <c:v>220.03728085449575</c:v>
                </c:pt>
                <c:pt idx="27">
                  <c:v>228.28745326718865</c:v>
                </c:pt>
                <c:pt idx="28">
                  <c:v>236.53080453827673</c:v>
                </c:pt>
                <c:pt idx="29">
                  <c:v>244.76760618927483</c:v>
                </c:pt>
                <c:pt idx="30">
                  <c:v>252.99810995402035</c:v>
                </c:pt>
                <c:pt idx="31">
                  <c:v>261.22254983178902</c:v>
                </c:pt>
                <c:pt idx="32">
                  <c:v>269.44114386805046</c:v>
                </c:pt>
                <c:pt idx="33">
                  <c:v>277.65409570637627</c:v>
                </c:pt>
                <c:pt idx="34">
                  <c:v>285.86159594695238</c:v>
                </c:pt>
                <c:pt idx="35">
                  <c:v>294.06382334077597</c:v>
                </c:pt>
                <c:pt idx="36">
                  <c:v>302.26094584353649</c:v>
                </c:pt>
                <c:pt idx="37">
                  <c:v>310.45312154910624</c:v>
                </c:pt>
                <c:pt idx="38">
                  <c:v>318.64049951927569</c:v>
                </c:pt>
                <c:pt idx="39">
                  <c:v>326.82322052369108</c:v>
                </c:pt>
                <c:pt idx="40">
                  <c:v>335.00141770176555</c:v>
                </c:pt>
                <c:pt idx="41">
                  <c:v>343.17521715653567</c:v>
                </c:pt>
                <c:pt idx="42">
                  <c:v>351.34473848895027</c:v>
                </c:pt>
                <c:pt idx="43">
                  <c:v>359.5100952798403</c:v>
                </c:pt>
                <c:pt idx="44">
                  <c:v>367.6713955257913</c:v>
                </c:pt>
                <c:pt idx="45">
                  <c:v>375.82874203427474</c:v>
                </c:pt>
                <c:pt idx="46">
                  <c:v>383.98223278266511</c:v>
                </c:pt>
                <c:pt idx="47">
                  <c:v>392.13196124515889</c:v>
                </c:pt>
                <c:pt idx="48">
                  <c:v>400.27801669108413</c:v>
                </c:pt>
                <c:pt idx="49">
                  <c:v>408.42048445765022</c:v>
                </c:pt>
                <c:pt idx="50">
                  <c:v>416.55944619980323</c:v>
                </c:pt>
                <c:pt idx="51">
                  <c:v>424.69498011952811</c:v>
                </c:pt>
                <c:pt idx="52">
                  <c:v>432.82716117665836</c:v>
                </c:pt>
                <c:pt idx="53">
                  <c:v>440.95606128301159</c:v>
                </c:pt>
                <c:pt idx="54">
                  <c:v>449.08174948145785</c:v>
                </c:pt>
                <c:pt idx="55">
                  <c:v>457.20429211135001</c:v>
                </c:pt>
                <c:pt idx="56">
                  <c:v>465.32375296158119</c:v>
                </c:pt>
                <c:pt idx="57">
                  <c:v>473.44019341240033</c:v>
                </c:pt>
                <c:pt idx="58">
                  <c:v>481.55367256699475</c:v>
                </c:pt>
                <c:pt idx="59">
                  <c:v>489.66424737373995</c:v>
                </c:pt>
                <c:pt idx="60">
                  <c:v>497.77197273992761</c:v>
                </c:pt>
                <c:pt idx="61">
                  <c:v>337.99381912917073</c:v>
                </c:pt>
                <c:pt idx="62">
                  <c:v>354.75361283544322</c:v>
                </c:pt>
                <c:pt idx="63">
                  <c:v>371.4960677901409</c:v>
                </c:pt>
                <c:pt idx="64">
                  <c:v>388.22207520036437</c:v>
                </c:pt>
                <c:pt idx="65">
                  <c:v>404.93244323061884</c:v>
                </c:pt>
                <c:pt idx="66">
                  <c:v>421.6279079194253</c:v>
                </c:pt>
                <c:pt idx="67">
                  <c:v>438.30914227662203</c:v>
                </c:pt>
                <c:pt idx="68">
                  <c:v>454.97676392363013</c:v>
                </c:pt>
                <c:pt idx="69">
                  <c:v>471.63134155593411</c:v>
                </c:pt>
                <c:pt idx="70">
                  <c:v>385.77341475380621</c:v>
                </c:pt>
                <c:pt idx="71">
                  <c:v>402.12352873367144</c:v>
                </c:pt>
                <c:pt idx="72">
                  <c:v>418.45926535082413</c:v>
                </c:pt>
                <c:pt idx="73">
                  <c:v>434.78126470985643</c:v>
                </c:pt>
                <c:pt idx="74">
                  <c:v>451.09011494954387</c:v>
                </c:pt>
                <c:pt idx="75">
                  <c:v>467.38635822676127</c:v>
                </c:pt>
                <c:pt idx="76">
                  <c:v>483.67049582249541</c:v>
                </c:pt>
                <c:pt idx="77">
                  <c:v>499.94299252456011</c:v>
                </c:pt>
                <c:pt idx="78">
                  <c:v>434.22346793695078</c:v>
                </c:pt>
                <c:pt idx="79">
                  <c:v>450.53443732842976</c:v>
                </c:pt>
                <c:pt idx="80">
                  <c:v>466.83277937674598</c:v>
                </c:pt>
                <c:pt idx="81">
                  <c:v>483.11899683366778</c:v>
                </c:pt>
                <c:pt idx="82">
                  <c:v>499.39355580421892</c:v>
                </c:pt>
                <c:pt idx="83">
                  <c:v>515.65688954981795</c:v>
                </c:pt>
                <c:pt idx="84">
                  <c:v>531.90940178680432</c:v>
                </c:pt>
                <c:pt idx="85">
                  <c:v>548.15146956098692</c:v>
                </c:pt>
                <c:pt idx="86">
                  <c:v>564.38344576390512</c:v>
                </c:pt>
                <c:pt idx="87">
                  <c:v>490.22008003438185</c:v>
                </c:pt>
                <c:pt idx="88">
                  <c:v>506.52720231700965</c:v>
                </c:pt>
                <c:pt idx="89">
                  <c:v>522.82322886599707</c:v>
                </c:pt>
                <c:pt idx="90">
                  <c:v>539.10855405682867</c:v>
                </c:pt>
                <c:pt idx="91">
                  <c:v>555.38354650797817</c:v>
                </c:pt>
                <c:pt idx="92">
                  <c:v>571.64855148415324</c:v>
                </c:pt>
                <c:pt idx="93">
                  <c:v>587.90389301192556</c:v>
                </c:pt>
                <c:pt idx="94">
                  <c:v>604.14987574932786</c:v>
                </c:pt>
                <c:pt idx="95">
                  <c:v>620.38678664400345</c:v>
                </c:pt>
                <c:pt idx="96">
                  <c:v>535.20146005564482</c:v>
                </c:pt>
                <c:pt idx="97">
                  <c:v>551.5216935459855</c:v>
                </c:pt>
                <c:pt idx="98">
                  <c:v>567.83180658091271</c:v>
                </c:pt>
                <c:pt idx="99">
                  <c:v>584.13213062540228</c:v>
                </c:pt>
                <c:pt idx="100">
                  <c:v>600.42297714807262</c:v>
                </c:pt>
                <c:pt idx="101">
                  <c:v>616.70463934847601</c:v>
                </c:pt>
                <c:pt idx="102">
                  <c:v>632.97739369260296</c:v>
                </c:pt>
                <c:pt idx="103">
                  <c:v>649.24150128237454</c:v>
                </c:pt>
                <c:pt idx="104">
                  <c:v>665.49720908086226</c:v>
                </c:pt>
                <c:pt idx="105">
                  <c:v>587.42577263819874</c:v>
                </c:pt>
                <c:pt idx="106">
                  <c:v>603.96300828048697</c:v>
                </c:pt>
                <c:pt idx="107">
                  <c:v>620.49084073562256</c:v>
                </c:pt>
                <c:pt idx="108">
                  <c:v>637.00955557694726</c:v>
                </c:pt>
                <c:pt idx="109">
                  <c:v>653.51942237008052</c:v>
                </c:pt>
                <c:pt idx="110">
                  <c:v>670.02069596024683</c:v>
                </c:pt>
                <c:pt idx="111">
                  <c:v>686.51361762628574</c:v>
                </c:pt>
                <c:pt idx="112">
                  <c:v>702.99841611808426</c:v>
                </c:pt>
                <c:pt idx="113">
                  <c:v>719.47530859171786</c:v>
                </c:pt>
                <c:pt idx="114">
                  <c:v>636.44956471430385</c:v>
                </c:pt>
                <c:pt idx="115">
                  <c:v>653.24757170569728</c:v>
                </c:pt>
                <c:pt idx="116">
                  <c:v>670.0366788968978</c:v>
                </c:pt>
                <c:pt idx="117">
                  <c:v>686.81714052237476</c:v>
                </c:pt>
                <c:pt idx="118">
                  <c:v>703.58919739092244</c:v>
                </c:pt>
                <c:pt idx="119">
                  <c:v>720.35307790432523</c:v>
                </c:pt>
                <c:pt idx="120">
                  <c:v>737.10899897634272</c:v>
                </c:pt>
                <c:pt idx="121">
                  <c:v>753.85716686386866</c:v>
                </c:pt>
                <c:pt idx="122">
                  <c:v>770.5977779204519</c:v>
                </c:pt>
                <c:pt idx="123">
                  <c:v>677.92250701858995</c:v>
                </c:pt>
                <c:pt idx="124">
                  <c:v>694.96703714366186</c:v>
                </c:pt>
                <c:pt idx="125">
                  <c:v>712.00300777439281</c:v>
                </c:pt>
                <c:pt idx="126">
                  <c:v>729.03065237867622</c:v>
                </c:pt>
                <c:pt idx="127">
                  <c:v>746.05019263912936</c:v>
                </c:pt>
                <c:pt idx="128">
                  <c:v>763.06183930876557</c:v>
                </c:pt>
                <c:pt idx="129">
                  <c:v>780.06579298646784</c:v>
                </c:pt>
                <c:pt idx="130">
                  <c:v>797.06224482139839</c:v>
                </c:pt>
                <c:pt idx="131">
                  <c:v>814.05137715426144</c:v>
                </c:pt>
                <c:pt idx="132">
                  <c:v>831.03336410230793</c:v>
                </c:pt>
                <c:pt idx="133">
                  <c:v>732.17890267223913</c:v>
                </c:pt>
                <c:pt idx="134">
                  <c:v>749.73396149321979</c:v>
                </c:pt>
                <c:pt idx="135">
                  <c:v>767.28066763444167</c:v>
                </c:pt>
                <c:pt idx="136">
                  <c:v>784.81923882471767</c:v>
                </c:pt>
                <c:pt idx="137">
                  <c:v>802.34988227819213</c:v>
                </c:pt>
                <c:pt idx="138">
                  <c:v>819.87279542542262</c:v>
                </c:pt>
                <c:pt idx="139">
                  <c:v>837.38816657878067</c:v>
                </c:pt>
                <c:pt idx="140">
                  <c:v>854.89617553934602</c:v>
                </c:pt>
                <c:pt idx="141">
                  <c:v>872.39699415155883</c:v>
                </c:pt>
                <c:pt idx="142">
                  <c:v>889.89078681110277</c:v>
                </c:pt>
                <c:pt idx="143">
                  <c:v>907.37771093082313</c:v>
                </c:pt>
                <c:pt idx="144">
                  <c:v>924.85791736890758</c:v>
                </c:pt>
                <c:pt idx="145">
                  <c:v>797.409042492558</c:v>
                </c:pt>
                <c:pt idx="146">
                  <c:v>815.36791546575341</c:v>
                </c:pt>
                <c:pt idx="147">
                  <c:v>833.31881835529202</c:v>
                </c:pt>
                <c:pt idx="148">
                  <c:v>851.26194683884012</c:v>
                </c:pt>
                <c:pt idx="149">
                  <c:v>869.19748768192801</c:v>
                </c:pt>
                <c:pt idx="150">
                  <c:v>887.12561932309336</c:v>
                </c:pt>
                <c:pt idx="151">
                  <c:v>905.04651240931889</c:v>
                </c:pt>
                <c:pt idx="152">
                  <c:v>922.96033028691181</c:v>
                </c:pt>
                <c:pt idx="153">
                  <c:v>940.86722945233839</c:v>
                </c:pt>
                <c:pt idx="154">
                  <c:v>958.76735996699881</c:v>
                </c:pt>
                <c:pt idx="155">
                  <c:v>976.66086583945616</c:v>
                </c:pt>
                <c:pt idx="156">
                  <c:v>994.54788537823799</c:v>
                </c:pt>
                <c:pt idx="157">
                  <c:v>856.37124988532958</c:v>
                </c:pt>
                <c:pt idx="158">
                  <c:v>874.68419914242725</c:v>
                </c:pt>
                <c:pt idx="159">
                  <c:v>892.98947746092699</c:v>
                </c:pt>
                <c:pt idx="160">
                  <c:v>911.28726404279223</c:v>
                </c:pt>
                <c:pt idx="161">
                  <c:v>929.57773031589704</c:v>
                </c:pt>
                <c:pt idx="162">
                  <c:v>947.86104042068712</c:v>
                </c:pt>
                <c:pt idx="163">
                  <c:v>966.13735165739001</c:v>
                </c:pt>
                <c:pt idx="164">
                  <c:v>984.40681489767428</c:v>
                </c:pt>
                <c:pt idx="165">
                  <c:v>1002.6695749642014</c:v>
                </c:pt>
                <c:pt idx="166">
                  <c:v>1020.9257709811267</c:v>
                </c:pt>
                <c:pt idx="167">
                  <c:v>1039.1755366982613</c:v>
                </c:pt>
                <c:pt idx="168">
                  <c:v>1057.4190007913146</c:v>
                </c:pt>
                <c:pt idx="169">
                  <c:v>905.91427234119362</c:v>
                </c:pt>
                <c:pt idx="170">
                  <c:v>924.23069005295258</c:v>
                </c:pt>
                <c:pt idx="171">
                  <c:v>942.53988555489889</c:v>
                </c:pt>
                <c:pt idx="172">
                  <c:v>960.84201872187566</c:v>
                </c:pt>
                <c:pt idx="173">
                  <c:v>979.13724284962302</c:v>
                </c:pt>
                <c:pt idx="174">
                  <c:v>997.42570504586217</c:v>
                </c:pt>
                <c:pt idx="175">
                  <c:v>1015.7075465912441</c:v>
                </c:pt>
                <c:pt idx="176">
                  <c:v>1033.9829032730006</c:v>
                </c:pt>
                <c:pt idx="177">
                  <c:v>1052.2519056938124</c:v>
                </c:pt>
                <c:pt idx="178">
                  <c:v>1070.5146795581438</c:v>
                </c:pt>
                <c:pt idx="179">
                  <c:v>1088.7713459380532</c:v>
                </c:pt>
                <c:pt idx="180">
                  <c:v>1107.0220215202758</c:v>
                </c:pt>
                <c:pt idx="181">
                  <c:v>699.95320311844034</c:v>
                </c:pt>
                <c:pt idx="182">
                  <c:v>711.44270042631854</c:v>
                </c:pt>
                <c:pt idx="183">
                  <c:v>722.92840698891132</c:v>
                </c:pt>
                <c:pt idx="184">
                  <c:v>734.41039149114465</c:v>
                </c:pt>
                <c:pt idx="185">
                  <c:v>498.74292576727026</c:v>
                </c:pt>
                <c:pt idx="186">
                  <c:v>506.17753727481869</c:v>
                </c:pt>
                <c:pt idx="187">
                  <c:v>513.60984023935839</c:v>
                </c:pt>
                <c:pt idx="188">
                  <c:v>521.03987279064233</c:v>
                </c:pt>
                <c:pt idx="189">
                  <c:v>351.17297949147724</c:v>
                </c:pt>
                <c:pt idx="190">
                  <c:v>355.96857950935151</c:v>
                </c:pt>
                <c:pt idx="191">
                  <c:v>360.76276478117251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10.652069090183831</c:v>
                </c:pt>
                <c:pt idx="2">
                  <c:v>20.842718677242118</c:v>
                </c:pt>
                <c:pt idx="3">
                  <c:v>30.884352926600993</c:v>
                </c:pt>
                <c:pt idx="4">
                  <c:v>40.834130654597537</c:v>
                </c:pt>
                <c:pt idx="5">
                  <c:v>50.717958110585563</c:v>
                </c:pt>
                <c:pt idx="6">
                  <c:v>60.550613300812671</c:v>
                </c:pt>
                <c:pt idx="7">
                  <c:v>70.341623034506696</c:v>
                </c:pt>
                <c:pt idx="8">
                  <c:v>80.097623110413053</c:v>
                </c:pt>
                <c:pt idx="9">
                  <c:v>89.823490925023762</c:v>
                </c:pt>
                <c:pt idx="10">
                  <c:v>99.522956423810157</c:v>
                </c:pt>
                <c:pt idx="11">
                  <c:v>109.19896039475422</c:v>
                </c:pt>
                <c:pt idx="12">
                  <c:v>118.85387826912762</c:v>
                </c:pt>
                <c:pt idx="13">
                  <c:v>128.48966699680452</c:v>
                </c:pt>
                <c:pt idx="14">
                  <c:v>138.10796535577904</c:v>
                </c:pt>
                <c:pt idx="15">
                  <c:v>147.71016474706212</c:v>
                </c:pt>
                <c:pt idx="16">
                  <c:v>157.29746055579915</c:v>
                </c:pt>
                <c:pt idx="17">
                  <c:v>166.87089029856921</c:v>
                </c:pt>
                <c:pt idx="18">
                  <c:v>176.43136253587519</c:v>
                </c:pt>
                <c:pt idx="19">
                  <c:v>185.97967917543755</c:v>
                </c:pt>
                <c:pt idx="20">
                  <c:v>195.51655294610748</c:v>
                </c:pt>
                <c:pt idx="21">
                  <c:v>205.04262127768183</c:v>
                </c:pt>
                <c:pt idx="22">
                  <c:v>214.5584574620365</c:v>
                </c:pt>
                <c:pt idx="23">
                  <c:v>224.06457972759929</c:v>
                </c:pt>
                <c:pt idx="24">
                  <c:v>233.56145869112254</c:v>
                </c:pt>
                <c:pt idx="25">
                  <c:v>243.04952353249737</c:v>
                </c:pt>
                <c:pt idx="26">
                  <c:v>252.5291671537876</c:v>
                </c:pt>
                <c:pt idx="27">
                  <c:v>262.00075052224111</c:v>
                </c:pt>
                <c:pt idx="28">
                  <c:v>271.4646063518054</c:v>
                </c:pt>
                <c:pt idx="29">
                  <c:v>280.92104224393296</c:v>
                </c:pt>
                <c:pt idx="30">
                  <c:v>290.3703433830006</c:v>
                </c:pt>
                <c:pt idx="31">
                  <c:v>299.81277486224468</c:v>
                </c:pt>
                <c:pt idx="32">
                  <c:v>309.24858370114447</c:v>
                </c:pt>
                <c:pt idx="33">
                  <c:v>318.67800060354801</c:v>
                </c:pt>
                <c:pt idx="34">
                  <c:v>328.10124149670571</c:v>
                </c:pt>
                <c:pt idx="35">
                  <c:v>337.51850888415163</c:v>
                </c:pt>
                <c:pt idx="36">
                  <c:v>346.92999303962557</c:v>
                </c:pt>
                <c:pt idx="37">
                  <c:v>356.33587306460578</c:v>
                </c:pt>
                <c:pt idx="38">
                  <c:v>365.7363178283008</c:v>
                </c:pt>
                <c:pt idx="39">
                  <c:v>375.13148680590967</c:v>
                </c:pt>
                <c:pt idx="40">
                  <c:v>384.52153082848844</c:v>
                </c:pt>
                <c:pt idx="41">
                  <c:v>393.9065927557192</c:v>
                </c:pt>
                <c:pt idx="42">
                  <c:v>403.28680808119469</c:v>
                </c:pt>
                <c:pt idx="43">
                  <c:v>324.31426173014296</c:v>
                </c:pt>
                <c:pt idx="44">
                  <c:v>347.56357073166754</c:v>
                </c:pt>
                <c:pt idx="45">
                  <c:v>370.77875387440105</c:v>
                </c:pt>
                <c:pt idx="46">
                  <c:v>393.96224671189083</c:v>
                </c:pt>
                <c:pt idx="47">
                  <c:v>417.11617489634568</c:v>
                </c:pt>
                <c:pt idx="48">
                  <c:v>440.24240897707568</c:v>
                </c:pt>
                <c:pt idx="49">
                  <c:v>463.34260708165061</c:v>
                </c:pt>
                <c:pt idx="50">
                  <c:v>486.41824864162896</c:v>
                </c:pt>
                <c:pt idx="51">
                  <c:v>424.33314645084437</c:v>
                </c:pt>
                <c:pt idx="52">
                  <c:v>448.03098996443867</c:v>
                </c:pt>
                <c:pt idx="53">
                  <c:v>471.70201681623604</c:v>
                </c:pt>
                <c:pt idx="54">
                  <c:v>495.34776070376029</c:v>
                </c:pt>
                <c:pt idx="55">
                  <c:v>518.96959708417387</c:v>
                </c:pt>
                <c:pt idx="56">
                  <c:v>542.56876610540041</c:v>
                </c:pt>
                <c:pt idx="57">
                  <c:v>566.1463913416552</c:v>
                </c:pt>
                <c:pt idx="58">
                  <c:v>589.70349524717665</c:v>
                </c:pt>
                <c:pt idx="59">
                  <c:v>503.94902507519402</c:v>
                </c:pt>
                <c:pt idx="60">
                  <c:v>526.97888936741572</c:v>
                </c:pt>
                <c:pt idx="61">
                  <c:v>549.98756802635592</c:v>
                </c:pt>
                <c:pt idx="62">
                  <c:v>572.97607112989465</c:v>
                </c:pt>
                <c:pt idx="63">
                  <c:v>595.94532117721189</c:v>
                </c:pt>
                <c:pt idx="64">
                  <c:v>618.89616383277814</c:v>
                </c:pt>
                <c:pt idx="65">
                  <c:v>641.82937699491765</c:v>
                </c:pt>
                <c:pt idx="66">
                  <c:v>664.7456785018876</c:v>
                </c:pt>
                <c:pt idx="67">
                  <c:v>564.98093953777095</c:v>
                </c:pt>
                <c:pt idx="68">
                  <c:v>587.10753653683673</c:v>
                </c:pt>
                <c:pt idx="69">
                  <c:v>609.2167687196187</c:v>
                </c:pt>
                <c:pt idx="70">
                  <c:v>631.30935429643307</c:v>
                </c:pt>
                <c:pt idx="71">
                  <c:v>653.38595716516113</c:v>
                </c:pt>
                <c:pt idx="72">
                  <c:v>675.44719275156592</c:v>
                </c:pt>
                <c:pt idx="73">
                  <c:v>697.4936330475939</c:v>
                </c:pt>
                <c:pt idx="74">
                  <c:v>719.52581098016128</c:v>
                </c:pt>
                <c:pt idx="75">
                  <c:v>624.82426922682123</c:v>
                </c:pt>
                <c:pt idx="76">
                  <c:v>646.48200063831644</c:v>
                </c:pt>
                <c:pt idx="77">
                  <c:v>668.12476842905392</c:v>
                </c:pt>
                <c:pt idx="78">
                  <c:v>689.75312500960342</c:v>
                </c:pt>
                <c:pt idx="79">
                  <c:v>711.36758536170771</c:v>
                </c:pt>
                <c:pt idx="80">
                  <c:v>732.96863065725938</c:v>
                </c:pt>
                <c:pt idx="81">
                  <c:v>754.55671142892061</c:v>
                </c:pt>
                <c:pt idx="82">
                  <c:v>776.13225035942412</c:v>
                </c:pt>
                <c:pt idx="83">
                  <c:v>797.69564474493848</c:v>
                </c:pt>
                <c:pt idx="84">
                  <c:v>819.24726867854179</c:v>
                </c:pt>
                <c:pt idx="85">
                  <c:v>689.22091052302585</c:v>
                </c:pt>
                <c:pt idx="86">
                  <c:v>709.98921153095716</c:v>
                </c:pt>
                <c:pt idx="87">
                  <c:v>730.74510067370727</c:v>
                </c:pt>
                <c:pt idx="88">
                  <c:v>751.48897972592613</c:v>
                </c:pt>
                <c:pt idx="89">
                  <c:v>772.22122649895766</c:v>
                </c:pt>
                <c:pt idx="90">
                  <c:v>792.94219688798103</c:v>
                </c:pt>
                <c:pt idx="91">
                  <c:v>813.65222669428829</c:v>
                </c:pt>
                <c:pt idx="92">
                  <c:v>834.3516332526068</c:v>
                </c:pt>
                <c:pt idx="93">
                  <c:v>855.04071688873125</c:v>
                </c:pt>
                <c:pt idx="94">
                  <c:v>875.71976222892374</c:v>
                </c:pt>
                <c:pt idx="95">
                  <c:v>743.86941210113582</c:v>
                </c:pt>
                <c:pt idx="96">
                  <c:v>764.0838329101739</c:v>
                </c:pt>
                <c:pt idx="97">
                  <c:v>784.28740780731459</c:v>
                </c:pt>
                <c:pt idx="98">
                  <c:v>804.48045519870891</c:v>
                </c:pt>
                <c:pt idx="99">
                  <c:v>824.66327622232177</c:v>
                </c:pt>
                <c:pt idx="100">
                  <c:v>844.83615609261949</c:v>
                </c:pt>
                <c:pt idx="101">
                  <c:v>864.99936531030323</c:v>
                </c:pt>
                <c:pt idx="102">
                  <c:v>885.15316075352678</c:v>
                </c:pt>
                <c:pt idx="103">
                  <c:v>905.2977866646911</c:v>
                </c:pt>
                <c:pt idx="104">
                  <c:v>925.43347554496052</c:v>
                </c:pt>
                <c:pt idx="105">
                  <c:v>796.36789853791095</c:v>
                </c:pt>
                <c:pt idx="106">
                  <c:v>816.33586686577382</c:v>
                </c:pt>
                <c:pt idx="107">
                  <c:v>836.29399522681695</c:v>
                </c:pt>
                <c:pt idx="108">
                  <c:v>856.2425512298197</c:v>
                </c:pt>
                <c:pt idx="109">
                  <c:v>876.18178901346482</c:v>
                </c:pt>
                <c:pt idx="110">
                  <c:v>896.11195022160882</c:v>
                </c:pt>
                <c:pt idx="111">
                  <c:v>916.03326488739322</c:v>
                </c:pt>
                <c:pt idx="112">
                  <c:v>935.94595223655108</c:v>
                </c:pt>
                <c:pt idx="113">
                  <c:v>955.85022141889249</c:v>
                </c:pt>
                <c:pt idx="114">
                  <c:v>975.74627217577506</c:v>
                </c:pt>
                <c:pt idx="115">
                  <c:v>856.52665721580433</c:v>
                </c:pt>
                <c:pt idx="116">
                  <c:v>876.62578089094075</c:v>
                </c:pt>
                <c:pt idx="117">
                  <c:v>896.71568700341675</c:v>
                </c:pt>
                <c:pt idx="118">
                  <c:v>916.79661087096258</c:v>
                </c:pt>
                <c:pt idx="119">
                  <c:v>936.86877667642091</c:v>
                </c:pt>
                <c:pt idx="120">
                  <c:v>956.9323982266784</c:v>
                </c:pt>
                <c:pt idx="121">
                  <c:v>976.987679644727</c:v>
                </c:pt>
                <c:pt idx="122">
                  <c:v>997.0348160020294</c:v>
                </c:pt>
                <c:pt idx="123">
                  <c:v>1017.0739938974557</c:v>
                </c:pt>
                <c:pt idx="124">
                  <c:v>1037.1053919882879</c:v>
                </c:pt>
                <c:pt idx="125">
                  <c:v>927.39883559229656</c:v>
                </c:pt>
                <c:pt idx="126">
                  <c:v>947.70724062539603</c:v>
                </c:pt>
                <c:pt idx="127">
                  <c:v>968.00700918494886</c:v>
                </c:pt>
                <c:pt idx="128">
                  <c:v>988.29834763216047</c:v>
                </c:pt>
                <c:pt idx="129">
                  <c:v>1008.5814531759315</c:v>
                </c:pt>
                <c:pt idx="130">
                  <c:v>1028.8565144583363</c:v>
                </c:pt>
                <c:pt idx="131">
                  <c:v>1049.1237120916189</c:v>
                </c:pt>
                <c:pt idx="132">
                  <c:v>1069.3832191516055</c:v>
                </c:pt>
                <c:pt idx="133">
                  <c:v>1089.6352016318363</c:v>
                </c:pt>
                <c:pt idx="134">
                  <c:v>1109.8798188622395</c:v>
                </c:pt>
                <c:pt idx="135">
                  <c:v>993.92349442537125</c:v>
                </c:pt>
                <c:pt idx="136">
                  <c:v>1014.4762659054865</c:v>
                </c:pt>
                <c:pt idx="137">
                  <c:v>1035.0208306583224</c:v>
                </c:pt>
                <c:pt idx="138">
                  <c:v>1055.5573742773213</c:v>
                </c:pt>
                <c:pt idx="139">
                  <c:v>1076.0860745567184</c:v>
                </c:pt>
                <c:pt idx="140">
                  <c:v>1096.6071019647786</c:v>
                </c:pt>
                <c:pt idx="141">
                  <c:v>1117.1206200798313</c:v>
                </c:pt>
                <c:pt idx="142">
                  <c:v>1137.6267859926627</c:v>
                </c:pt>
                <c:pt idx="143">
                  <c:v>1158.1257506784348</c:v>
                </c:pt>
                <c:pt idx="144">
                  <c:v>1178.6176593409525</c:v>
                </c:pt>
                <c:pt idx="145">
                  <c:v>1060.9439914199227</c:v>
                </c:pt>
                <c:pt idx="146">
                  <c:v>1081.8993419268288</c:v>
                </c:pt>
                <c:pt idx="147">
                  <c:v>1102.8467446465284</c:v>
                </c:pt>
                <c:pt idx="148">
                  <c:v>1123.786371555512</c:v>
                </c:pt>
                <c:pt idx="149">
                  <c:v>1144.7183877094499</c:v>
                </c:pt>
                <c:pt idx="150">
                  <c:v>1165.6429516456753</c:v>
                </c:pt>
                <c:pt idx="151">
                  <c:v>1186.5602157553112</c:v>
                </c:pt>
                <c:pt idx="152">
                  <c:v>1207.4703266278404</c:v>
                </c:pt>
                <c:pt idx="153">
                  <c:v>1228.3734253706086</c:v>
                </c:pt>
                <c:pt idx="154">
                  <c:v>1249.26964790549</c:v>
                </c:pt>
                <c:pt idx="155">
                  <c:v>1133.7611307184045</c:v>
                </c:pt>
                <c:pt idx="156">
                  <c:v>1155.0325304985047</c:v>
                </c:pt>
                <c:pt idx="157">
                  <c:v>1176.296310122332</c:v>
                </c:pt>
                <c:pt idx="158">
                  <c:v>1197.5526265031187</c:v>
                </c:pt>
                <c:pt idx="159">
                  <c:v>1218.8016305393428</c:v>
                </c:pt>
                <c:pt idx="160">
                  <c:v>1240.0434674481953</c:v>
                </c:pt>
                <c:pt idx="161">
                  <c:v>1261.2782770750593</c:v>
                </c:pt>
                <c:pt idx="162">
                  <c:v>1282.5061941810975</c:v>
                </c:pt>
                <c:pt idx="163">
                  <c:v>1303.7273487108484</c:v>
                </c:pt>
                <c:pt idx="164">
                  <c:v>1324.9418660415267</c:v>
                </c:pt>
                <c:pt idx="165">
                  <c:v>1198.739788037851</c:v>
                </c:pt>
                <c:pt idx="166">
                  <c:v>1220.2884324987176</c:v>
                </c:pt>
                <c:pt idx="167">
                  <c:v>1241.8297161868911</c:v>
                </c:pt>
                <c:pt idx="168">
                  <c:v>1263.363784539112</c:v>
                </c:pt>
                <c:pt idx="169">
                  <c:v>1284.8907776390317</c:v>
                </c:pt>
                <c:pt idx="170">
                  <c:v>1306.4108305023954</c:v>
                </c:pt>
                <c:pt idx="171">
                  <c:v>1327.9240733424931</c:v>
                </c:pt>
                <c:pt idx="172">
                  <c:v>1349.4306318175479</c:v>
                </c:pt>
                <c:pt idx="173">
                  <c:v>1370.930627261542</c:v>
                </c:pt>
                <c:pt idx="174">
                  <c:v>1392.4241768998411</c:v>
                </c:pt>
                <c:pt idx="175">
                  <c:v>867.89837123896712</c:v>
                </c:pt>
                <c:pt idx="176">
                  <c:v>881.73699846583179</c:v>
                </c:pt>
                <c:pt idx="177">
                  <c:v>895.57128352465918</c:v>
                </c:pt>
                <c:pt idx="178">
                  <c:v>613.18709418858668</c:v>
                </c:pt>
                <c:pt idx="179">
                  <c:v>621.72191904507645</c:v>
                </c:pt>
                <c:pt idx="180">
                  <c:v>630.2543175006092</c:v>
                </c:pt>
                <c:pt idx="181">
                  <c:v>437.43787550840597</c:v>
                </c:pt>
                <c:pt idx="182">
                  <c:v>442.68082225191824</c:v>
                </c:pt>
                <c:pt idx="183">
                  <c:v>447.92243844994863</c:v>
                </c:pt>
                <c:pt idx="184">
                  <c:v>1.8947059614562397E-11</c:v>
                </c:pt>
                <c:pt idx="185">
                  <c:v>1.8947059614562397E-11</c:v>
                </c:pt>
                <c:pt idx="186">
                  <c:v>1.8947059614562397E-11</c:v>
                </c:pt>
                <c:pt idx="187">
                  <c:v>1.8947059614562397E-11</c:v>
                </c:pt>
                <c:pt idx="188">
                  <c:v>1.8947059614562397E-11</c:v>
                </c:pt>
                <c:pt idx="189">
                  <c:v>1.8947059614562397E-11</c:v>
                </c:pt>
                <c:pt idx="190">
                  <c:v>1.8947059614562397E-11</c:v>
                </c:pt>
                <c:pt idx="191">
                  <c:v>1.8947059614562397E-11</c:v>
                </c:pt>
                <c:pt idx="192">
                  <c:v>1.8947059614562397E-11</c:v>
                </c:pt>
                <c:pt idx="193">
                  <c:v>1.8947059614562397E-11</c:v>
                </c:pt>
                <c:pt idx="194">
                  <c:v>1.8947059614562397E-11</c:v>
                </c:pt>
                <c:pt idx="195">
                  <c:v>1.8947059614562397E-11</c:v>
                </c:pt>
                <c:pt idx="196">
                  <c:v>1.8947059614562397E-11</c:v>
                </c:pt>
                <c:pt idx="197">
                  <c:v>1.8947059614562397E-11</c:v>
                </c:pt>
                <c:pt idx="198">
                  <c:v>1.8947059614562397E-11</c:v>
                </c:pt>
                <c:pt idx="199">
                  <c:v>1.8947059614562397E-11</c:v>
                </c:pt>
                <c:pt idx="200">
                  <c:v>1.8947059614562397E-11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2.6689104183509347</c:v>
                </c:pt>
                <c:pt idx="2">
                  <c:v>3.4899830590683352</c:v>
                </c:pt>
                <c:pt idx="3">
                  <c:v>4.5646726825905164</c:v>
                </c:pt>
                <c:pt idx="4">
                  <c:v>5.9716141615574472</c:v>
                </c:pt>
                <c:pt idx="5">
                  <c:v>7.8139092335961218</c:v>
                </c:pt>
                <c:pt idx="6">
                  <c:v>10.226764012784757</c:v>
                </c:pt>
                <c:pt idx="7">
                  <c:v>13.387517725469587</c:v>
                </c:pt>
                <c:pt idx="8">
                  <c:v>17.528813377583827</c:v>
                </c:pt>
                <c:pt idx="9">
                  <c:v>22.955897322390214</c:v>
                </c:pt>
                <c:pt idx="10">
                  <c:v>30.069345481461834</c:v>
                </c:pt>
                <c:pt idx="11">
                  <c:v>39.394922830832961</c:v>
                </c:pt>
                <c:pt idx="12">
                  <c:v>51.622820709160315</c:v>
                </c:pt>
                <c:pt idx="13">
                  <c:v>67.659224368464649</c:v>
                </c:pt>
                <c:pt idx="14">
                  <c:v>88.69409474214649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20.233147222284526</c:v>
                </c:pt>
                <c:pt idx="2">
                  <c:v>39.637713818675259</c:v>
                </c:pt>
                <c:pt idx="3">
                  <c:v>58.774690465047883</c:v>
                </c:pt>
                <c:pt idx="4">
                  <c:v>77.746718440098022</c:v>
                </c:pt>
                <c:pt idx="5">
                  <c:v>96.600318136134149</c:v>
                </c:pt>
                <c:pt idx="6">
                  <c:v>115.3620267272096</c:v>
                </c:pt>
                <c:pt idx="7">
                  <c:v>134.04895170336187</c:v>
                </c:pt>
                <c:pt idx="8">
                  <c:v>152.67300910680527</c:v>
                </c:pt>
                <c:pt idx="9">
                  <c:v>171.24295738015155</c:v>
                </c:pt>
                <c:pt idx="10">
                  <c:v>189.7654944642816</c:v>
                </c:pt>
                <c:pt idx="11">
                  <c:v>208.24590119351259</c:v>
                </c:pt>
                <c:pt idx="12">
                  <c:v>226.68844317932505</c:v>
                </c:pt>
                <c:pt idx="13">
                  <c:v>245.09663455742523</c:v>
                </c:pt>
                <c:pt idx="14">
                  <c:v>263.47341811563859</c:v>
                </c:pt>
                <c:pt idx="15">
                  <c:v>281.82129242178149</c:v>
                </c:pt>
                <c:pt idx="16">
                  <c:v>300.14240405389256</c:v>
                </c:pt>
                <c:pt idx="17">
                  <c:v>318.4386161021331</c:v>
                </c:pt>
                <c:pt idx="18">
                  <c:v>336.71156008754855</c:v>
                </c:pt>
                <c:pt idx="19">
                  <c:v>354.96267601255846</c:v>
                </c:pt>
                <c:pt idx="20">
                  <c:v>373.19324373922683</c:v>
                </c:pt>
                <c:pt idx="21">
                  <c:v>391.4044079135349</c:v>
                </c:pt>
                <c:pt idx="22">
                  <c:v>409.59719800766214</c:v>
                </c:pt>
                <c:pt idx="23">
                  <c:v>427.77254461520511</c:v>
                </c:pt>
                <c:pt idx="24">
                  <c:v>445.93129283248186</c:v>
                </c:pt>
                <c:pt idx="25">
                  <c:v>464.07421334677491</c:v>
                </c:pt>
                <c:pt idx="26">
                  <c:v>482.20201170051496</c:v>
                </c:pt>
                <c:pt idx="27">
                  <c:v>500.31533609011814</c:v>
                </c:pt>
                <c:pt idx="28">
                  <c:v>518.41478397695982</c:v>
                </c:pt>
                <c:pt idx="29">
                  <c:v>536.50090772738338</c:v>
                </c:pt>
                <c:pt idx="30">
                  <c:v>554.57421945292344</c:v>
                </c:pt>
                <c:pt idx="31">
                  <c:v>572.63519518703299</c:v>
                </c:pt>
                <c:pt idx="32">
                  <c:v>590.68427850774344</c:v>
                </c:pt>
                <c:pt idx="33">
                  <c:v>608.72188369476703</c:v>
                </c:pt>
                <c:pt idx="34">
                  <c:v>626.7483984931705</c:v>
                </c:pt>
                <c:pt idx="35">
                  <c:v>644.76418654277415</c:v>
                </c:pt>
                <c:pt idx="36">
                  <c:v>662.76958952210089</c:v>
                </c:pt>
                <c:pt idx="37">
                  <c:v>680.7649290474111</c:v>
                </c:pt>
                <c:pt idx="38">
                  <c:v>698.75050836066441</c:v>
                </c:pt>
                <c:pt idx="39">
                  <c:v>716.72661383480238</c:v>
                </c:pt>
                <c:pt idx="40">
                  <c:v>734.6935163202985</c:v>
                </c:pt>
                <c:pt idx="41">
                  <c:v>752.65147235326333</c:v>
                </c:pt>
                <c:pt idx="42">
                  <c:v>770.60072524236728</c:v>
                </c:pt>
                <c:pt idx="43">
                  <c:v>466.68385334628823</c:v>
                </c:pt>
                <c:pt idx="44">
                  <c:v>451.16319912857512</c:v>
                </c:pt>
                <c:pt idx="45">
                  <c:v>435.63111213834804</c:v>
                </c:pt>
                <c:pt idx="46">
                  <c:v>420.08712512937274</c:v>
                </c:pt>
                <c:pt idx="47">
                  <c:v>404.53073327052147</c:v>
                </c:pt>
                <c:pt idx="48">
                  <c:v>388.96138951694417</c:v>
                </c:pt>
                <c:pt idx="49">
                  <c:v>373.37849919705474</c:v>
                </c:pt>
                <c:pt idx="50">
                  <c:v>383.54028328139947</c:v>
                </c:pt>
                <c:pt idx="51">
                  <c:v>294.91945644473526</c:v>
                </c:pt>
                <c:pt idx="52">
                  <c:v>314.38010114535103</c:v>
                </c:pt>
                <c:pt idx="53">
                  <c:v>333.81404783401319</c:v>
                </c:pt>
                <c:pt idx="54">
                  <c:v>353.22306884203368</c:v>
                </c:pt>
                <c:pt idx="55">
                  <c:v>372.60872587187868</c:v>
                </c:pt>
                <c:pt idx="56">
                  <c:v>391.97240491215206</c:v>
                </c:pt>
                <c:pt idx="57">
                  <c:v>359.92652354613847</c:v>
                </c:pt>
                <c:pt idx="58">
                  <c:v>407.86917736468848</c:v>
                </c:pt>
                <c:pt idx="59">
                  <c:v>341.45895289269879</c:v>
                </c:pt>
                <c:pt idx="60">
                  <c:v>363.39433576584452</c:v>
                </c:pt>
                <c:pt idx="61">
                  <c:v>385.30079343544838</c:v>
                </c:pt>
                <c:pt idx="62">
                  <c:v>407.18020062105126</c:v>
                </c:pt>
                <c:pt idx="63">
                  <c:v>429.03421423555034</c:v>
                </c:pt>
                <c:pt idx="64">
                  <c:v>382.23424212927466</c:v>
                </c:pt>
                <c:pt idx="65">
                  <c:v>415.01633367184803</c:v>
                </c:pt>
                <c:pt idx="66">
                  <c:v>447.74259442675424</c:v>
                </c:pt>
                <c:pt idx="67">
                  <c:v>383.16144162142422</c:v>
                </c:pt>
                <c:pt idx="68">
                  <c:v>407.08262673441862</c:v>
                </c:pt>
                <c:pt idx="69">
                  <c:v>430.97344959207538</c:v>
                </c:pt>
                <c:pt idx="70">
                  <c:v>454.83582847888937</c:v>
                </c:pt>
                <c:pt idx="71">
                  <c:v>478.67146412990343</c:v>
                </c:pt>
                <c:pt idx="72">
                  <c:v>414.78493906751805</c:v>
                </c:pt>
                <c:pt idx="73">
                  <c:v>442.07323376647633</c:v>
                </c:pt>
                <c:pt idx="74">
                  <c:v>469.32544241690448</c:v>
                </c:pt>
                <c:pt idx="75">
                  <c:v>496.54395255876381</c:v>
                </c:pt>
                <c:pt idx="76">
                  <c:v>433.30028460433573</c:v>
                </c:pt>
                <c:pt idx="77">
                  <c:v>458.59011042282208</c:v>
                </c:pt>
                <c:pt idx="78">
                  <c:v>483.85016812460759</c:v>
                </c:pt>
                <c:pt idx="79">
                  <c:v>509.08222866221303</c:v>
                </c:pt>
                <c:pt idx="80">
                  <c:v>446.3316097018585</c:v>
                </c:pt>
                <c:pt idx="81">
                  <c:v>471.92347001892739</c:v>
                </c:pt>
                <c:pt idx="82">
                  <c:v>497.48579293849315</c:v>
                </c:pt>
                <c:pt idx="83">
                  <c:v>523.02030791590926</c:v>
                </c:pt>
                <c:pt idx="84">
                  <c:v>457.97189104171957</c:v>
                </c:pt>
                <c:pt idx="85">
                  <c:v>483.66665188611836</c:v>
                </c:pt>
                <c:pt idx="86">
                  <c:v>509.33243158064664</c:v>
                </c:pt>
                <c:pt idx="87">
                  <c:v>534.97089422131955</c:v>
                </c:pt>
                <c:pt idx="88">
                  <c:v>469.20632780177647</c:v>
                </c:pt>
                <c:pt idx="89">
                  <c:v>492.32503345059513</c:v>
                </c:pt>
                <c:pt idx="90">
                  <c:v>515.42073101358415</c:v>
                </c:pt>
                <c:pt idx="91">
                  <c:v>538.49459548369066</c:v>
                </c:pt>
                <c:pt idx="92">
                  <c:v>344.63247164976201</c:v>
                </c:pt>
                <c:pt idx="93">
                  <c:v>413.94642129971703</c:v>
                </c:pt>
                <c:pt idx="94">
                  <c:v>483.00945321858336</c:v>
                </c:pt>
                <c:pt idx="95">
                  <c:v>551.86246586504626</c:v>
                </c:pt>
                <c:pt idx="96">
                  <c:v>294.70721068241414</c:v>
                </c:pt>
                <c:pt idx="97">
                  <c:v>308.65815873127525</c:v>
                </c:pt>
                <c:pt idx="98">
                  <c:v>322.59510613525271</c:v>
                </c:pt>
                <c:pt idx="99">
                  <c:v>336.51874301254099</c:v>
                </c:pt>
                <c:pt idx="100">
                  <c:v>350.42969770319809</c:v>
                </c:pt>
                <c:pt idx="101">
                  <c:v>364.32854458402284</c:v>
                </c:pt>
                <c:pt idx="102">
                  <c:v>95.608211770843354</c:v>
                </c:pt>
                <c:pt idx="103">
                  <c:v>187.81332562676027</c:v>
                </c:pt>
                <c:pt idx="104">
                  <c:v>278.91940968098493</c:v>
                </c:pt>
                <c:pt idx="105">
                  <c:v>369.34802619384391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2.5251641427447038</c:v>
                </c:pt>
                <c:pt idx="2">
                  <c:v>3.0659836900111501</c:v>
                </c:pt>
                <c:pt idx="3">
                  <c:v>3.72306978401474</c:v>
                </c:pt>
                <c:pt idx="4">
                  <c:v>4.5215065574389657</c:v>
                </c:pt>
                <c:pt idx="5">
                  <c:v>5.4918079349600406</c:v>
                </c:pt>
                <c:pt idx="6">
                  <c:v>6.6710966034603709</c:v>
                </c:pt>
                <c:pt idx="7">
                  <c:v>8.1045396986996359</c:v>
                </c:pt>
                <c:pt idx="8">
                  <c:v>9.847097252976555</c:v>
                </c:pt>
                <c:pt idx="9">
                  <c:v>11.965651712594722</c:v>
                </c:pt>
                <c:pt idx="10">
                  <c:v>14.541601787809954</c:v>
                </c:pt>
                <c:pt idx="11">
                  <c:v>17.674022132363714</c:v>
                </c:pt>
                <c:pt idx="12">
                  <c:v>21.483512585759296</c:v>
                </c:pt>
                <c:pt idx="13">
                  <c:v>26.116887828937664</c:v>
                </c:pt>
                <c:pt idx="14">
                  <c:v>31.752891376550057</c:v>
                </c:pt>
                <c:pt idx="15">
                  <c:v>38.609158166707701</c:v>
                </c:pt>
                <c:pt idx="16">
                  <c:v>43.754910153152025</c:v>
                </c:pt>
                <c:pt idx="17">
                  <c:v>48.884401649460102</c:v>
                </c:pt>
                <c:pt idx="18">
                  <c:v>53.999586130991638</c:v>
                </c:pt>
                <c:pt idx="19">
                  <c:v>59.102014803832958</c:v>
                </c:pt>
                <c:pt idx="20">
                  <c:v>64.192947903636622</c:v>
                </c:pt>
                <c:pt idx="21">
                  <c:v>59.102014803832951</c:v>
                </c:pt>
                <c:pt idx="22">
                  <c:v>64.424098420473612</c:v>
                </c:pt>
                <c:pt idx="23">
                  <c:v>69.734803600053766</c:v>
                </c:pt>
                <c:pt idx="24">
                  <c:v>75.035121697679017</c:v>
                </c:pt>
                <c:pt idx="25">
                  <c:v>80.325892057250982</c:v>
                </c:pt>
                <c:pt idx="26">
                  <c:v>76.646331669997508</c:v>
                </c:pt>
                <c:pt idx="27">
                  <c:v>82.164057018091412</c:v>
                </c:pt>
                <c:pt idx="28">
                  <c:v>87.672415653160456</c:v>
                </c:pt>
                <c:pt idx="29">
                  <c:v>93.172080657101844</c:v>
                </c:pt>
                <c:pt idx="30">
                  <c:v>98.663638916304237</c:v>
                </c:pt>
                <c:pt idx="31">
                  <c:v>93.858957567836981</c:v>
                </c:pt>
                <c:pt idx="32">
                  <c:v>99.349540078518643</c:v>
                </c:pt>
                <c:pt idx="33">
                  <c:v>104.83259201464182</c:v>
                </c:pt>
                <c:pt idx="34">
                  <c:v>110.30856380243615</c:v>
                </c:pt>
                <c:pt idx="35">
                  <c:v>115.77785737197435</c:v>
                </c:pt>
                <c:pt idx="36">
                  <c:v>109.85249314434161</c:v>
                </c:pt>
                <c:pt idx="37">
                  <c:v>115.32232892790154</c:v>
                </c:pt>
                <c:pt idx="38">
                  <c:v>120.78581860368736</c:v>
                </c:pt>
                <c:pt idx="39">
                  <c:v>126.24329041370743</c:v>
                </c:pt>
                <c:pt idx="40">
                  <c:v>131.69504183024623</c:v>
                </c:pt>
                <c:pt idx="41">
                  <c:v>125.7887234996597</c:v>
                </c:pt>
                <c:pt idx="42">
                  <c:v>131.24094092949005</c:v>
                </c:pt>
                <c:pt idx="43">
                  <c:v>136.68768710570427</c:v>
                </c:pt>
                <c:pt idx="44">
                  <c:v>142.12921131181261</c:v>
                </c:pt>
                <c:pt idx="45">
                  <c:v>147.56574213893074</c:v>
                </c:pt>
                <c:pt idx="46">
                  <c:v>140.3159356207652</c:v>
                </c:pt>
                <c:pt idx="47">
                  <c:v>145.52761451594594</c:v>
                </c:pt>
                <c:pt idx="48">
                  <c:v>150.73483015282747</c:v>
                </c:pt>
                <c:pt idx="49">
                  <c:v>155.93775882820455</c:v>
                </c:pt>
                <c:pt idx="50">
                  <c:v>161.13656408640864</c:v>
                </c:pt>
                <c:pt idx="51">
                  <c:v>153.67613191785088</c:v>
                </c:pt>
                <c:pt idx="52">
                  <c:v>158.65068353627368</c:v>
                </c:pt>
                <c:pt idx="53">
                  <c:v>163.62153641581833</c:v>
                </c:pt>
                <c:pt idx="54">
                  <c:v>168.58881903979511</c:v>
                </c:pt>
                <c:pt idx="55">
                  <c:v>173.55265168473863</c:v>
                </c:pt>
                <c:pt idx="56">
                  <c:v>165.87982733683168</c:v>
                </c:pt>
                <c:pt idx="57">
                  <c:v>170.61988827467206</c:v>
                </c:pt>
                <c:pt idx="58">
                  <c:v>175.35684862651081</c:v>
                </c:pt>
                <c:pt idx="59">
                  <c:v>180.09080416161893</c:v>
                </c:pt>
                <c:pt idx="60">
                  <c:v>184.82184519189613</c:v>
                </c:pt>
                <c:pt idx="61">
                  <c:v>176.93516310576447</c:v>
                </c:pt>
                <c:pt idx="62">
                  <c:v>181.44282374804376</c:v>
                </c:pt>
                <c:pt idx="63">
                  <c:v>185.9478634358592</c:v>
                </c:pt>
                <c:pt idx="64">
                  <c:v>190.45035477579154</c:v>
                </c:pt>
                <c:pt idx="65">
                  <c:v>194.95036665337298</c:v>
                </c:pt>
                <c:pt idx="66">
                  <c:v>187.07372242622981</c:v>
                </c:pt>
                <c:pt idx="67">
                  <c:v>191.57558758167247</c:v>
                </c:pt>
                <c:pt idx="68">
                  <c:v>196.07498994746314</c:v>
                </c:pt>
                <c:pt idx="69">
                  <c:v>200.57199414028253</c:v>
                </c:pt>
                <c:pt idx="70">
                  <c:v>205.06666163639463</c:v>
                </c:pt>
                <c:pt idx="71">
                  <c:v>196.74969192320927</c:v>
                </c:pt>
                <c:pt idx="72">
                  <c:v>200.79678251340351</c:v>
                </c:pt>
                <c:pt idx="73">
                  <c:v>204.84198284284162</c:v>
                </c:pt>
                <c:pt idx="74">
                  <c:v>208.88533559507187</c:v>
                </c:pt>
                <c:pt idx="75">
                  <c:v>212.92688166259384</c:v>
                </c:pt>
                <c:pt idx="76">
                  <c:v>204.61729834734868</c:v>
                </c:pt>
                <c:pt idx="77">
                  <c:v>208.66075265393101</c:v>
                </c:pt>
                <c:pt idx="78">
                  <c:v>212.70239804910179</c:v>
                </c:pt>
                <c:pt idx="79">
                  <c:v>216.74227383360707</c:v>
                </c:pt>
                <c:pt idx="80">
                  <c:v>220.78041772031693</c:v>
                </c:pt>
                <c:pt idx="81">
                  <c:v>212.02891441405961</c:v>
                </c:pt>
                <c:pt idx="82">
                  <c:v>215.62026142299865</c:v>
                </c:pt>
                <c:pt idx="83">
                  <c:v>219.21023188421313</c:v>
                </c:pt>
                <c:pt idx="84">
                  <c:v>222.79885157604664</c:v>
                </c:pt>
                <c:pt idx="85">
                  <c:v>226.3861453767432</c:v>
                </c:pt>
                <c:pt idx="86">
                  <c:v>218.53721607804448</c:v>
                </c:pt>
                <c:pt idx="87">
                  <c:v>221.90182191224508</c:v>
                </c:pt>
                <c:pt idx="88">
                  <c:v>225.2652570256333</c:v>
                </c:pt>
                <c:pt idx="89">
                  <c:v>228.62754140696123</c:v>
                </c:pt>
                <c:pt idx="90">
                  <c:v>231.98869440771659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B1" zoomScale="80" zoomScaleNormal="80" workbookViewId="0">
      <selection activeCell="B18" sqref="B18:M31"/>
    </sheetView>
  </sheetViews>
  <sheetFormatPr baseColWidth="10" defaultRowHeight="14.6" x14ac:dyDescent="0.4"/>
  <cols>
    <col min="1" max="1" width="6.61328125" customWidth="1"/>
    <col min="2" max="13" width="15.921875" customWidth="1"/>
  </cols>
  <sheetData>
    <row r="12" spans="2:13" ht="15" customHeight="1" x14ac:dyDescent="0.4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60" zoomScaleNormal="60" workbookViewId="0">
      <selection activeCell="E18" sqref="E18"/>
    </sheetView>
  </sheetViews>
  <sheetFormatPr baseColWidth="10" defaultColWidth="11.4609375" defaultRowHeight="14.6" x14ac:dyDescent="0.4"/>
  <cols>
    <col min="1" max="1" width="13.61328125" style="23" customWidth="1"/>
    <col min="2" max="2" width="36.07421875" style="23" customWidth="1"/>
    <col min="3" max="3" width="14.921875" style="23" bestFit="1" customWidth="1"/>
    <col min="4" max="4" width="16.4609375" style="23" customWidth="1"/>
    <col min="5" max="5" width="23.3828125" style="23" customWidth="1"/>
    <col min="6" max="6" width="28.921875" style="23" bestFit="1" customWidth="1"/>
    <col min="7" max="8" width="14.61328125" style="23" customWidth="1"/>
    <col min="9" max="9" width="17" style="23" customWidth="1"/>
    <col min="10" max="10" width="13.921875" style="23" customWidth="1"/>
    <col min="11" max="16384" width="11.4609375" style="23"/>
  </cols>
  <sheetData>
    <row r="1" spans="1:38" x14ac:dyDescent="0.4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6" thickBot="1" x14ac:dyDescent="0.4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15" x14ac:dyDescent="0.4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15" x14ac:dyDescent="0.4">
      <c r="A5" s="268" t="s">
        <v>231</v>
      </c>
      <c r="B5" s="268"/>
      <c r="C5" s="24">
        <v>6.72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15" x14ac:dyDescent="0.4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">
      <c r="A9" s="30" t="s">
        <v>165</v>
      </c>
      <c r="B9" s="31" t="s">
        <v>12</v>
      </c>
      <c r="C9" s="32">
        <v>0.27</v>
      </c>
      <c r="D9" s="33">
        <f t="shared" ref="D9:D18" si="0">C9*$C$5</f>
        <v>1.8144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">
      <c r="A10" s="30" t="s">
        <v>166</v>
      </c>
      <c r="B10" s="31" t="s">
        <v>9</v>
      </c>
      <c r="C10" s="32">
        <v>0.02</v>
      </c>
      <c r="D10" s="33">
        <f t="shared" si="0"/>
        <v>0.13439999999999999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">
      <c r="A11" s="30" t="s">
        <v>167</v>
      </c>
      <c r="B11" s="31" t="s">
        <v>21</v>
      </c>
      <c r="C11" s="32">
        <v>0.11</v>
      </c>
      <c r="D11" s="33">
        <f t="shared" si="0"/>
        <v>0.73919999999999997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">
      <c r="A12" s="30" t="s">
        <v>168</v>
      </c>
      <c r="B12" s="31" t="s">
        <v>16</v>
      </c>
      <c r="C12" s="32">
        <v>0.05</v>
      </c>
      <c r="D12" s="33">
        <f t="shared" si="0"/>
        <v>0.33600000000000002</v>
      </c>
      <c r="E12" s="34">
        <v>191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">
      <c r="A13" s="30" t="s">
        <v>169</v>
      </c>
      <c r="B13" s="31" t="s">
        <v>52</v>
      </c>
      <c r="C13" s="32">
        <v>0.03</v>
      </c>
      <c r="D13" s="33">
        <f t="shared" si="0"/>
        <v>0.20159999999999997</v>
      </c>
      <c r="E13" s="34">
        <v>183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">
      <c r="A14" s="30" t="s">
        <v>170</v>
      </c>
      <c r="B14" s="31" t="s">
        <v>23</v>
      </c>
      <c r="C14" s="32">
        <v>0.11</v>
      </c>
      <c r="D14" s="33">
        <f t="shared" si="0"/>
        <v>0.73919999999999997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">
      <c r="A15" s="30" t="s">
        <v>171</v>
      </c>
      <c r="B15" s="31" t="s">
        <v>164</v>
      </c>
      <c r="C15" s="32">
        <v>0.34</v>
      </c>
      <c r="D15" s="33">
        <f t="shared" si="0"/>
        <v>2.2848000000000002</v>
      </c>
      <c r="E15" s="34">
        <v>105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">
      <c r="A16" s="30" t="s">
        <v>172</v>
      </c>
      <c r="B16" s="31" t="s">
        <v>5</v>
      </c>
      <c r="C16" s="32">
        <v>7.0000000000000007E-2</v>
      </c>
      <c r="D16" s="33">
        <f t="shared" si="0"/>
        <v>0.47040000000000004</v>
      </c>
      <c r="E16" s="34">
        <v>90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">
      <c r="A19" s="78"/>
      <c r="B19" s="36" t="s">
        <v>175</v>
      </c>
      <c r="C19" s="37">
        <f>SUM(C9:C18)</f>
        <v>1</v>
      </c>
      <c r="D19" s="38">
        <f>SUM(D9:D18)</f>
        <v>6.72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0.6" x14ac:dyDescent="0.5500000000000000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0.6" x14ac:dyDescent="0.4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">
      <c r="A32" s="46" t="s">
        <v>165</v>
      </c>
      <c r="B32" s="47" t="str">
        <f>IF(B9="","",B9)</f>
        <v>Chêne pubescent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75" x14ac:dyDescent="0.4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">
      <c r="A36" s="50">
        <v>42</v>
      </c>
      <c r="B36" s="60">
        <v>171.96</v>
      </c>
      <c r="C36" s="60">
        <v>1</v>
      </c>
      <c r="D36" s="60">
        <v>44.510000000000005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4.0942857142857143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">
      <c r="A37" s="50">
        <v>50</v>
      </c>
      <c r="B37" s="60">
        <v>208.33</v>
      </c>
      <c r="C37" s="60">
        <v>2</v>
      </c>
      <c r="D37" s="60">
        <v>37.54000000000002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10.110000000000001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">
      <c r="A38" s="50">
        <v>58</v>
      </c>
      <c r="B38" s="60">
        <v>253.7</v>
      </c>
      <c r="C38" s="60">
        <v>3</v>
      </c>
      <c r="D38" s="60">
        <v>47.789999999999992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10.36375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">
      <c r="A39" s="50">
        <v>66</v>
      </c>
      <c r="B39" s="60">
        <v>286.77</v>
      </c>
      <c r="C39" s="60">
        <v>4</v>
      </c>
      <c r="D39" s="60">
        <v>53.679999999999978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10.107499999999998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">
      <c r="A40" s="50">
        <v>74</v>
      </c>
      <c r="B40" s="60">
        <v>310.95999999999998</v>
      </c>
      <c r="C40" s="60">
        <v>5</v>
      </c>
      <c r="D40" s="60">
        <v>51.339999999999975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9.733749999999997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">
      <c r="A41" s="50">
        <v>84</v>
      </c>
      <c r="B41" s="60">
        <v>355.09</v>
      </c>
      <c r="C41" s="60">
        <v>6</v>
      </c>
      <c r="D41" s="60">
        <v>66.69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9.546999999999997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">
      <c r="A42" s="50">
        <v>94</v>
      </c>
      <c r="B42" s="60">
        <v>380.13</v>
      </c>
      <c r="C42" s="60">
        <v>7</v>
      </c>
      <c r="D42" s="60">
        <v>67.350000000000023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9.1730000000000018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">
      <c r="A43" s="50">
        <v>104</v>
      </c>
      <c r="B43" s="60">
        <v>402.2</v>
      </c>
      <c r="C43" s="60">
        <v>8</v>
      </c>
      <c r="D43" s="60">
        <v>66.089999999999975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8.9420000000000019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">
      <c r="A44" s="50">
        <v>114</v>
      </c>
      <c r="B44" s="60">
        <v>424.56</v>
      </c>
      <c r="C44" s="60">
        <v>9</v>
      </c>
      <c r="D44" s="60">
        <v>61.860000000000014</v>
      </c>
      <c r="E44" s="51">
        <v>0.35</v>
      </c>
      <c r="F44" s="51">
        <v>0.2</v>
      </c>
      <c r="G44" s="51">
        <v>0.1</v>
      </c>
      <c r="H44" s="51">
        <v>0.35</v>
      </c>
      <c r="I44" s="49">
        <f t="shared" si="1"/>
        <v>8.8449999999999989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">
      <c r="A45" s="50">
        <v>124</v>
      </c>
      <c r="B45" s="60">
        <v>451.86</v>
      </c>
      <c r="C45" s="60">
        <v>10</v>
      </c>
      <c r="D45" s="60">
        <v>57.81</v>
      </c>
      <c r="E45" s="51">
        <v>0.35</v>
      </c>
      <c r="F45" s="51">
        <v>0.2</v>
      </c>
      <c r="G45" s="51">
        <v>0.1</v>
      </c>
      <c r="H45" s="51">
        <v>0.35</v>
      </c>
      <c r="I45" s="49">
        <f t="shared" si="1"/>
        <v>8.9160000000000021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">
      <c r="A46" s="50">
        <v>134</v>
      </c>
      <c r="B46" s="60">
        <v>484.28</v>
      </c>
      <c r="C46" s="60">
        <v>11</v>
      </c>
      <c r="D46" s="60">
        <v>60.779999999999973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9.0229999999999961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">
      <c r="A47" s="50">
        <v>144</v>
      </c>
      <c r="B47" s="60">
        <v>514.94000000000005</v>
      </c>
      <c r="C47" s="60">
        <v>12</v>
      </c>
      <c r="D47" s="60">
        <v>61.800000000000068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9.1440000000000055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">
      <c r="A48" s="50">
        <v>154</v>
      </c>
      <c r="B48" s="60">
        <v>546.49</v>
      </c>
      <c r="C48" s="60">
        <v>13</v>
      </c>
      <c r="D48" s="60">
        <v>61.050000000000011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9.3350000000000026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">
      <c r="A49" s="50">
        <v>164</v>
      </c>
      <c r="B49" s="60">
        <v>580.32000000000005</v>
      </c>
      <c r="C49" s="60">
        <v>14</v>
      </c>
      <c r="D49" s="60">
        <v>66.020000000000095</v>
      </c>
      <c r="E49" s="51">
        <v>0.5</v>
      </c>
      <c r="F49" s="51">
        <v>0.2</v>
      </c>
      <c r="G49" s="51">
        <v>0</v>
      </c>
      <c r="H49" s="51">
        <v>0.3</v>
      </c>
      <c r="I49" s="49">
        <f t="shared" si="1"/>
        <v>9.4880000000000049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">
      <c r="A50" s="50">
        <v>174</v>
      </c>
      <c r="B50" s="50">
        <v>610.52</v>
      </c>
      <c r="C50" s="50">
        <v>15</v>
      </c>
      <c r="D50" s="50">
        <v>240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9.6220000000000034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">
      <c r="A51" s="50">
        <v>177</v>
      </c>
      <c r="B51" s="50">
        <v>388.94</v>
      </c>
      <c r="C51" s="50">
        <v>16</v>
      </c>
      <c r="D51" s="50">
        <v>128.66000000000003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6.140000000000005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">
      <c r="A52" s="50">
        <v>180</v>
      </c>
      <c r="B52" s="50">
        <v>271.56</v>
      </c>
      <c r="C52" s="50">
        <v>17</v>
      </c>
      <c r="D52" s="50">
        <v>86.97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3.76000000000001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">
      <c r="A53" s="50">
        <v>183</v>
      </c>
      <c r="B53" s="50">
        <v>191.47</v>
      </c>
      <c r="C53" s="50">
        <v>18</v>
      </c>
      <c r="D53" s="50">
        <v>191.47</v>
      </c>
      <c r="E53" s="51">
        <v>0.45</v>
      </c>
      <c r="F53" s="51">
        <v>0.05</v>
      </c>
      <c r="G53" s="51">
        <v>0.05</v>
      </c>
      <c r="H53" s="51">
        <v>0.45</v>
      </c>
      <c r="I53" s="49">
        <f t="shared" si="1"/>
        <v>2.2933333333333317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">
      <c r="A58" s="46" t="s">
        <v>166</v>
      </c>
      <c r="B58" s="52" t="str">
        <f>IF(B10="","",B10)</f>
        <v>Chêne chevelu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75" x14ac:dyDescent="0.4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">
      <c r="A62" s="50">
        <v>10</v>
      </c>
      <c r="B62" s="60">
        <v>11.538461538461538</v>
      </c>
      <c r="C62" s="60">
        <v>0</v>
      </c>
      <c r="D62" s="60">
        <v>0</v>
      </c>
      <c r="E62" s="51">
        <v>0</v>
      </c>
      <c r="F62" s="51">
        <v>0.5</v>
      </c>
      <c r="G62" s="51">
        <v>0</v>
      </c>
      <c r="H62" s="51">
        <v>0.5</v>
      </c>
      <c r="I62" s="53">
        <f>IFERROR(B62/A62,"")</f>
        <v>1.1538461538461537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">
      <c r="A63" s="50">
        <v>15</v>
      </c>
      <c r="B63" s="60">
        <v>30.128205128205128</v>
      </c>
      <c r="C63" s="60">
        <v>0</v>
      </c>
      <c r="D63" s="60">
        <v>0</v>
      </c>
      <c r="E63" s="51">
        <v>0</v>
      </c>
      <c r="F63" s="51">
        <v>0.5</v>
      </c>
      <c r="G63" s="51">
        <v>0</v>
      </c>
      <c r="H63" s="51">
        <v>0.5</v>
      </c>
      <c r="I63" s="49">
        <f>IF(A63&lt;&gt;0,(B63-(B62-D62))/(A63-A62),"")</f>
        <v>3.7179487179487181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">
      <c r="A64" s="50">
        <v>20</v>
      </c>
      <c r="B64" s="60">
        <v>55.769230769230759</v>
      </c>
      <c r="C64" s="60">
        <v>1</v>
      </c>
      <c r="D64" s="60">
        <v>18.589743589743588</v>
      </c>
      <c r="E64" s="51">
        <v>0</v>
      </c>
      <c r="F64" s="51">
        <v>0.5</v>
      </c>
      <c r="G64" s="51">
        <v>0</v>
      </c>
      <c r="H64" s="51">
        <v>0.5</v>
      </c>
      <c r="I64" s="49">
        <f>IF(A64&lt;&gt;0,(B64-(B63-D63))/(A64-A63),"")</f>
        <v>5.128205128205126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">
      <c r="A65" s="50">
        <v>25</v>
      </c>
      <c r="B65" s="60">
        <v>62.820512820512818</v>
      </c>
      <c r="C65" s="60">
        <v>2</v>
      </c>
      <c r="D65" s="60">
        <v>12.179487179487179</v>
      </c>
      <c r="E65" s="51">
        <v>0</v>
      </c>
      <c r="F65" s="51">
        <v>0.5</v>
      </c>
      <c r="G65" s="51">
        <v>0</v>
      </c>
      <c r="H65" s="51">
        <v>0.5</v>
      </c>
      <c r="I65" s="49">
        <f>IF(A65&lt;&gt;0,(B65-(B64-D64))/(A65-A64),"")</f>
        <v>5.1282051282051295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">
      <c r="A66" s="50">
        <v>30</v>
      </c>
      <c r="B66" s="60">
        <v>76.282051282051285</v>
      </c>
      <c r="C66" s="60">
        <v>3</v>
      </c>
      <c r="D66" s="60">
        <v>12.820512820512819</v>
      </c>
      <c r="E66" s="51">
        <v>0</v>
      </c>
      <c r="F66" s="51">
        <v>0.5</v>
      </c>
      <c r="G66" s="51">
        <v>0</v>
      </c>
      <c r="H66" s="51">
        <v>0.5</v>
      </c>
      <c r="I66" s="49">
        <f t="shared" ref="I66:I81" si="2">IF(A66&lt;&gt;0,(B66-(B65-D65))/(A66-A65),"")</f>
        <v>5.1282051282051295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">
      <c r="A67" s="50">
        <v>35</v>
      </c>
      <c r="B67" s="60">
        <v>86.538461538461533</v>
      </c>
      <c r="C67" s="60">
        <v>4</v>
      </c>
      <c r="D67" s="60">
        <v>12.820512820512819</v>
      </c>
      <c r="E67" s="51">
        <v>0</v>
      </c>
      <c r="F67" s="51">
        <v>0.5</v>
      </c>
      <c r="G67" s="51">
        <v>0</v>
      </c>
      <c r="H67" s="51">
        <v>0.5</v>
      </c>
      <c r="I67" s="49">
        <f t="shared" si="2"/>
        <v>4.6153846153846132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">
      <c r="A68" s="50">
        <v>40</v>
      </c>
      <c r="B68" s="60">
        <v>96.153846153846146</v>
      </c>
      <c r="C68" s="60">
        <v>5</v>
      </c>
      <c r="D68" s="60">
        <v>12.820512820512819</v>
      </c>
      <c r="E68" s="51">
        <v>0</v>
      </c>
      <c r="F68" s="51">
        <v>0.5</v>
      </c>
      <c r="G68" s="51">
        <v>0</v>
      </c>
      <c r="H68" s="51">
        <v>0.5</v>
      </c>
      <c r="I68" s="49">
        <f t="shared" si="2"/>
        <v>4.4871794871794863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">
      <c r="A69" s="50">
        <v>45</v>
      </c>
      <c r="B69" s="50">
        <v>103.84615384615384</v>
      </c>
      <c r="C69" s="50">
        <v>6</v>
      </c>
      <c r="D69" s="50">
        <v>12.179487179487179</v>
      </c>
      <c r="E69" s="51">
        <v>0</v>
      </c>
      <c r="F69" s="51">
        <v>0.5</v>
      </c>
      <c r="G69" s="51">
        <v>0</v>
      </c>
      <c r="H69" s="51">
        <v>0.5</v>
      </c>
      <c r="I69" s="49">
        <f t="shared" si="2"/>
        <v>4.1025641025641022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">
      <c r="A70" s="50">
        <v>50</v>
      </c>
      <c r="B70" s="50">
        <v>110.89743589743588</v>
      </c>
      <c r="C70" s="50">
        <v>7</v>
      </c>
      <c r="D70" s="50">
        <v>11.538461538461538</v>
      </c>
      <c r="E70" s="51">
        <v>0</v>
      </c>
      <c r="F70" s="51">
        <v>0.5</v>
      </c>
      <c r="G70" s="51">
        <v>0</v>
      </c>
      <c r="H70" s="51">
        <v>0.5</v>
      </c>
      <c r="I70" s="49">
        <f t="shared" si="2"/>
        <v>3.8461538461538454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">
      <c r="A71" s="50">
        <v>55</v>
      </c>
      <c r="B71" s="50">
        <v>116.02564102564102</v>
      </c>
      <c r="C71" s="50">
        <v>8</v>
      </c>
      <c r="D71" s="50">
        <v>10.897435897435898</v>
      </c>
      <c r="E71" s="51">
        <v>0</v>
      </c>
      <c r="F71" s="51">
        <v>0.5</v>
      </c>
      <c r="G71" s="51">
        <v>0</v>
      </c>
      <c r="H71" s="51">
        <v>0.5</v>
      </c>
      <c r="I71" s="49">
        <f t="shared" si="2"/>
        <v>3.3333333333333344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">
      <c r="A72" s="50">
        <v>60</v>
      </c>
      <c r="B72" s="50">
        <v>121.15384615384616</v>
      </c>
      <c r="C72" s="50">
        <v>9</v>
      </c>
      <c r="D72" s="50">
        <v>10.256410256410255</v>
      </c>
      <c r="E72" s="51">
        <v>0</v>
      </c>
      <c r="F72" s="51">
        <v>0.5</v>
      </c>
      <c r="G72" s="51">
        <v>0</v>
      </c>
      <c r="H72" s="51">
        <v>0.5</v>
      </c>
      <c r="I72" s="49">
        <f t="shared" si="2"/>
        <v>3.2051282051282071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">
      <c r="A73" s="50">
        <v>65</v>
      </c>
      <c r="B73" s="50">
        <v>125</v>
      </c>
      <c r="C73" s="50">
        <v>10</v>
      </c>
      <c r="D73" s="50">
        <v>9.615384615384615</v>
      </c>
      <c r="E73" s="51">
        <v>0.1</v>
      </c>
      <c r="F73" s="51">
        <v>0.5</v>
      </c>
      <c r="G73" s="51">
        <v>0</v>
      </c>
      <c r="H73" s="51">
        <v>0.4</v>
      </c>
      <c r="I73" s="49">
        <f t="shared" si="2"/>
        <v>2.8205128205128176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">
      <c r="A74" s="50">
        <v>70</v>
      </c>
      <c r="B74" s="50">
        <v>128.84615384615384</v>
      </c>
      <c r="C74" s="50">
        <v>11</v>
      </c>
      <c r="D74" s="50">
        <v>8.9743589743589745</v>
      </c>
      <c r="E74" s="51">
        <v>0.1</v>
      </c>
      <c r="F74" s="51">
        <v>0.5</v>
      </c>
      <c r="G74" s="51">
        <v>0</v>
      </c>
      <c r="H74" s="51">
        <v>0.4</v>
      </c>
      <c r="I74" s="49">
        <f t="shared" si="2"/>
        <v>2.6923076923076907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">
      <c r="A75" s="50">
        <v>75</v>
      </c>
      <c r="B75" s="50">
        <v>130.76923076923075</v>
      </c>
      <c r="C75" s="50">
        <v>12</v>
      </c>
      <c r="D75" s="50">
        <v>7.6923076923076916</v>
      </c>
      <c r="E75" s="51">
        <v>0.1</v>
      </c>
      <c r="F75" s="51">
        <v>0.5</v>
      </c>
      <c r="G75" s="51">
        <v>0</v>
      </c>
      <c r="H75" s="51">
        <v>0.4</v>
      </c>
      <c r="I75" s="49">
        <f t="shared" si="2"/>
        <v>2.1794871794871766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">
      <c r="A76" s="50">
        <v>80</v>
      </c>
      <c r="B76" s="50">
        <v>133.33333333333334</v>
      </c>
      <c r="C76" s="50">
        <v>13</v>
      </c>
      <c r="D76" s="50">
        <v>7.0512820512820511</v>
      </c>
      <c r="E76" s="51">
        <v>0.1</v>
      </c>
      <c r="F76" s="51">
        <v>0.5</v>
      </c>
      <c r="G76" s="51">
        <v>0</v>
      </c>
      <c r="H76" s="51">
        <v>0.4</v>
      </c>
      <c r="I76" s="49">
        <f t="shared" si="2"/>
        <v>2.0512820512820582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">
      <c r="A77" s="50">
        <v>85</v>
      </c>
      <c r="B77" s="50">
        <v>135.25641025641025</v>
      </c>
      <c r="C77" s="50">
        <v>14</v>
      </c>
      <c r="D77" s="50">
        <v>6.4102564102564097</v>
      </c>
      <c r="E77" s="51">
        <v>0.1</v>
      </c>
      <c r="F77" s="51">
        <v>0.5</v>
      </c>
      <c r="G77" s="51">
        <v>0</v>
      </c>
      <c r="H77" s="51">
        <v>0.4</v>
      </c>
      <c r="I77" s="49">
        <f t="shared" si="2"/>
        <v>1.7948717948717898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">
      <c r="A78" s="50">
        <v>90</v>
      </c>
      <c r="B78" s="50">
        <v>137.82051282051282</v>
      </c>
      <c r="C78" s="50">
        <v>15</v>
      </c>
      <c r="D78" s="50">
        <v>6.4102564102564097</v>
      </c>
      <c r="E78" s="51">
        <v>0.1</v>
      </c>
      <c r="F78" s="51">
        <v>0.5</v>
      </c>
      <c r="G78" s="51">
        <v>0</v>
      </c>
      <c r="H78" s="51">
        <v>0.4</v>
      </c>
      <c r="I78" s="49">
        <f t="shared" si="2"/>
        <v>1.7948717948717956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">
      <c r="A79" s="50">
        <v>95</v>
      </c>
      <c r="B79" s="50">
        <v>140.38461538461539</v>
      </c>
      <c r="C79" s="50">
        <v>16</v>
      </c>
      <c r="D79" s="50">
        <v>7.0512820512820511</v>
      </c>
      <c r="E79" s="51">
        <v>0.1</v>
      </c>
      <c r="F79" s="51">
        <v>0.5</v>
      </c>
      <c r="G79" s="51">
        <v>0</v>
      </c>
      <c r="H79" s="51">
        <v>0.4</v>
      </c>
      <c r="I79" s="49">
        <f t="shared" si="2"/>
        <v>1.7948717948717956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">
      <c r="A80" s="50">
        <v>100</v>
      </c>
      <c r="B80" s="50">
        <v>142.94871794871796</v>
      </c>
      <c r="C80" s="50">
        <v>17</v>
      </c>
      <c r="D80" s="50">
        <v>142.94871794871796</v>
      </c>
      <c r="E80" s="51">
        <v>0.1</v>
      </c>
      <c r="F80" s="51">
        <v>0.5</v>
      </c>
      <c r="G80" s="51">
        <v>0</v>
      </c>
      <c r="H80" s="51">
        <v>0.4</v>
      </c>
      <c r="I80" s="49">
        <f t="shared" si="2"/>
        <v>1.9230769230769227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">
      <c r="A84" s="46" t="s">
        <v>167</v>
      </c>
      <c r="B84" s="52" t="str">
        <f>IF(B11="","",B11)</f>
        <v>Erable champêtre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75" x14ac:dyDescent="0.4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">
      <c r="A88" s="50">
        <v>15</v>
      </c>
      <c r="B88" s="60">
        <v>37</v>
      </c>
      <c r="C88" s="60">
        <v>1</v>
      </c>
      <c r="D88" s="60">
        <v>15</v>
      </c>
      <c r="E88" s="51">
        <v>0</v>
      </c>
      <c r="F88" s="51">
        <v>0.25</v>
      </c>
      <c r="G88" s="51">
        <v>0.25</v>
      </c>
      <c r="H88" s="87">
        <v>0.5</v>
      </c>
      <c r="I88" s="53">
        <f>IFERROR(B88/A88,"")</f>
        <v>2.4666666666666668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">
      <c r="A89" s="50">
        <v>20</v>
      </c>
      <c r="B89" s="60">
        <v>80</v>
      </c>
      <c r="C89" s="60">
        <v>2</v>
      </c>
      <c r="D89" s="60">
        <v>28</v>
      </c>
      <c r="E89" s="51">
        <v>0</v>
      </c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11.6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">
      <c r="A90" s="50">
        <v>25</v>
      </c>
      <c r="B90" s="60">
        <v>115</v>
      </c>
      <c r="C90" s="60">
        <v>3</v>
      </c>
      <c r="D90" s="60">
        <v>28</v>
      </c>
      <c r="E90" s="87">
        <v>0</v>
      </c>
      <c r="F90" s="87">
        <v>0.25</v>
      </c>
      <c r="G90" s="87">
        <v>0.25</v>
      </c>
      <c r="H90" s="87">
        <v>0.5</v>
      </c>
      <c r="I90" s="53">
        <f t="shared" si="3"/>
        <v>12.6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">
      <c r="A91" s="50">
        <v>30</v>
      </c>
      <c r="B91" s="60">
        <v>146</v>
      </c>
      <c r="C91" s="60">
        <v>4</v>
      </c>
      <c r="D91" s="60">
        <v>28</v>
      </c>
      <c r="E91" s="87">
        <v>0</v>
      </c>
      <c r="F91" s="87">
        <v>0.25</v>
      </c>
      <c r="G91" s="87">
        <v>0.25</v>
      </c>
      <c r="H91" s="87">
        <v>0.5</v>
      </c>
      <c r="I91" s="53">
        <f t="shared" si="3"/>
        <v>11.8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">
      <c r="A92" s="50">
        <v>35</v>
      </c>
      <c r="B92" s="60">
        <v>172</v>
      </c>
      <c r="C92" s="60">
        <v>5</v>
      </c>
      <c r="D92" s="60">
        <v>28</v>
      </c>
      <c r="E92" s="87">
        <v>0.25</v>
      </c>
      <c r="F92" s="87">
        <v>0.25</v>
      </c>
      <c r="G92" s="87">
        <v>0.25</v>
      </c>
      <c r="H92" s="87">
        <v>0.25</v>
      </c>
      <c r="I92" s="53">
        <f t="shared" si="3"/>
        <v>10.8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">
      <c r="A93" s="50">
        <v>40</v>
      </c>
      <c r="B93" s="60">
        <v>192</v>
      </c>
      <c r="C93" s="60">
        <v>6</v>
      </c>
      <c r="D93" s="60">
        <v>28</v>
      </c>
      <c r="E93" s="87">
        <v>0.25</v>
      </c>
      <c r="F93" s="87">
        <v>0.25</v>
      </c>
      <c r="G93" s="87">
        <v>0.25</v>
      </c>
      <c r="H93" s="87">
        <v>0.25</v>
      </c>
      <c r="I93" s="53">
        <f t="shared" si="3"/>
        <v>9.6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">
      <c r="A94" s="50">
        <v>45</v>
      </c>
      <c r="B94" s="60">
        <v>205</v>
      </c>
      <c r="C94" s="60">
        <v>7</v>
      </c>
      <c r="D94" s="60">
        <v>22</v>
      </c>
      <c r="E94" s="87">
        <v>0.25</v>
      </c>
      <c r="F94" s="87">
        <v>0.25</v>
      </c>
      <c r="G94" s="87">
        <v>0.25</v>
      </c>
      <c r="H94" s="87">
        <v>0.25</v>
      </c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">
      <c r="A95" s="60">
        <v>50</v>
      </c>
      <c r="B95" s="60">
        <v>219</v>
      </c>
      <c r="C95" s="60">
        <v>8</v>
      </c>
      <c r="D95" s="60">
        <v>17</v>
      </c>
      <c r="E95" s="87">
        <v>0.25</v>
      </c>
      <c r="F95" s="87">
        <v>0.25</v>
      </c>
      <c r="G95" s="87">
        <v>0.25</v>
      </c>
      <c r="H95" s="87">
        <v>0.25</v>
      </c>
      <c r="I95" s="53">
        <f t="shared" si="3"/>
        <v>7.2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">
      <c r="A96" s="60">
        <v>55</v>
      </c>
      <c r="B96" s="60">
        <v>232</v>
      </c>
      <c r="C96" s="60">
        <v>9</v>
      </c>
      <c r="D96" s="60">
        <v>13</v>
      </c>
      <c r="E96" s="87">
        <v>0.25</v>
      </c>
      <c r="F96" s="87">
        <v>0.25</v>
      </c>
      <c r="G96" s="87">
        <v>0.25</v>
      </c>
      <c r="H96" s="87">
        <v>0.25</v>
      </c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">
      <c r="A97" s="60">
        <v>60</v>
      </c>
      <c r="B97" s="60">
        <v>245</v>
      </c>
      <c r="C97" s="60">
        <v>10</v>
      </c>
      <c r="D97" s="60">
        <v>12</v>
      </c>
      <c r="E97" s="87">
        <v>0.25</v>
      </c>
      <c r="F97" s="87">
        <v>0.25</v>
      </c>
      <c r="G97" s="87">
        <v>0.25</v>
      </c>
      <c r="H97" s="87">
        <v>0.25</v>
      </c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">
      <c r="A98" s="60">
        <v>65</v>
      </c>
      <c r="B98" s="60">
        <v>255</v>
      </c>
      <c r="C98" s="60">
        <v>11</v>
      </c>
      <c r="D98" s="60">
        <v>11</v>
      </c>
      <c r="E98" s="87">
        <v>0.25</v>
      </c>
      <c r="F98" s="87">
        <v>0.25</v>
      </c>
      <c r="G98" s="87">
        <v>0.25</v>
      </c>
      <c r="H98" s="87">
        <v>0.25</v>
      </c>
      <c r="I98" s="53">
        <f t="shared" si="3"/>
        <v>4.4000000000000004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">
      <c r="A99" s="60">
        <v>70</v>
      </c>
      <c r="B99" s="60">
        <v>263</v>
      </c>
      <c r="C99" s="60">
        <v>12</v>
      </c>
      <c r="D99" s="60">
        <v>10</v>
      </c>
      <c r="E99" s="87">
        <v>0.25</v>
      </c>
      <c r="F99" s="87">
        <v>0.25</v>
      </c>
      <c r="G99" s="87">
        <v>0.25</v>
      </c>
      <c r="H99" s="87">
        <v>0.25</v>
      </c>
      <c r="I99" s="53">
        <f t="shared" si="3"/>
        <v>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">
      <c r="A100" s="60">
        <v>75</v>
      </c>
      <c r="B100" s="60">
        <v>270</v>
      </c>
      <c r="C100" s="60">
        <v>13</v>
      </c>
      <c r="D100" s="60">
        <v>9</v>
      </c>
      <c r="E100" s="65">
        <v>0.25</v>
      </c>
      <c r="F100" s="65">
        <v>0.25</v>
      </c>
      <c r="G100" s="65">
        <v>0.25</v>
      </c>
      <c r="H100" s="65">
        <v>0.25</v>
      </c>
      <c r="I100" s="53">
        <f t="shared" si="3"/>
        <v>3.4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">
      <c r="A101" s="60">
        <v>80</v>
      </c>
      <c r="B101" s="60">
        <v>275</v>
      </c>
      <c r="C101" s="60">
        <v>14</v>
      </c>
      <c r="D101" s="60">
        <v>275</v>
      </c>
      <c r="E101" s="65">
        <v>0.25</v>
      </c>
      <c r="F101" s="65">
        <v>0.25</v>
      </c>
      <c r="G101" s="65">
        <v>0.25</v>
      </c>
      <c r="H101" s="65">
        <v>0.25</v>
      </c>
      <c r="I101" s="53">
        <f t="shared" si="3"/>
        <v>2.8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">
      <c r="A110" s="46" t="s">
        <v>168</v>
      </c>
      <c r="B110" s="52" t="str">
        <f>IF(B12="","",B12)</f>
        <v>Chêne vert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75" x14ac:dyDescent="0.4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">
      <c r="A114" s="50">
        <v>60</v>
      </c>
      <c r="B114" s="60">
        <v>201.62</v>
      </c>
      <c r="C114" s="50">
        <v>1</v>
      </c>
      <c r="D114" s="60">
        <v>72.87</v>
      </c>
      <c r="E114" s="51">
        <v>0</v>
      </c>
      <c r="F114" s="51">
        <v>0.8</v>
      </c>
      <c r="G114" s="51">
        <v>0.2</v>
      </c>
      <c r="H114" s="51">
        <v>0</v>
      </c>
      <c r="I114" s="53">
        <f>IFERROR(B114/A114,"")</f>
        <v>3.3603333333333336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">
      <c r="A115" s="50">
        <v>69</v>
      </c>
      <c r="B115" s="60">
        <v>190.79</v>
      </c>
      <c r="C115" s="50">
        <v>2</v>
      </c>
      <c r="D115" s="60">
        <v>42.22</v>
      </c>
      <c r="E115" s="51">
        <v>0</v>
      </c>
      <c r="F115" s="51">
        <v>0.8</v>
      </c>
      <c r="G115" s="51">
        <v>0.2</v>
      </c>
      <c r="H115" s="51">
        <v>0</v>
      </c>
      <c r="I115" s="53">
        <f t="shared" ref="I115:I133" si="4">IF(A115&lt;&gt;0,(B115-(B114-D114))/(A115-A114),"")</f>
        <v>6.8933333333333326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">
      <c r="A116" s="50">
        <v>77</v>
      </c>
      <c r="B116" s="60">
        <v>202.52</v>
      </c>
      <c r="C116" s="50">
        <v>3</v>
      </c>
      <c r="D116" s="60">
        <v>33.950000000000017</v>
      </c>
      <c r="E116" s="51">
        <v>0</v>
      </c>
      <c r="F116" s="51">
        <v>0.8</v>
      </c>
      <c r="G116" s="51">
        <v>0.2</v>
      </c>
      <c r="H116" s="51">
        <v>0</v>
      </c>
      <c r="I116" s="53">
        <f t="shared" si="4"/>
        <v>6.7437500000000021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">
      <c r="A117" s="50">
        <v>86</v>
      </c>
      <c r="B117" s="60">
        <v>229.27</v>
      </c>
      <c r="C117" s="50">
        <v>4</v>
      </c>
      <c r="D117" s="60">
        <v>37.54000000000002</v>
      </c>
      <c r="E117" s="51">
        <v>0.35</v>
      </c>
      <c r="F117" s="51">
        <v>0.2</v>
      </c>
      <c r="G117" s="51">
        <v>0.1</v>
      </c>
      <c r="H117" s="51">
        <v>0.35</v>
      </c>
      <c r="I117" s="53">
        <f t="shared" si="4"/>
        <v>6.7444444444444462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">
      <c r="A118" s="50">
        <v>95</v>
      </c>
      <c r="B118" s="60">
        <v>252.57</v>
      </c>
      <c r="C118" s="50">
        <v>5</v>
      </c>
      <c r="D118" s="60">
        <v>42.199999999999989</v>
      </c>
      <c r="E118" s="51">
        <v>0.35</v>
      </c>
      <c r="F118" s="51">
        <v>0.2</v>
      </c>
      <c r="G118" s="51">
        <v>0.1</v>
      </c>
      <c r="H118" s="51">
        <v>0.35</v>
      </c>
      <c r="I118" s="53">
        <f t="shared" si="4"/>
        <v>6.7600000000000007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">
      <c r="A119" s="50">
        <v>104</v>
      </c>
      <c r="B119" s="60">
        <v>271.37</v>
      </c>
      <c r="C119" s="50">
        <v>6</v>
      </c>
      <c r="D119" s="60">
        <v>39.400000000000006</v>
      </c>
      <c r="E119" s="51">
        <v>0.35</v>
      </c>
      <c r="F119" s="51">
        <v>0.2</v>
      </c>
      <c r="G119" s="51">
        <v>0.1</v>
      </c>
      <c r="H119" s="51">
        <v>0.35</v>
      </c>
      <c r="I119" s="53">
        <f t="shared" si="4"/>
        <v>6.7777777777777777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">
      <c r="A120" s="60">
        <v>113</v>
      </c>
      <c r="B120" s="60">
        <v>293.89999999999998</v>
      </c>
      <c r="C120" s="60">
        <v>7</v>
      </c>
      <c r="D120" s="60">
        <v>41.639999999999986</v>
      </c>
      <c r="E120" s="87">
        <v>0.35</v>
      </c>
      <c r="F120" s="87">
        <v>0.2</v>
      </c>
      <c r="G120" s="87">
        <v>0.1</v>
      </c>
      <c r="H120" s="87">
        <v>0.35</v>
      </c>
      <c r="I120" s="53">
        <f t="shared" si="4"/>
        <v>6.8811111111111085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">
      <c r="A121" s="60">
        <v>122</v>
      </c>
      <c r="B121" s="60">
        <v>315.27</v>
      </c>
      <c r="C121" s="60">
        <v>8</v>
      </c>
      <c r="D121" s="60">
        <v>45.829999999999984</v>
      </c>
      <c r="E121" s="87">
        <v>0.35</v>
      </c>
      <c r="F121" s="87">
        <v>0.2</v>
      </c>
      <c r="G121" s="87">
        <v>0.1</v>
      </c>
      <c r="H121" s="87">
        <v>0.35</v>
      </c>
      <c r="I121" s="53">
        <f t="shared" si="4"/>
        <v>7.0011111111111104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">
      <c r="A122" s="60">
        <v>132</v>
      </c>
      <c r="B122" s="60">
        <v>340.57</v>
      </c>
      <c r="C122" s="60">
        <v>9</v>
      </c>
      <c r="D122" s="60">
        <v>48.699999999999989</v>
      </c>
      <c r="E122" s="87">
        <v>0.35</v>
      </c>
      <c r="F122" s="87">
        <v>0.2</v>
      </c>
      <c r="G122" s="87">
        <v>0.1</v>
      </c>
      <c r="H122" s="87">
        <v>0.35</v>
      </c>
      <c r="I122" s="53">
        <f t="shared" si="4"/>
        <v>7.1129999999999995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">
      <c r="A123" s="60">
        <v>144</v>
      </c>
      <c r="B123" s="60">
        <v>379.92</v>
      </c>
      <c r="C123" s="60">
        <v>10</v>
      </c>
      <c r="D123" s="60">
        <v>60.949999999999989</v>
      </c>
      <c r="E123" s="87">
        <v>0.35</v>
      </c>
      <c r="F123" s="87">
        <v>0.2</v>
      </c>
      <c r="G123" s="87">
        <v>0.1</v>
      </c>
      <c r="H123" s="87">
        <v>0.35</v>
      </c>
      <c r="I123" s="53">
        <f t="shared" si="4"/>
        <v>7.3375000000000012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">
      <c r="A124" s="60">
        <v>156</v>
      </c>
      <c r="B124" s="60">
        <v>409.2</v>
      </c>
      <c r="C124" s="60">
        <v>11</v>
      </c>
      <c r="D124" s="60">
        <v>65.69</v>
      </c>
      <c r="E124" s="87">
        <v>0.5</v>
      </c>
      <c r="F124" s="87">
        <v>0.2</v>
      </c>
      <c r="G124" s="87">
        <v>0</v>
      </c>
      <c r="H124" s="87">
        <v>0.3</v>
      </c>
      <c r="I124" s="53">
        <f t="shared" si="4"/>
        <v>7.5191666666666634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">
      <c r="A125" s="60">
        <v>168</v>
      </c>
      <c r="B125" s="60">
        <v>435.65</v>
      </c>
      <c r="C125" s="60">
        <v>12</v>
      </c>
      <c r="D125" s="60">
        <v>71.37</v>
      </c>
      <c r="E125" s="87">
        <v>0.5</v>
      </c>
      <c r="F125" s="87">
        <v>0.2</v>
      </c>
      <c r="G125" s="87">
        <v>0</v>
      </c>
      <c r="H125" s="87">
        <v>0.3</v>
      </c>
      <c r="I125" s="53">
        <f t="shared" si="4"/>
        <v>7.6783333333333319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">
      <c r="A126" s="60">
        <v>180</v>
      </c>
      <c r="B126" s="60">
        <v>456.54</v>
      </c>
      <c r="C126" s="60">
        <v>13</v>
      </c>
      <c r="D126" s="60">
        <v>175.59000000000003</v>
      </c>
      <c r="E126" s="65">
        <v>0.5</v>
      </c>
      <c r="F126" s="65">
        <v>0.2</v>
      </c>
      <c r="G126" s="65">
        <v>0</v>
      </c>
      <c r="H126" s="65">
        <v>0.3</v>
      </c>
      <c r="I126" s="53">
        <f t="shared" si="4"/>
        <v>7.688333333333337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">
      <c r="A127" s="60">
        <v>184</v>
      </c>
      <c r="B127" s="60">
        <v>300.14</v>
      </c>
      <c r="C127" s="60">
        <v>14</v>
      </c>
      <c r="D127" s="60">
        <v>101.19999999999999</v>
      </c>
      <c r="E127" s="65">
        <v>0.5</v>
      </c>
      <c r="F127" s="65">
        <v>0.2</v>
      </c>
      <c r="G127" s="65">
        <v>0</v>
      </c>
      <c r="H127" s="65">
        <v>0.3</v>
      </c>
      <c r="I127" s="53">
        <f t="shared" si="4"/>
        <v>4.7974999999999994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">
      <c r="A128" s="50">
        <v>188</v>
      </c>
      <c r="B128" s="50">
        <v>211.27</v>
      </c>
      <c r="C128" s="50">
        <v>15</v>
      </c>
      <c r="D128" s="50">
        <v>72.180000000000007</v>
      </c>
      <c r="E128" s="54">
        <v>0.5</v>
      </c>
      <c r="F128" s="54">
        <v>0.2</v>
      </c>
      <c r="G128" s="54">
        <v>0</v>
      </c>
      <c r="H128" s="54">
        <v>0.3</v>
      </c>
      <c r="I128" s="53">
        <f t="shared" si="4"/>
        <v>3.0825000000000031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">
      <c r="A129" s="50">
        <v>191</v>
      </c>
      <c r="B129" s="50">
        <v>145.01</v>
      </c>
      <c r="C129" s="50">
        <v>16</v>
      </c>
      <c r="D129" s="50">
        <v>145.01</v>
      </c>
      <c r="E129" s="54">
        <v>0.45</v>
      </c>
      <c r="F129" s="54">
        <v>0.05</v>
      </c>
      <c r="G129" s="54">
        <v>0.05</v>
      </c>
      <c r="H129" s="54">
        <v>0.45</v>
      </c>
      <c r="I129" s="53">
        <f t="shared" si="4"/>
        <v>1.9733333333333292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">
      <c r="A136" s="46" t="s">
        <v>169</v>
      </c>
      <c r="B136" s="52" t="str">
        <f>IF(B13="","",B13)</f>
        <v>Cormier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75" x14ac:dyDescent="0.4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">
      <c r="A140" s="50">
        <v>42</v>
      </c>
      <c r="B140" s="60">
        <v>171.96</v>
      </c>
      <c r="C140" s="50">
        <v>1</v>
      </c>
      <c r="D140" s="60">
        <v>44.510000000000005</v>
      </c>
      <c r="E140" s="51">
        <v>0</v>
      </c>
      <c r="F140" s="51">
        <v>0.8</v>
      </c>
      <c r="G140" s="51">
        <v>0.2</v>
      </c>
      <c r="H140" s="51">
        <v>0</v>
      </c>
      <c r="I140" s="57">
        <f>IFERROR(B140/A140,"")</f>
        <v>4.0942857142857143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">
      <c r="A141" s="50">
        <v>50</v>
      </c>
      <c r="B141" s="60">
        <v>208.33</v>
      </c>
      <c r="C141" s="50">
        <v>2</v>
      </c>
      <c r="D141" s="60">
        <v>37.54000000000002</v>
      </c>
      <c r="E141" s="51">
        <v>0</v>
      </c>
      <c r="F141" s="51">
        <v>0.8</v>
      </c>
      <c r="G141" s="51">
        <v>0.2</v>
      </c>
      <c r="H141" s="51">
        <v>0</v>
      </c>
      <c r="I141" s="57">
        <f t="shared" ref="I141:I159" si="5">IF(A141&lt;&gt;0,(B141-(B140-D140))/(A141-A140),"")</f>
        <v>10.110000000000001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">
      <c r="A142" s="50">
        <v>58</v>
      </c>
      <c r="B142" s="60">
        <v>253.7</v>
      </c>
      <c r="C142" s="50">
        <v>3</v>
      </c>
      <c r="D142" s="60">
        <v>47.789999999999992</v>
      </c>
      <c r="E142" s="51">
        <v>0</v>
      </c>
      <c r="F142" s="51">
        <v>0.8</v>
      </c>
      <c r="G142" s="51">
        <v>0.2</v>
      </c>
      <c r="H142" s="51">
        <v>0</v>
      </c>
      <c r="I142" s="57">
        <f t="shared" si="5"/>
        <v>10.36375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">
      <c r="A143" s="50">
        <v>66</v>
      </c>
      <c r="B143" s="60">
        <v>286.77</v>
      </c>
      <c r="C143" s="50">
        <v>4</v>
      </c>
      <c r="D143" s="60">
        <v>53.679999999999978</v>
      </c>
      <c r="E143" s="51">
        <v>0.35</v>
      </c>
      <c r="F143" s="51">
        <v>0.2</v>
      </c>
      <c r="G143" s="51">
        <v>0.1</v>
      </c>
      <c r="H143" s="51">
        <v>0.35</v>
      </c>
      <c r="I143" s="57">
        <f t="shared" si="5"/>
        <v>10.107499999999998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">
      <c r="A144" s="50">
        <v>74</v>
      </c>
      <c r="B144" s="60">
        <v>310.95999999999998</v>
      </c>
      <c r="C144" s="50">
        <v>5</v>
      </c>
      <c r="D144" s="60">
        <v>51.339999999999975</v>
      </c>
      <c r="E144" s="51">
        <v>0.35</v>
      </c>
      <c r="F144" s="51">
        <v>0.2</v>
      </c>
      <c r="G144" s="51">
        <v>0.1</v>
      </c>
      <c r="H144" s="51">
        <v>0.35</v>
      </c>
      <c r="I144" s="57">
        <f t="shared" si="5"/>
        <v>9.733749999999997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">
      <c r="A145" s="50">
        <v>84</v>
      </c>
      <c r="B145" s="60">
        <v>355.09</v>
      </c>
      <c r="C145" s="50">
        <v>6</v>
      </c>
      <c r="D145" s="60">
        <v>66.69</v>
      </c>
      <c r="E145" s="51">
        <v>0.35</v>
      </c>
      <c r="F145" s="51">
        <v>0.2</v>
      </c>
      <c r="G145" s="51">
        <v>0.1</v>
      </c>
      <c r="H145" s="51">
        <v>0.35</v>
      </c>
      <c r="I145" s="57">
        <f t="shared" si="5"/>
        <v>9.546999999999997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">
      <c r="A146" s="50">
        <v>94</v>
      </c>
      <c r="B146" s="60">
        <v>380.13</v>
      </c>
      <c r="C146" s="50">
        <v>7</v>
      </c>
      <c r="D146" s="60">
        <v>67.350000000000023</v>
      </c>
      <c r="E146" s="51">
        <v>0.35</v>
      </c>
      <c r="F146" s="51">
        <v>0.2</v>
      </c>
      <c r="G146" s="51">
        <v>0.1</v>
      </c>
      <c r="H146" s="51">
        <v>0.35</v>
      </c>
      <c r="I146" s="57">
        <f t="shared" si="5"/>
        <v>9.1730000000000018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">
      <c r="A147" s="50">
        <v>104</v>
      </c>
      <c r="B147" s="60">
        <v>402.2</v>
      </c>
      <c r="C147" s="50">
        <v>8</v>
      </c>
      <c r="D147" s="60">
        <v>66.089999999999975</v>
      </c>
      <c r="E147" s="51">
        <v>0.35</v>
      </c>
      <c r="F147" s="51">
        <v>0.2</v>
      </c>
      <c r="G147" s="51">
        <v>0.1</v>
      </c>
      <c r="H147" s="51">
        <v>0.35</v>
      </c>
      <c r="I147" s="57">
        <f>IF(A147&lt;&gt;0,(B147-(B146-D146))/(A147-A146),"")</f>
        <v>8.9420000000000019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">
      <c r="A148" s="50">
        <v>114</v>
      </c>
      <c r="B148" s="60">
        <v>424.56</v>
      </c>
      <c r="C148" s="50">
        <v>9</v>
      </c>
      <c r="D148" s="60">
        <v>61.860000000000014</v>
      </c>
      <c r="E148" s="51">
        <v>0.35</v>
      </c>
      <c r="F148" s="51">
        <v>0.2</v>
      </c>
      <c r="G148" s="51">
        <v>0.1</v>
      </c>
      <c r="H148" s="51">
        <v>0.35</v>
      </c>
      <c r="I148" s="57">
        <f t="shared" si="5"/>
        <v>8.8449999999999989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">
      <c r="A149" s="50">
        <v>124</v>
      </c>
      <c r="B149" s="60">
        <v>451.86</v>
      </c>
      <c r="C149" s="50">
        <v>10</v>
      </c>
      <c r="D149" s="60">
        <v>57.81</v>
      </c>
      <c r="E149" s="51">
        <v>0.35</v>
      </c>
      <c r="F149" s="51">
        <v>0.2</v>
      </c>
      <c r="G149" s="51">
        <v>0.1</v>
      </c>
      <c r="H149" s="51">
        <v>0.35</v>
      </c>
      <c r="I149" s="57">
        <f t="shared" si="5"/>
        <v>8.9160000000000021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">
      <c r="A150" s="50">
        <v>134</v>
      </c>
      <c r="B150" s="60">
        <v>484.28</v>
      </c>
      <c r="C150" s="50">
        <v>11</v>
      </c>
      <c r="D150" s="60">
        <v>60.779999999999973</v>
      </c>
      <c r="E150" s="51">
        <v>0.5</v>
      </c>
      <c r="F150" s="51">
        <v>0.2</v>
      </c>
      <c r="G150" s="51">
        <v>0</v>
      </c>
      <c r="H150" s="51">
        <v>0.3</v>
      </c>
      <c r="I150" s="57">
        <f t="shared" si="5"/>
        <v>9.0229999999999961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">
      <c r="A151" s="50">
        <v>144</v>
      </c>
      <c r="B151" s="60">
        <v>514.94000000000005</v>
      </c>
      <c r="C151" s="50">
        <v>12</v>
      </c>
      <c r="D151" s="60">
        <v>61.800000000000068</v>
      </c>
      <c r="E151" s="51">
        <v>0.5</v>
      </c>
      <c r="F151" s="51">
        <v>0.2</v>
      </c>
      <c r="G151" s="51">
        <v>0</v>
      </c>
      <c r="H151" s="51">
        <v>0.3</v>
      </c>
      <c r="I151" s="57">
        <f t="shared" si="5"/>
        <v>9.1440000000000055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">
      <c r="A152" s="50">
        <v>154</v>
      </c>
      <c r="B152" s="60">
        <v>546.49</v>
      </c>
      <c r="C152" s="50">
        <v>13</v>
      </c>
      <c r="D152" s="60">
        <v>61.050000000000011</v>
      </c>
      <c r="E152" s="54">
        <v>0.5</v>
      </c>
      <c r="F152" s="54">
        <v>0.2</v>
      </c>
      <c r="G152" s="54">
        <v>0</v>
      </c>
      <c r="H152" s="54">
        <v>0.3</v>
      </c>
      <c r="I152" s="57">
        <f t="shared" si="5"/>
        <v>9.3350000000000026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">
      <c r="A153" s="50">
        <v>164</v>
      </c>
      <c r="B153" s="60">
        <v>580.32000000000005</v>
      </c>
      <c r="C153" s="50">
        <v>14</v>
      </c>
      <c r="D153" s="60">
        <v>66.020000000000095</v>
      </c>
      <c r="E153" s="54">
        <v>0.5</v>
      </c>
      <c r="F153" s="54">
        <v>0.2</v>
      </c>
      <c r="G153" s="54">
        <v>0</v>
      </c>
      <c r="H153" s="54">
        <v>0.3</v>
      </c>
      <c r="I153" s="57">
        <f t="shared" si="5"/>
        <v>9.4880000000000049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">
      <c r="A154" s="55">
        <v>174</v>
      </c>
      <c r="B154" s="56">
        <v>610.52</v>
      </c>
      <c r="C154" s="50">
        <v>15</v>
      </c>
      <c r="D154" s="50">
        <v>240</v>
      </c>
      <c r="E154" s="54">
        <v>0.45</v>
      </c>
      <c r="F154" s="54">
        <v>0.05</v>
      </c>
      <c r="G154" s="54">
        <v>0.05</v>
      </c>
      <c r="H154" s="54">
        <v>0.45</v>
      </c>
      <c r="I154" s="57">
        <f t="shared" si="5"/>
        <v>9.6220000000000034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">
      <c r="A155" s="55">
        <v>177</v>
      </c>
      <c r="B155" s="56">
        <v>388.94</v>
      </c>
      <c r="C155" s="50">
        <v>16</v>
      </c>
      <c r="D155" s="50">
        <v>128.66000000000003</v>
      </c>
      <c r="E155" s="54">
        <v>0.45</v>
      </c>
      <c r="F155" s="54">
        <v>0.05</v>
      </c>
      <c r="G155" s="54">
        <v>0.05</v>
      </c>
      <c r="H155" s="54">
        <v>0.45</v>
      </c>
      <c r="I155" s="57">
        <f t="shared" si="5"/>
        <v>6.140000000000005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">
      <c r="A156" s="55">
        <v>180</v>
      </c>
      <c r="B156" s="56">
        <v>271.56</v>
      </c>
      <c r="C156" s="50">
        <v>17</v>
      </c>
      <c r="D156" s="50">
        <v>86.97</v>
      </c>
      <c r="E156" s="54">
        <v>0.45</v>
      </c>
      <c r="F156" s="54">
        <v>0.05</v>
      </c>
      <c r="G156" s="54">
        <v>0.05</v>
      </c>
      <c r="H156" s="54">
        <v>0.45</v>
      </c>
      <c r="I156" s="57">
        <f t="shared" si="5"/>
        <v>3.76000000000001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">
      <c r="A157" s="55">
        <v>183</v>
      </c>
      <c r="B157" s="56">
        <v>191.47</v>
      </c>
      <c r="C157" s="50">
        <v>18</v>
      </c>
      <c r="D157" s="50">
        <v>191.47</v>
      </c>
      <c r="E157" s="54">
        <v>0.45</v>
      </c>
      <c r="F157" s="54">
        <v>0.05</v>
      </c>
      <c r="G157" s="54">
        <v>0.05</v>
      </c>
      <c r="H157" s="54">
        <v>0.45</v>
      </c>
      <c r="I157" s="57">
        <f t="shared" si="5"/>
        <v>2.2933333333333317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">
      <c r="A162" s="46" t="s">
        <v>170</v>
      </c>
      <c r="B162" s="52" t="str">
        <f>IF(B14="","",B14)</f>
        <v>Erable sycomore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75" x14ac:dyDescent="0.4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">
      <c r="A166" s="50">
        <v>15</v>
      </c>
      <c r="B166" s="60">
        <v>65</v>
      </c>
      <c r="C166" s="60">
        <v>1</v>
      </c>
      <c r="D166" s="60">
        <v>32</v>
      </c>
      <c r="E166" s="51">
        <v>0</v>
      </c>
      <c r="F166" s="51">
        <v>0.25</v>
      </c>
      <c r="G166" s="51">
        <v>0.25</v>
      </c>
      <c r="H166" s="51">
        <v>0.5</v>
      </c>
      <c r="I166" s="49">
        <f>IFERROR(B166/A166,"")</f>
        <v>4.333333333333333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">
      <c r="A167" s="50">
        <v>20</v>
      </c>
      <c r="B167" s="60">
        <v>102</v>
      </c>
      <c r="C167" s="60">
        <v>2</v>
      </c>
      <c r="D167" s="60">
        <v>35</v>
      </c>
      <c r="E167" s="51">
        <v>0</v>
      </c>
      <c r="F167" s="51">
        <v>0.25</v>
      </c>
      <c r="G167" s="51">
        <v>0.25</v>
      </c>
      <c r="H167" s="51">
        <v>0.5</v>
      </c>
      <c r="I167" s="49">
        <f t="shared" ref="I167:I185" si="6">IF(A167&lt;&gt;0,(B167-(B166-D166))/(A167-A166),"")</f>
        <v>13.8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">
      <c r="A168" s="50">
        <v>25</v>
      </c>
      <c r="B168" s="60">
        <v>141</v>
      </c>
      <c r="C168" s="60">
        <v>3</v>
      </c>
      <c r="D168" s="60">
        <v>35</v>
      </c>
      <c r="E168" s="51">
        <v>0</v>
      </c>
      <c r="F168" s="51">
        <v>0.25</v>
      </c>
      <c r="G168" s="51">
        <v>0.25</v>
      </c>
      <c r="H168" s="51">
        <v>0.5</v>
      </c>
      <c r="I168" s="49">
        <f t="shared" si="6"/>
        <v>14.8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">
      <c r="A169" s="50">
        <v>30</v>
      </c>
      <c r="B169" s="60">
        <v>177</v>
      </c>
      <c r="C169" s="60">
        <v>4</v>
      </c>
      <c r="D169" s="60">
        <v>35</v>
      </c>
      <c r="E169" s="51">
        <v>0.25</v>
      </c>
      <c r="F169" s="51">
        <v>0.25</v>
      </c>
      <c r="G169" s="51">
        <v>0.25</v>
      </c>
      <c r="H169" s="51">
        <v>0.25</v>
      </c>
      <c r="I169" s="49">
        <f t="shared" si="6"/>
        <v>14.2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">
      <c r="A170" s="50">
        <v>35</v>
      </c>
      <c r="B170" s="60">
        <v>206</v>
      </c>
      <c r="C170" s="60">
        <v>5</v>
      </c>
      <c r="D170" s="60">
        <v>35</v>
      </c>
      <c r="E170" s="51">
        <v>0.25</v>
      </c>
      <c r="F170" s="51">
        <v>0.25</v>
      </c>
      <c r="G170" s="51">
        <v>0.25</v>
      </c>
      <c r="H170" s="51">
        <v>0.25</v>
      </c>
      <c r="I170" s="49">
        <f t="shared" si="6"/>
        <v>12.8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">
      <c r="A171" s="50">
        <v>40</v>
      </c>
      <c r="B171" s="60">
        <v>228</v>
      </c>
      <c r="C171" s="60">
        <v>6</v>
      </c>
      <c r="D171" s="60">
        <v>35</v>
      </c>
      <c r="E171" s="51">
        <v>0.25</v>
      </c>
      <c r="F171" s="51">
        <v>0.25</v>
      </c>
      <c r="G171" s="51">
        <v>0.25</v>
      </c>
      <c r="H171" s="51">
        <v>0.25</v>
      </c>
      <c r="I171" s="49">
        <f t="shared" si="6"/>
        <v>11.4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">
      <c r="A172" s="50">
        <v>45</v>
      </c>
      <c r="B172" s="60">
        <v>242</v>
      </c>
      <c r="C172" s="60">
        <v>7</v>
      </c>
      <c r="D172" s="60">
        <v>24</v>
      </c>
      <c r="E172" s="51">
        <v>0.25</v>
      </c>
      <c r="F172" s="51">
        <v>0.25</v>
      </c>
      <c r="G172" s="51">
        <v>0.25</v>
      </c>
      <c r="H172" s="51">
        <v>0.25</v>
      </c>
      <c r="I172" s="49">
        <f t="shared" si="6"/>
        <v>9.8000000000000007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">
      <c r="A173" s="50">
        <v>50</v>
      </c>
      <c r="B173" s="50">
        <v>261</v>
      </c>
      <c r="C173" s="50">
        <v>8</v>
      </c>
      <c r="D173" s="50">
        <v>19</v>
      </c>
      <c r="E173" s="51">
        <v>0.25</v>
      </c>
      <c r="F173" s="51">
        <v>0.25</v>
      </c>
      <c r="G173" s="51">
        <v>0.25</v>
      </c>
      <c r="H173" s="51">
        <v>0.25</v>
      </c>
      <c r="I173" s="49">
        <f t="shared" si="6"/>
        <v>8.6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">
      <c r="A174" s="50">
        <v>55</v>
      </c>
      <c r="B174" s="50">
        <v>279</v>
      </c>
      <c r="C174" s="50">
        <v>9</v>
      </c>
      <c r="D174" s="50">
        <v>16</v>
      </c>
      <c r="E174" s="51">
        <v>0.25</v>
      </c>
      <c r="F174" s="51">
        <v>0.25</v>
      </c>
      <c r="G174" s="51">
        <v>0.25</v>
      </c>
      <c r="H174" s="51">
        <v>0.25</v>
      </c>
      <c r="I174" s="49">
        <f t="shared" si="6"/>
        <v>7.4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">
      <c r="A175" s="50">
        <v>60</v>
      </c>
      <c r="B175" s="50">
        <v>294</v>
      </c>
      <c r="C175" s="50">
        <v>10</v>
      </c>
      <c r="D175" s="50">
        <v>14</v>
      </c>
      <c r="E175" s="51">
        <v>0.25</v>
      </c>
      <c r="F175" s="51">
        <v>0.25</v>
      </c>
      <c r="G175" s="51">
        <v>0.25</v>
      </c>
      <c r="H175" s="51">
        <v>0.25</v>
      </c>
      <c r="I175" s="49">
        <f t="shared" si="6"/>
        <v>6.2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">
      <c r="A176" s="50">
        <v>65</v>
      </c>
      <c r="B176" s="50">
        <v>306</v>
      </c>
      <c r="C176" s="50">
        <v>11</v>
      </c>
      <c r="D176" s="50">
        <v>13</v>
      </c>
      <c r="E176" s="51">
        <v>0.25</v>
      </c>
      <c r="F176" s="51">
        <v>0.25</v>
      </c>
      <c r="G176" s="51">
        <v>0.25</v>
      </c>
      <c r="H176" s="51">
        <v>0.25</v>
      </c>
      <c r="I176" s="49">
        <f t="shared" si="6"/>
        <v>5.2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">
      <c r="A177" s="50">
        <v>70</v>
      </c>
      <c r="B177" s="50">
        <v>316</v>
      </c>
      <c r="C177" s="50">
        <v>12</v>
      </c>
      <c r="D177" s="50">
        <v>13</v>
      </c>
      <c r="E177" s="51">
        <v>0.25</v>
      </c>
      <c r="F177" s="51">
        <v>0.25</v>
      </c>
      <c r="G177" s="51">
        <v>0.25</v>
      </c>
      <c r="H177" s="51">
        <v>0.25</v>
      </c>
      <c r="I177" s="49">
        <f t="shared" si="6"/>
        <v>4.5999999999999996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">
      <c r="A178" s="50">
        <v>75</v>
      </c>
      <c r="B178" s="50">
        <v>324</v>
      </c>
      <c r="C178" s="50">
        <v>13</v>
      </c>
      <c r="D178" s="50">
        <v>12</v>
      </c>
      <c r="E178" s="51">
        <v>0.25</v>
      </c>
      <c r="F178" s="51">
        <v>0.25</v>
      </c>
      <c r="G178" s="51">
        <v>0.25</v>
      </c>
      <c r="H178" s="51">
        <v>0.25</v>
      </c>
      <c r="I178" s="49">
        <f t="shared" si="6"/>
        <v>4.2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">
      <c r="A179" s="50">
        <v>80</v>
      </c>
      <c r="B179" s="50">
        <v>330</v>
      </c>
      <c r="C179" s="50">
        <v>14</v>
      </c>
      <c r="D179" s="50">
        <v>330</v>
      </c>
      <c r="E179" s="51">
        <v>0.25</v>
      </c>
      <c r="F179" s="51">
        <v>0.25</v>
      </c>
      <c r="G179" s="51">
        <v>0.25</v>
      </c>
      <c r="H179" s="51">
        <v>0.25</v>
      </c>
      <c r="I179" s="49">
        <f t="shared" si="6"/>
        <v>3.6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">
      <c r="A188" s="46" t="s">
        <v>171</v>
      </c>
      <c r="B188" s="52" t="str">
        <f>IF(B15="","",B15)</f>
        <v>Cèdre de l'Atlas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75" x14ac:dyDescent="0.4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">
      <c r="A192" s="50">
        <v>42</v>
      </c>
      <c r="B192" s="60">
        <v>767.16</v>
      </c>
      <c r="C192" s="60">
        <v>2</v>
      </c>
      <c r="D192" s="60">
        <v>292.26</v>
      </c>
      <c r="E192" s="51">
        <v>0.85</v>
      </c>
      <c r="F192" s="51">
        <v>0.57000000000000006</v>
      </c>
      <c r="G192" s="51">
        <v>0.58000000000000007</v>
      </c>
      <c r="H192" s="51">
        <v>0</v>
      </c>
      <c r="I192" s="49">
        <f>IFERROR(B192/A192,"")</f>
        <v>18.265714285714285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">
      <c r="A193" s="50">
        <v>49</v>
      </c>
      <c r="B193" s="60">
        <v>365.5</v>
      </c>
      <c r="C193" s="60">
        <v>2</v>
      </c>
      <c r="D193" s="60">
        <v>101.22000000000003</v>
      </c>
      <c r="E193" s="51">
        <v>0.6</v>
      </c>
      <c r="F193" s="51">
        <v>0.2</v>
      </c>
      <c r="G193" s="51">
        <v>0.2</v>
      </c>
      <c r="H193" s="51">
        <v>0</v>
      </c>
      <c r="I193" s="49">
        <f t="shared" ref="I193:I211" si="7">IF(A193&lt;&gt;0,(B193-(B192-D192))/(A193-A192),"")</f>
        <v>-15.628571428571425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">
      <c r="A194" s="50">
        <v>50</v>
      </c>
      <c r="B194" s="60">
        <v>375.69</v>
      </c>
      <c r="C194" s="60">
        <v>2</v>
      </c>
      <c r="D194" s="60">
        <v>108.07</v>
      </c>
      <c r="E194" s="51">
        <v>0.6</v>
      </c>
      <c r="F194" s="51">
        <v>0.2</v>
      </c>
      <c r="G194" s="51">
        <v>0.2</v>
      </c>
      <c r="H194" s="51">
        <v>0</v>
      </c>
      <c r="I194" s="49">
        <f t="shared" si="7"/>
        <v>111.41000000000003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">
      <c r="A195" s="50">
        <v>56</v>
      </c>
      <c r="B195" s="60">
        <v>384.15</v>
      </c>
      <c r="C195" s="60">
        <v>3</v>
      </c>
      <c r="D195" s="60">
        <v>80.21999999999997</v>
      </c>
      <c r="E195" s="51">
        <v>0.6</v>
      </c>
      <c r="F195" s="51">
        <v>0.2</v>
      </c>
      <c r="G195" s="51">
        <v>0.2</v>
      </c>
      <c r="H195" s="51">
        <v>0</v>
      </c>
      <c r="I195" s="49">
        <f t="shared" si="7"/>
        <v>19.421666666666663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">
      <c r="A196" s="50">
        <v>58</v>
      </c>
      <c r="B196" s="60">
        <v>400.11</v>
      </c>
      <c r="C196" s="60">
        <v>3</v>
      </c>
      <c r="D196" s="60">
        <v>88.54000000000002</v>
      </c>
      <c r="E196" s="51">
        <v>0.6</v>
      </c>
      <c r="F196" s="51">
        <v>0.2</v>
      </c>
      <c r="G196" s="51">
        <v>0.2</v>
      </c>
      <c r="H196" s="51">
        <v>0</v>
      </c>
      <c r="I196" s="49">
        <f t="shared" si="7"/>
        <v>48.09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">
      <c r="A197" s="50">
        <v>63</v>
      </c>
      <c r="B197" s="60">
        <v>421.38</v>
      </c>
      <c r="C197" s="60">
        <v>4</v>
      </c>
      <c r="D197" s="60">
        <v>79.909999999999968</v>
      </c>
      <c r="E197" s="51">
        <v>0.6</v>
      </c>
      <c r="F197" s="51">
        <v>0.2</v>
      </c>
      <c r="G197" s="51">
        <v>0.2</v>
      </c>
      <c r="H197" s="51">
        <v>0</v>
      </c>
      <c r="I197" s="49">
        <f t="shared" si="7"/>
        <v>21.962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">
      <c r="A198" s="50">
        <v>66</v>
      </c>
      <c r="B198" s="60">
        <v>440.2</v>
      </c>
      <c r="C198" s="60">
        <v>4</v>
      </c>
      <c r="D198" s="60">
        <v>88.899999999999977</v>
      </c>
      <c r="E198" s="51">
        <v>0.6</v>
      </c>
      <c r="F198" s="51">
        <v>0.2</v>
      </c>
      <c r="G198" s="51">
        <v>0.2</v>
      </c>
      <c r="H198" s="51">
        <v>0</v>
      </c>
      <c r="I198" s="49">
        <f t="shared" si="7"/>
        <v>32.909999999999989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">
      <c r="A199" s="50">
        <v>71</v>
      </c>
      <c r="B199" s="50">
        <v>471.35</v>
      </c>
      <c r="C199" s="50">
        <v>5</v>
      </c>
      <c r="D199" s="50">
        <v>91.730000000000018</v>
      </c>
      <c r="E199" s="51">
        <v>0.6</v>
      </c>
      <c r="F199" s="51">
        <v>0.2</v>
      </c>
      <c r="G199" s="51">
        <v>0.2</v>
      </c>
      <c r="H199" s="51">
        <v>0</v>
      </c>
      <c r="I199" s="49">
        <f t="shared" si="7"/>
        <v>24.01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">
      <c r="A200" s="50">
        <v>75</v>
      </c>
      <c r="B200" s="50">
        <v>489.37</v>
      </c>
      <c r="C200" s="50">
        <v>5</v>
      </c>
      <c r="D200" s="50">
        <v>89.149999999999977</v>
      </c>
      <c r="E200" s="51">
        <v>0.6</v>
      </c>
      <c r="F200" s="51">
        <v>0.2</v>
      </c>
      <c r="G200" s="51">
        <v>0.2</v>
      </c>
      <c r="H200" s="51">
        <v>0</v>
      </c>
      <c r="I200" s="49">
        <f t="shared" si="7"/>
        <v>27.4375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">
      <c r="A201" s="50">
        <v>79</v>
      </c>
      <c r="B201" s="50">
        <v>502.02</v>
      </c>
      <c r="C201" s="50">
        <v>6</v>
      </c>
      <c r="D201" s="50">
        <v>89.009999999999991</v>
      </c>
      <c r="E201" s="51">
        <v>0.6</v>
      </c>
      <c r="F201" s="51">
        <v>0.2</v>
      </c>
      <c r="G201" s="51">
        <v>0.2</v>
      </c>
      <c r="H201" s="51">
        <v>0</v>
      </c>
      <c r="I201" s="49">
        <f t="shared" si="7"/>
        <v>25.449999999999989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">
      <c r="A202" s="50">
        <v>83</v>
      </c>
      <c r="B202" s="50">
        <v>516.09</v>
      </c>
      <c r="C202" s="50">
        <v>6</v>
      </c>
      <c r="D202" s="50">
        <v>91.480000000000018</v>
      </c>
      <c r="E202" s="51">
        <v>0.6</v>
      </c>
      <c r="F202" s="51">
        <v>0.2</v>
      </c>
      <c r="G202" s="51">
        <v>0.2</v>
      </c>
      <c r="H202" s="51">
        <v>0</v>
      </c>
      <c r="I202" s="49">
        <f t="shared" si="7"/>
        <v>25.77000000000001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">
      <c r="A203" s="50">
        <v>87</v>
      </c>
      <c r="B203" s="50">
        <v>528.16</v>
      </c>
      <c r="C203" s="50">
        <v>7</v>
      </c>
      <c r="D203" s="50">
        <v>89.649999999999977</v>
      </c>
      <c r="E203" s="51">
        <v>0.6</v>
      </c>
      <c r="F203" s="51">
        <v>0.2</v>
      </c>
      <c r="G203" s="51">
        <v>0.2</v>
      </c>
      <c r="H203" s="51">
        <v>0</v>
      </c>
      <c r="I203" s="49">
        <f t="shared" si="7"/>
        <v>25.887499999999989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">
      <c r="A204" s="50">
        <v>91</v>
      </c>
      <c r="B204" s="50">
        <v>531.72</v>
      </c>
      <c r="C204" s="50">
        <v>7</v>
      </c>
      <c r="D204" s="50">
        <v>264.52000000000004</v>
      </c>
      <c r="E204" s="51">
        <v>0.6</v>
      </c>
      <c r="F204" s="51">
        <v>0.2</v>
      </c>
      <c r="G204" s="51">
        <v>0.2</v>
      </c>
      <c r="H204" s="51">
        <v>0</v>
      </c>
      <c r="I204" s="49">
        <f t="shared" si="7"/>
        <v>23.302500000000009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">
      <c r="A205" s="50">
        <v>95</v>
      </c>
      <c r="B205" s="50">
        <v>545.23</v>
      </c>
      <c r="C205" s="50">
        <v>8</v>
      </c>
      <c r="D205" s="50">
        <v>272.32</v>
      </c>
      <c r="E205" s="51">
        <v>0.6</v>
      </c>
      <c r="F205" s="51">
        <v>0.2</v>
      </c>
      <c r="G205" s="51">
        <v>0.2</v>
      </c>
      <c r="H205" s="51">
        <v>0</v>
      </c>
      <c r="I205" s="49">
        <f t="shared" si="7"/>
        <v>69.507500000000007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">
      <c r="A206" s="50">
        <v>101</v>
      </c>
      <c r="B206" s="50">
        <v>356.43</v>
      </c>
      <c r="C206" s="50">
        <v>8</v>
      </c>
      <c r="D206" s="50">
        <v>356.43</v>
      </c>
      <c r="E206" s="51">
        <v>0.6</v>
      </c>
      <c r="F206" s="51">
        <v>0.2</v>
      </c>
      <c r="G206" s="51">
        <v>0.2</v>
      </c>
      <c r="H206" s="51">
        <v>0</v>
      </c>
      <c r="I206" s="49">
        <f t="shared" si="7"/>
        <v>13.919999999999996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">
      <c r="A207" s="50">
        <v>105</v>
      </c>
      <c r="B207" s="50">
        <v>361.46</v>
      </c>
      <c r="C207" s="50">
        <v>9</v>
      </c>
      <c r="D207" s="50">
        <v>361.46</v>
      </c>
      <c r="E207" s="51">
        <v>0.6</v>
      </c>
      <c r="F207" s="51">
        <v>0.2</v>
      </c>
      <c r="G207" s="51">
        <v>0.2</v>
      </c>
      <c r="H207" s="51">
        <v>0</v>
      </c>
      <c r="I207" s="49">
        <f t="shared" si="7"/>
        <v>90.364999999999995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">
      <c r="A214" s="46" t="s">
        <v>172</v>
      </c>
      <c r="B214" s="52" t="str">
        <f>IF(B16="","",B16)</f>
        <v>Bouleau verruqueux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75" x14ac:dyDescent="0.4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">
      <c r="A218" s="50">
        <v>15</v>
      </c>
      <c r="B218" s="60">
        <v>20.512820512820511</v>
      </c>
      <c r="C218" s="50">
        <v>1</v>
      </c>
      <c r="D218" s="60">
        <v>0</v>
      </c>
      <c r="E218" s="63">
        <v>0</v>
      </c>
      <c r="F218" s="63">
        <v>0.25</v>
      </c>
      <c r="G218" s="63">
        <v>0.25</v>
      </c>
      <c r="H218" s="63">
        <v>0.5</v>
      </c>
      <c r="I218" s="53">
        <f>IFERROR(B218/A218,"")</f>
        <v>1.3675213675213673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">
      <c r="A219" s="50">
        <v>20</v>
      </c>
      <c r="B219" s="60">
        <v>34.615384615384613</v>
      </c>
      <c r="C219" s="50">
        <v>2</v>
      </c>
      <c r="D219" s="60">
        <v>5.7692307692307692</v>
      </c>
      <c r="E219" s="63">
        <v>0</v>
      </c>
      <c r="F219" s="63">
        <v>0.25</v>
      </c>
      <c r="G219" s="63">
        <v>0.25</v>
      </c>
      <c r="H219" s="63">
        <v>0.5</v>
      </c>
      <c r="I219" s="53">
        <f t="shared" ref="I219:I237" si="8">IF(A219&lt;&gt;0,(B219-(B218-D218))/(A219-A218),"")</f>
        <v>2.8205128205128203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">
      <c r="A220" s="50">
        <v>25</v>
      </c>
      <c r="B220" s="60">
        <v>43.589743589743591</v>
      </c>
      <c r="C220" s="50">
        <v>3</v>
      </c>
      <c r="D220" s="60">
        <v>5.1282051282051277</v>
      </c>
      <c r="E220" s="63">
        <v>0</v>
      </c>
      <c r="F220" s="63">
        <v>0.25</v>
      </c>
      <c r="G220" s="63">
        <v>0.25</v>
      </c>
      <c r="H220" s="63">
        <v>0.5</v>
      </c>
      <c r="I220" s="53">
        <f t="shared" si="8"/>
        <v>2.9487179487179498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">
      <c r="A221" s="55">
        <v>30</v>
      </c>
      <c r="B221" s="55">
        <v>53.84615384615384</v>
      </c>
      <c r="C221" s="55">
        <v>4</v>
      </c>
      <c r="D221" s="55">
        <v>5.7692307692307692</v>
      </c>
      <c r="E221" s="63">
        <v>0</v>
      </c>
      <c r="F221" s="63">
        <v>0.25</v>
      </c>
      <c r="G221" s="63">
        <v>0.25</v>
      </c>
      <c r="H221" s="63">
        <v>0.5</v>
      </c>
      <c r="I221" s="53">
        <f t="shared" si="8"/>
        <v>3.0769230769230744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">
      <c r="A222" s="55">
        <v>35</v>
      </c>
      <c r="B222" s="55">
        <v>63.46153846153846</v>
      </c>
      <c r="C222" s="55">
        <v>5</v>
      </c>
      <c r="D222" s="55">
        <v>6.4102564102564097</v>
      </c>
      <c r="E222" s="63">
        <v>0</v>
      </c>
      <c r="F222" s="63">
        <v>0.25</v>
      </c>
      <c r="G222" s="63">
        <v>0.25</v>
      </c>
      <c r="H222" s="63">
        <v>0.5</v>
      </c>
      <c r="I222" s="53">
        <f t="shared" si="8"/>
        <v>3.0769230769230775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">
      <c r="A223" s="55">
        <v>40</v>
      </c>
      <c r="B223" s="55">
        <v>72.435897435897431</v>
      </c>
      <c r="C223" s="55">
        <v>6</v>
      </c>
      <c r="D223" s="55">
        <v>6.4102564102564097</v>
      </c>
      <c r="E223" s="63">
        <v>0</v>
      </c>
      <c r="F223" s="63">
        <v>0.25</v>
      </c>
      <c r="G223" s="63">
        <v>0.25</v>
      </c>
      <c r="H223" s="63">
        <v>0.5</v>
      </c>
      <c r="I223" s="53">
        <f t="shared" si="8"/>
        <v>3.0769230769230758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">
      <c r="A224" s="55">
        <v>45</v>
      </c>
      <c r="B224" s="55">
        <v>81.410256410256409</v>
      </c>
      <c r="C224" s="55">
        <v>7</v>
      </c>
      <c r="D224" s="55">
        <v>7.0512820512820511</v>
      </c>
      <c r="E224" s="63">
        <v>0</v>
      </c>
      <c r="F224" s="63">
        <v>0.25</v>
      </c>
      <c r="G224" s="63">
        <v>0.25</v>
      </c>
      <c r="H224" s="63">
        <v>0.5</v>
      </c>
      <c r="I224" s="53">
        <f t="shared" si="8"/>
        <v>3.0769230769230775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">
      <c r="A225" s="55">
        <v>50</v>
      </c>
      <c r="B225" s="55">
        <v>89.102564102564088</v>
      </c>
      <c r="C225" s="55">
        <v>8</v>
      </c>
      <c r="D225" s="55">
        <v>7.0512820512820511</v>
      </c>
      <c r="E225" s="63">
        <v>0</v>
      </c>
      <c r="F225" s="63">
        <v>0.25</v>
      </c>
      <c r="G225" s="63">
        <v>0.25</v>
      </c>
      <c r="H225" s="63">
        <v>0.5</v>
      </c>
      <c r="I225" s="53">
        <f t="shared" si="8"/>
        <v>2.9487179487179445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">
      <c r="A226" s="55">
        <v>55</v>
      </c>
      <c r="B226" s="55">
        <v>96.15384615384616</v>
      </c>
      <c r="C226" s="55">
        <v>9</v>
      </c>
      <c r="D226" s="55">
        <v>7.0512820512820511</v>
      </c>
      <c r="E226" s="63">
        <v>0</v>
      </c>
      <c r="F226" s="63">
        <v>0.25</v>
      </c>
      <c r="G226" s="63">
        <v>0.25</v>
      </c>
      <c r="H226" s="63">
        <v>0.5</v>
      </c>
      <c r="I226" s="53">
        <f t="shared" si="8"/>
        <v>2.8205128205128234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">
      <c r="A227" s="55">
        <v>60</v>
      </c>
      <c r="B227" s="55">
        <v>102.56410256410257</v>
      </c>
      <c r="C227" s="55">
        <v>10</v>
      </c>
      <c r="D227" s="55">
        <v>7.0512820512820511</v>
      </c>
      <c r="E227" s="63">
        <v>0</v>
      </c>
      <c r="F227" s="63">
        <v>0.25</v>
      </c>
      <c r="G227" s="63">
        <v>0.25</v>
      </c>
      <c r="H227" s="63">
        <v>0.5</v>
      </c>
      <c r="I227" s="53">
        <f t="shared" si="8"/>
        <v>2.6923076923076907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">
      <c r="A228" s="55">
        <v>65</v>
      </c>
      <c r="B228" s="55">
        <v>108.33333333333334</v>
      </c>
      <c r="C228" s="55">
        <v>11</v>
      </c>
      <c r="D228" s="55">
        <v>7.0512820512820511</v>
      </c>
      <c r="E228" s="63">
        <v>0</v>
      </c>
      <c r="F228" s="63">
        <v>0.25</v>
      </c>
      <c r="G228" s="63">
        <v>0.25</v>
      </c>
      <c r="H228" s="63">
        <v>0.5</v>
      </c>
      <c r="I228" s="53">
        <f t="shared" si="8"/>
        <v>2.5641025641025634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">
      <c r="A229" s="55">
        <v>70</v>
      </c>
      <c r="B229" s="55">
        <v>114.10256410256409</v>
      </c>
      <c r="C229" s="55">
        <v>12</v>
      </c>
      <c r="D229" s="55">
        <v>7.0512820512820511</v>
      </c>
      <c r="E229" s="63">
        <v>0</v>
      </c>
      <c r="F229" s="63">
        <v>0.25</v>
      </c>
      <c r="G229" s="63">
        <v>0.25</v>
      </c>
      <c r="H229" s="63">
        <v>0.5</v>
      </c>
      <c r="I229" s="53">
        <f t="shared" si="8"/>
        <v>2.5641025641025577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">
      <c r="A230" s="55">
        <v>75</v>
      </c>
      <c r="B230" s="55">
        <v>118.58974358974359</v>
      </c>
      <c r="C230" s="55">
        <v>13</v>
      </c>
      <c r="D230" s="55">
        <v>7.0512820512820511</v>
      </c>
      <c r="E230" s="64">
        <v>0</v>
      </c>
      <c r="F230" s="64">
        <v>0.25</v>
      </c>
      <c r="G230" s="64">
        <v>0.25</v>
      </c>
      <c r="H230" s="64">
        <v>0.5</v>
      </c>
      <c r="I230" s="53">
        <f t="shared" si="8"/>
        <v>2.3076923076923093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">
      <c r="A231" s="88">
        <v>80</v>
      </c>
      <c r="B231" s="60">
        <v>123.07692307692307</v>
      </c>
      <c r="C231" s="88">
        <v>14</v>
      </c>
      <c r="D231" s="60">
        <v>7.0512820512820511</v>
      </c>
      <c r="E231" s="54">
        <v>0</v>
      </c>
      <c r="F231" s="54">
        <v>0.25</v>
      </c>
      <c r="G231" s="54">
        <v>0.25</v>
      </c>
      <c r="H231" s="54">
        <v>0.5</v>
      </c>
      <c r="I231" s="53">
        <f t="shared" si="8"/>
        <v>2.3076923076923039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">
      <c r="A232" s="50">
        <v>85</v>
      </c>
      <c r="B232" s="50">
        <v>126.28205128205127</v>
      </c>
      <c r="C232" s="50">
        <v>15</v>
      </c>
      <c r="D232" s="50">
        <v>6.4102564102564097</v>
      </c>
      <c r="E232" s="54">
        <v>0</v>
      </c>
      <c r="F232" s="54">
        <v>0.25</v>
      </c>
      <c r="G232" s="54">
        <v>0.25</v>
      </c>
      <c r="H232" s="54">
        <v>0.5</v>
      </c>
      <c r="I232" s="53">
        <f t="shared" si="8"/>
        <v>2.0512820512820498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">
      <c r="A233" s="50">
        <v>90</v>
      </c>
      <c r="B233" s="50">
        <v>129.48717948717947</v>
      </c>
      <c r="C233" s="50">
        <v>16</v>
      </c>
      <c r="D233" s="50">
        <v>129.48717948717947</v>
      </c>
      <c r="E233" s="54">
        <v>0</v>
      </c>
      <c r="F233" s="54">
        <v>0.25</v>
      </c>
      <c r="G233" s="54">
        <v>0.25</v>
      </c>
      <c r="H233" s="54">
        <v>0.5</v>
      </c>
      <c r="I233" s="53">
        <f t="shared" si="8"/>
        <v>1.9230769230769227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75" x14ac:dyDescent="0.4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75" x14ac:dyDescent="0.4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Normal="100" workbookViewId="0">
      <selection activeCell="B9" sqref="B9"/>
    </sheetView>
  </sheetViews>
  <sheetFormatPr baseColWidth="10" defaultColWidth="11.4609375" defaultRowHeight="14.6" x14ac:dyDescent="0.4"/>
  <cols>
    <col min="1" max="1" width="5.921875" style="1" customWidth="1"/>
    <col min="2" max="2" width="14.07421875" style="1" customWidth="1"/>
    <col min="3" max="3" width="62.07421875" style="1" customWidth="1"/>
    <col min="4" max="5" width="4.3828125" style="1" customWidth="1"/>
    <col min="6" max="6" width="14.3828125" style="1" customWidth="1"/>
    <col min="7" max="7" width="73.3828125" style="1" bestFit="1" customWidth="1"/>
    <col min="8" max="10" width="11.4609375" style="1"/>
    <col min="11" max="11" width="12.53515625" style="1" customWidth="1"/>
    <col min="12" max="16384" width="11.4609375" style="1"/>
  </cols>
  <sheetData>
    <row r="1" spans="1:38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6" thickBot="1" x14ac:dyDescent="0.7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">
      <c r="C104" s="4"/>
      <c r="F104" s="4"/>
    </row>
    <row r="105" spans="3:35" x14ac:dyDescent="0.4">
      <c r="C105" s="4"/>
      <c r="F105" s="4"/>
    </row>
    <row r="106" spans="3:35" x14ac:dyDescent="0.4">
      <c r="C106" s="4"/>
      <c r="F106" s="4"/>
    </row>
    <row r="107" spans="3:35" x14ac:dyDescent="0.4">
      <c r="C107" s="4"/>
      <c r="F107" s="4"/>
    </row>
    <row r="108" spans="3:35" x14ac:dyDescent="0.4">
      <c r="C108" s="4"/>
      <c r="F108" s="4"/>
    </row>
    <row r="109" spans="3:35" x14ac:dyDescent="0.4">
      <c r="C109" s="4"/>
      <c r="F109" s="4"/>
    </row>
    <row r="110" spans="3:35" x14ac:dyDescent="0.4">
      <c r="C110" s="4"/>
      <c r="F110" s="4"/>
    </row>
    <row r="111" spans="3:35" x14ac:dyDescent="0.4">
      <c r="C111" s="4"/>
      <c r="F111" s="4"/>
    </row>
    <row r="112" spans="3:35" x14ac:dyDescent="0.4">
      <c r="C112" s="4"/>
      <c r="F112" s="4"/>
    </row>
    <row r="113" spans="3:6" x14ac:dyDescent="0.4">
      <c r="C113" s="4"/>
      <c r="F113" s="4"/>
    </row>
    <row r="114" spans="3:6" x14ac:dyDescent="0.4">
      <c r="C114" s="4"/>
      <c r="F114" s="4"/>
    </row>
    <row r="115" spans="3:6" x14ac:dyDescent="0.4">
      <c r="C115" s="4"/>
      <c r="F115" s="4"/>
    </row>
    <row r="116" spans="3:6" x14ac:dyDescent="0.4">
      <c r="C116" s="4"/>
      <c r="F116" s="4"/>
    </row>
    <row r="117" spans="3:6" x14ac:dyDescent="0.4">
      <c r="C117" s="4"/>
      <c r="F117" s="4"/>
    </row>
    <row r="118" spans="3:6" x14ac:dyDescent="0.4">
      <c r="C118" s="4"/>
      <c r="F118" s="4"/>
    </row>
    <row r="119" spans="3:6" x14ac:dyDescent="0.4">
      <c r="C119" s="4"/>
      <c r="F119" s="4"/>
    </row>
    <row r="120" spans="3:6" x14ac:dyDescent="0.4">
      <c r="C120" s="4"/>
      <c r="F120" s="4"/>
    </row>
    <row r="121" spans="3:6" x14ac:dyDescent="0.4">
      <c r="C121" s="4"/>
      <c r="F121" s="4"/>
    </row>
    <row r="122" spans="3:6" x14ac:dyDescent="0.4">
      <c r="C122" s="4"/>
      <c r="F122" s="4"/>
    </row>
    <row r="123" spans="3:6" x14ac:dyDescent="0.4">
      <c r="C123" s="4"/>
      <c r="F123" s="4"/>
    </row>
    <row r="124" spans="3:6" x14ac:dyDescent="0.4">
      <c r="C124" s="4"/>
      <c r="F124" s="4"/>
    </row>
    <row r="125" spans="3:6" x14ac:dyDescent="0.4">
      <c r="C125" s="4"/>
      <c r="F125" s="4"/>
    </row>
    <row r="126" spans="3:6" x14ac:dyDescent="0.4">
      <c r="C126" s="4"/>
      <c r="F126" s="4"/>
    </row>
    <row r="127" spans="3:6" x14ac:dyDescent="0.4">
      <c r="C127" s="4"/>
      <c r="F127" s="4"/>
    </row>
    <row r="128" spans="3:6" x14ac:dyDescent="0.4">
      <c r="C128" s="4"/>
      <c r="F128" s="4"/>
    </row>
    <row r="129" spans="3:6" x14ac:dyDescent="0.4">
      <c r="C129" s="4"/>
      <c r="F129" s="4"/>
    </row>
    <row r="130" spans="3:6" x14ac:dyDescent="0.4">
      <c r="C130" s="4"/>
      <c r="F130" s="4"/>
    </row>
    <row r="131" spans="3:6" x14ac:dyDescent="0.4">
      <c r="C131" s="4"/>
      <c r="F131" s="4"/>
    </row>
    <row r="132" spans="3:6" x14ac:dyDescent="0.4">
      <c r="F132" s="4"/>
    </row>
    <row r="133" spans="3:6" x14ac:dyDescent="0.4">
      <c r="F133" s="4"/>
    </row>
    <row r="134" spans="3:6" x14ac:dyDescent="0.4">
      <c r="F134" s="4"/>
    </row>
    <row r="135" spans="3:6" x14ac:dyDescent="0.4">
      <c r="F135" s="4"/>
    </row>
    <row r="136" spans="3:6" x14ac:dyDescent="0.4">
      <c r="F136" s="4"/>
    </row>
    <row r="137" spans="3:6" x14ac:dyDescent="0.4">
      <c r="F137" s="4"/>
    </row>
    <row r="138" spans="3:6" x14ac:dyDescent="0.4">
      <c r="F138" s="4"/>
    </row>
    <row r="139" spans="3:6" x14ac:dyDescent="0.4">
      <c r="F139" s="4"/>
    </row>
    <row r="140" spans="3:6" x14ac:dyDescent="0.4">
      <c r="F140" s="4"/>
    </row>
    <row r="141" spans="3:6" x14ac:dyDescent="0.4">
      <c r="F141" s="4"/>
    </row>
    <row r="142" spans="3:6" x14ac:dyDescent="0.4">
      <c r="F142" s="4"/>
    </row>
    <row r="143" spans="3:6" x14ac:dyDescent="0.4">
      <c r="F143" s="4"/>
    </row>
    <row r="144" spans="3:6" x14ac:dyDescent="0.4">
      <c r="F144" s="4"/>
    </row>
    <row r="145" spans="6:6" x14ac:dyDescent="0.4">
      <c r="F145" s="4"/>
    </row>
    <row r="146" spans="6:6" x14ac:dyDescent="0.4">
      <c r="F146" s="4"/>
    </row>
    <row r="147" spans="6:6" x14ac:dyDescent="0.4">
      <c r="F147" s="4"/>
    </row>
    <row r="148" spans="6:6" x14ac:dyDescent="0.4">
      <c r="F148" s="4"/>
    </row>
    <row r="149" spans="6:6" x14ac:dyDescent="0.4">
      <c r="F149" s="4"/>
    </row>
    <row r="150" spans="6:6" x14ac:dyDescent="0.4">
      <c r="F150" s="4"/>
    </row>
    <row r="151" spans="6:6" x14ac:dyDescent="0.4">
      <c r="F151" s="4"/>
    </row>
    <row r="152" spans="6:6" x14ac:dyDescent="0.4">
      <c r="F152" s="4"/>
    </row>
    <row r="153" spans="6:6" x14ac:dyDescent="0.4">
      <c r="F153" s="4"/>
    </row>
    <row r="154" spans="6:6" x14ac:dyDescent="0.4">
      <c r="F154" s="4"/>
    </row>
    <row r="155" spans="6:6" x14ac:dyDescent="0.4">
      <c r="F155" s="4"/>
    </row>
    <row r="156" spans="6:6" x14ac:dyDescent="0.4">
      <c r="F156" s="4"/>
    </row>
    <row r="157" spans="6:6" x14ac:dyDescent="0.4">
      <c r="F157" s="4"/>
    </row>
    <row r="158" spans="6:6" x14ac:dyDescent="0.4">
      <c r="F158" s="4"/>
    </row>
    <row r="159" spans="6:6" x14ac:dyDescent="0.4">
      <c r="F159" s="4"/>
    </row>
    <row r="160" spans="6:6" x14ac:dyDescent="0.4">
      <c r="F160" s="4"/>
    </row>
    <row r="161" spans="6:6" x14ac:dyDescent="0.4">
      <c r="F161" s="4"/>
    </row>
    <row r="162" spans="6:6" x14ac:dyDescent="0.4">
      <c r="F162" s="4"/>
    </row>
    <row r="163" spans="6:6" x14ac:dyDescent="0.4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09375" defaultRowHeight="14.6" x14ac:dyDescent="0.4"/>
  <cols>
    <col min="1" max="1" width="6.921875" style="4" bestFit="1" customWidth="1"/>
    <col min="2" max="4" width="11.4609375" style="4"/>
    <col min="5" max="5" width="9.53515625" style="4" customWidth="1"/>
    <col min="6" max="7" width="11.4609375" style="4"/>
    <col min="8" max="8" width="10.61328125" style="4" customWidth="1"/>
    <col min="9" max="9" width="9.4609375" style="4" customWidth="1"/>
    <col min="10" max="11" width="10.53515625" style="4" bestFit="1" customWidth="1"/>
    <col min="12" max="12" width="14" style="4" bestFit="1" customWidth="1"/>
    <col min="13" max="13" width="14" style="4" customWidth="1"/>
    <col min="14" max="23" width="11.4609375" style="4"/>
    <col min="24" max="24" width="11.61328125" style="4" bestFit="1" customWidth="1"/>
    <col min="25" max="25" width="14.53515625" style="4" bestFit="1" customWidth="1"/>
    <col min="26" max="26" width="12.4609375" style="4" bestFit="1" customWidth="1"/>
    <col min="27" max="27" width="9.61328125" style="4" bestFit="1" customWidth="1"/>
    <col min="28" max="28" width="11" style="4" bestFit="1" customWidth="1"/>
    <col min="29" max="29" width="9.4609375" style="4" bestFit="1" customWidth="1"/>
    <col min="30" max="31" width="9.4609375" style="4" customWidth="1"/>
    <col min="32" max="32" width="11.4609375" style="4"/>
    <col min="33" max="34" width="14" style="4" bestFit="1" customWidth="1"/>
    <col min="35" max="35" width="10.53515625" style="4" bestFit="1" customWidth="1"/>
    <col min="36" max="36" width="9.4609375" style="4" bestFit="1" customWidth="1"/>
    <col min="37" max="38" width="10.53515625" style="4" bestFit="1" customWidth="1"/>
    <col min="39" max="41" width="10.53515625" style="4" customWidth="1"/>
    <col min="42" max="42" width="9" style="4" bestFit="1" customWidth="1"/>
    <col min="43" max="43" width="10.53515625" style="4" bestFit="1" customWidth="1"/>
    <col min="44" max="44" width="9.3828125" style="4" bestFit="1" customWidth="1"/>
    <col min="45" max="45" width="11.61328125" style="4" bestFit="1" customWidth="1"/>
    <col min="46" max="46" width="8.4609375" style="4" bestFit="1" customWidth="1"/>
    <col min="47" max="47" width="9.4609375" style="4" bestFit="1" customWidth="1"/>
    <col min="48" max="48" width="9.61328125" style="4" bestFit="1" customWidth="1"/>
    <col min="49" max="49" width="11" style="4" bestFit="1" customWidth="1"/>
    <col min="50" max="50" width="9.4609375" style="4" bestFit="1" customWidth="1"/>
    <col min="51" max="52" width="9.4609375" style="4" customWidth="1"/>
    <col min="53" max="53" width="10.53515625" style="4" bestFit="1" customWidth="1"/>
    <col min="54" max="54" width="14.3828125" style="4" customWidth="1"/>
    <col min="55" max="55" width="14" style="4" customWidth="1"/>
    <col min="56" max="56" width="10.53515625" style="4" bestFit="1" customWidth="1"/>
    <col min="57" max="57" width="9.4609375" style="4" bestFit="1" customWidth="1"/>
    <col min="58" max="59" width="10.53515625" style="4" bestFit="1" customWidth="1"/>
    <col min="60" max="62" width="10.53515625" style="4" customWidth="1"/>
    <col min="63" max="63" width="9" style="4" bestFit="1" customWidth="1"/>
    <col min="64" max="64" width="10.53515625" style="4" bestFit="1" customWidth="1"/>
    <col min="65" max="65" width="9.3828125" style="4" bestFit="1" customWidth="1"/>
    <col min="66" max="66" width="11.61328125" style="4" bestFit="1" customWidth="1"/>
    <col min="67" max="67" width="8.4609375" style="4" bestFit="1" customWidth="1"/>
    <col min="68" max="68" width="9.4609375" style="4" bestFit="1" customWidth="1"/>
    <col min="69" max="69" width="9.61328125" style="4" bestFit="1" customWidth="1"/>
    <col min="70" max="70" width="11" style="4" bestFit="1" customWidth="1"/>
    <col min="71" max="71" width="9.4609375" style="4" bestFit="1" customWidth="1"/>
    <col min="72" max="73" width="9.4609375" style="4" customWidth="1"/>
    <col min="74" max="74" width="10.53515625" style="4" bestFit="1" customWidth="1"/>
    <col min="75" max="75" width="14" style="4" bestFit="1" customWidth="1"/>
    <col min="76" max="76" width="13.921875" style="4" customWidth="1"/>
    <col min="77" max="77" width="10.53515625" style="4" bestFit="1" customWidth="1"/>
    <col min="78" max="78" width="9.4609375" style="4" bestFit="1" customWidth="1"/>
    <col min="79" max="80" width="10.53515625" style="4" bestFit="1" customWidth="1"/>
    <col min="81" max="83" width="10.53515625" style="4" customWidth="1"/>
    <col min="84" max="84" width="11.4609375" style="4"/>
    <col min="85" max="85" width="10.53515625" style="4" bestFit="1" customWidth="1"/>
    <col min="86" max="86" width="9.3828125" style="4" bestFit="1" customWidth="1"/>
    <col min="87" max="87" width="11.61328125" style="4" bestFit="1" customWidth="1"/>
    <col min="88" max="88" width="8.4609375" style="4" bestFit="1" customWidth="1"/>
    <col min="89" max="89" width="9.4609375" style="4" bestFit="1" customWidth="1"/>
    <col min="90" max="90" width="9.61328125" style="4" bestFit="1" customWidth="1"/>
    <col min="91" max="91" width="11" style="4" bestFit="1" customWidth="1"/>
    <col min="92" max="92" width="9.4609375" style="4" bestFit="1" customWidth="1"/>
    <col min="93" max="94" width="9.4609375" style="4" customWidth="1"/>
    <col min="95" max="95" width="11.4609375" style="4"/>
    <col min="96" max="97" width="14" style="4" customWidth="1"/>
    <col min="98" max="98" width="10.53515625" style="4" bestFit="1" customWidth="1"/>
    <col min="99" max="99" width="9.4609375" style="4" bestFit="1" customWidth="1"/>
    <col min="100" max="101" width="10.53515625" style="4" bestFit="1" customWidth="1"/>
    <col min="102" max="104" width="10.53515625" style="4" customWidth="1"/>
    <col min="105" max="105" width="9" style="4" bestFit="1" customWidth="1"/>
    <col min="106" max="106" width="10.53515625" style="4" bestFit="1" customWidth="1"/>
    <col min="107" max="107" width="9.3828125" style="4" bestFit="1" customWidth="1"/>
    <col min="108" max="108" width="11.61328125" style="4" bestFit="1" customWidth="1"/>
    <col min="109" max="109" width="8.4609375" style="4" bestFit="1" customWidth="1"/>
    <col min="110" max="110" width="9.4609375" style="4" bestFit="1" customWidth="1"/>
    <col min="111" max="111" width="9.61328125" style="4" bestFit="1" customWidth="1"/>
    <col min="112" max="112" width="11" style="4" bestFit="1" customWidth="1"/>
    <col min="113" max="113" width="9.4609375" style="4" bestFit="1" customWidth="1"/>
    <col min="114" max="115" width="9.4609375" style="4" customWidth="1"/>
    <col min="116" max="116" width="10.53515625" style="4" bestFit="1" customWidth="1"/>
    <col min="117" max="117" width="14.3828125" style="4" customWidth="1"/>
    <col min="118" max="118" width="14" style="4" bestFit="1" customWidth="1"/>
    <col min="119" max="119" width="10.53515625" style="4" bestFit="1" customWidth="1"/>
    <col min="120" max="120" width="9.4609375" style="4" bestFit="1" customWidth="1"/>
    <col min="121" max="122" width="10.53515625" style="4" bestFit="1" customWidth="1"/>
    <col min="123" max="125" width="10.53515625" style="4" customWidth="1"/>
    <col min="126" max="126" width="9" style="4" bestFit="1" customWidth="1"/>
    <col min="127" max="127" width="10.53515625" style="4" bestFit="1" customWidth="1"/>
    <col min="128" max="128" width="9.3828125" style="4" bestFit="1" customWidth="1"/>
    <col min="129" max="129" width="11.61328125" style="4" bestFit="1" customWidth="1"/>
    <col min="130" max="130" width="8.4609375" style="4" bestFit="1" customWidth="1"/>
    <col min="131" max="131" width="9.4609375" style="4" bestFit="1" customWidth="1"/>
    <col min="132" max="132" width="9.61328125" style="4" bestFit="1" customWidth="1"/>
    <col min="133" max="133" width="11" style="4" bestFit="1" customWidth="1"/>
    <col min="134" max="134" width="9.4609375" style="4" bestFit="1" customWidth="1"/>
    <col min="135" max="136" width="9.4609375" style="4" customWidth="1"/>
    <col min="137" max="137" width="10.53515625" style="4" bestFit="1" customWidth="1"/>
    <col min="138" max="139" width="14" style="4" customWidth="1"/>
    <col min="140" max="140" width="10.53515625" style="4" bestFit="1" customWidth="1"/>
    <col min="141" max="141" width="9.4609375" style="4" bestFit="1" customWidth="1"/>
    <col min="142" max="143" width="10.53515625" style="4" bestFit="1" customWidth="1"/>
    <col min="144" max="146" width="10.53515625" style="4" customWidth="1"/>
    <col min="147" max="147" width="9" style="4" bestFit="1" customWidth="1"/>
    <col min="148" max="148" width="10.53515625" style="4" bestFit="1" customWidth="1"/>
    <col min="149" max="149" width="9.3828125" style="4" bestFit="1" customWidth="1"/>
    <col min="150" max="150" width="11.61328125" style="4" bestFit="1" customWidth="1"/>
    <col min="151" max="151" width="8.4609375" style="4" bestFit="1" customWidth="1"/>
    <col min="152" max="152" width="9.4609375" style="4" bestFit="1" customWidth="1"/>
    <col min="153" max="153" width="9.61328125" style="4" bestFit="1" customWidth="1"/>
    <col min="154" max="154" width="11" style="4" bestFit="1" customWidth="1"/>
    <col min="155" max="155" width="9.4609375" style="4" bestFit="1" customWidth="1"/>
    <col min="156" max="157" width="9.4609375" style="4" customWidth="1"/>
    <col min="158" max="158" width="11.4609375" style="4"/>
    <col min="159" max="160" width="14" style="4" bestFit="1" customWidth="1"/>
    <col min="161" max="161" width="10.53515625" style="4" bestFit="1" customWidth="1"/>
    <col min="162" max="162" width="9.4609375" style="4" bestFit="1" customWidth="1"/>
    <col min="163" max="164" width="10.53515625" style="4" bestFit="1" customWidth="1"/>
    <col min="165" max="167" width="10.53515625" style="4" customWidth="1"/>
    <col min="168" max="168" width="9" style="4" bestFit="1" customWidth="1"/>
    <col min="169" max="169" width="10.53515625" style="4" bestFit="1" customWidth="1"/>
    <col min="170" max="170" width="9.3828125" style="4" bestFit="1" customWidth="1"/>
    <col min="171" max="171" width="11.61328125" style="4" bestFit="1" customWidth="1"/>
    <col min="172" max="172" width="8.07421875" style="4" bestFit="1" customWidth="1"/>
    <col min="173" max="173" width="9.4609375" style="4" bestFit="1" customWidth="1"/>
    <col min="174" max="174" width="9.61328125" style="4" bestFit="1" customWidth="1"/>
    <col min="175" max="175" width="11" style="4" bestFit="1" customWidth="1"/>
    <col min="176" max="176" width="9.4609375" style="4" bestFit="1" customWidth="1"/>
    <col min="177" max="178" width="9.4609375" style="4" customWidth="1"/>
    <col min="179" max="179" width="10.53515625" style="4" bestFit="1" customWidth="1"/>
    <col min="180" max="181" width="14" style="4" bestFit="1" customWidth="1"/>
    <col min="182" max="182" width="10.53515625" style="4" bestFit="1" customWidth="1"/>
    <col min="183" max="183" width="9.4609375" style="4" bestFit="1" customWidth="1"/>
    <col min="184" max="185" width="10.53515625" style="4" bestFit="1" customWidth="1"/>
    <col min="186" max="188" width="10.53515625" style="4" customWidth="1"/>
    <col min="189" max="189" width="9" style="4" bestFit="1" customWidth="1"/>
    <col min="190" max="190" width="10.53515625" style="4" bestFit="1" customWidth="1"/>
    <col min="191" max="191" width="9.3828125" style="4" bestFit="1" customWidth="1"/>
    <col min="192" max="192" width="11.4609375" style="4"/>
    <col min="193" max="193" width="8.4609375" style="4" bestFit="1" customWidth="1"/>
    <col min="194" max="194" width="9.4609375" style="4" bestFit="1" customWidth="1"/>
    <col min="195" max="195" width="9.61328125" style="4" bestFit="1" customWidth="1"/>
    <col min="196" max="196" width="11" style="4" bestFit="1" customWidth="1"/>
    <col min="197" max="197" width="9.4609375" style="4" bestFit="1" customWidth="1"/>
    <col min="198" max="199" width="9.4609375" style="4" customWidth="1"/>
    <col min="200" max="200" width="10.53515625" style="4" bestFit="1" customWidth="1"/>
    <col min="201" max="201" width="14" style="4" customWidth="1"/>
    <col min="202" max="202" width="14.3828125" style="4" customWidth="1"/>
    <col min="203" max="203" width="10.53515625" style="4" bestFit="1" customWidth="1"/>
    <col min="204" max="204" width="9.4609375" style="4" bestFit="1" customWidth="1"/>
    <col min="205" max="206" width="10.53515625" style="4" bestFit="1" customWidth="1"/>
    <col min="207" max="209" width="10.53515625" style="4" customWidth="1"/>
    <col min="210" max="210" width="9" style="4" bestFit="1" customWidth="1"/>
    <col min="211" max="211" width="10.53515625" style="4" bestFit="1" customWidth="1"/>
    <col min="212" max="212" width="9.3828125" style="4" bestFit="1" customWidth="1"/>
    <col min="213" max="213" width="11.61328125" style="4" bestFit="1" customWidth="1"/>
    <col min="214" max="214" width="8.4609375" style="4" bestFit="1" customWidth="1"/>
    <col min="215" max="215" width="9.4609375" style="4" bestFit="1" customWidth="1"/>
    <col min="216" max="216" width="9.61328125" style="4" bestFit="1" customWidth="1"/>
    <col min="217" max="217" width="11" style="4" bestFit="1" customWidth="1"/>
    <col min="218" max="218" width="9.4609375" style="4" bestFit="1" customWidth="1"/>
    <col min="219" max="16384" width="11.4609375" style="4"/>
  </cols>
  <sheetData>
    <row r="1" spans="1:218" ht="26.6" thickBot="1" x14ac:dyDescent="0.7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pubescent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chevelu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Erable champêtre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vert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Cormier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Erable sycomore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Cèdre de l'Atlas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Bouleau verruqueux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75" thickBot="1" x14ac:dyDescent="0.4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706.69239849991595</v>
      </c>
      <c r="T3" s="59">
        <f>IF('Données projet'!E9&gt;30,$R$33-$H$33,LOOKUP('Données projet'!$E$9,$A$3:$A$203,R3:R203)-LOOKUP('Données projet'!$E$9,$A$3:$A$203,$H$3:$H$203))</f>
        <v>310.59887275116529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239.26156489359892</v>
      </c>
      <c r="AO3" s="59">
        <f>IF('Données projet'!E10&gt;30,$AM$33-$H$33,LOOKUP('Données projet'!$E$10,$A$3:$A$203,AM3:AM203)-LOOKUP('Données projet'!$E$10,$A$3:$A$203,$H$3:$H$203))</f>
        <v>213.97034450798111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324.86930206492627</v>
      </c>
      <c r="BJ3" s="59">
        <f>IF('Données projet'!E11&gt;30,$BH$33-$H$33,LOOKUP('Données projet'!$E$11,$A$3:$A$203,BH3:BH203)-LOOKUP('Données projet'!$E$11,$A$3:$A$203,$H$3:$H$203))</f>
        <v>317.03005098025352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593.28343396240075</v>
      </c>
      <c r="CE3" s="59">
        <f>IF('Données projet'!E12&gt;30,$CC$33-$H$33,LOOKUP('Données projet'!$E$12,$A$3:$A$203,CC3:CC203)-LOOKUP('Données projet'!$E$12,$A$3:$A$203,$H$3:$H$203))</f>
        <v>289.66477662068695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747.18304127457918</v>
      </c>
      <c r="CZ3" s="59">
        <f>IF('Données projet'!E13&gt;30,$CX$33-$H$33,LOOKUP('Données projet'!$E$13,$A$3:$A$203,CX3:CX203)-LOOKUP('Données projet'!$E$13,$A$3:$A$203,$H$3:$H$203))</f>
        <v>327.03701004966723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353.37479213497227</v>
      </c>
      <c r="DU3" s="59">
        <f>IF('Données projet'!E14&gt;30,$DS$33-$H$33,LOOKUP('Données projet'!$E$14,$A$3:$A$203,DS3:DS203)-LOOKUP('Données projet'!$E$14,$A$3:$A$203,$H$3:$H$203))</f>
        <v>345.4750813433123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433.05041777893922</v>
      </c>
      <c r="EP3" s="59">
        <f>IF('Données projet'!E15&gt;30,$EN$33-$H$33,LOOKUP('Données projet'!$E$15,$A$3:$A$203,EN3:EN203)-LOOKUP('Données projet'!$E$15,$A$3:$A$203,$H$3:$H$203))</f>
        <v>591.24088611958996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159.4660488566085</v>
      </c>
      <c r="FK3" s="59">
        <f>IF('Données projet'!E16&gt;30,$FI$33-$H$33,LOOKUP('Données projet'!$E$16,$A$3:$A$203,FI3:FI203)-LOOKUP('Données projet'!$E$16,$A$3:$A$203,$H$3:$H$203))</f>
        <v>135.33030558297088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4.0942857142857143</v>
      </c>
      <c r="N4" s="13">
        <f>IF('Données projet'!$A$36&gt;35,N3+M4-V3,IF(A4&lt;'Données projet'!$A$36,$K$205^A4,IF(A4='Données projet'!$A$36,'Données projet'!$B$36,N3+M4-V3)))</f>
        <v>4.0942857142857143</v>
      </c>
      <c r="O4" s="13">
        <f>N4*VLOOKUP('Données projet'!$B$9,Paramètres!$A$1:$I$89,3,0)*VLOOKUP('Données projet'!$B$9,Paramètres!$A$1:$I$89,5,0)</f>
        <v>4.151605714285715</v>
      </c>
      <c r="P4" s="13">
        <f>EXP(-1.0587+0.8836*LN(O4)+0.284)</f>
        <v>1.6210925568488095</v>
      </c>
      <c r="Q4" s="20">
        <f t="shared" ref="Q4:Q34" si="2">(O4+P4)*0.475*44/12</f>
        <v>10.054116155559297</v>
      </c>
      <c r="R4" s="59">
        <f t="shared" si="0"/>
        <v>267.94300504444817</v>
      </c>
      <c r="S4" s="59">
        <f ca="1">AVERAGE(OFFSET($R$3,0,0,'Données projet'!$E$9+1,1))-AVERAGE(OFFSET($H$3,0,0,'Données projet'!$E$9+1,1))</f>
        <v>706.69239849991595</v>
      </c>
      <c r="T4" s="59">
        <f>$T$3</f>
        <v>310.59887275116529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1.1538461538461537</v>
      </c>
      <c r="AI4" s="13">
        <f>IF('Données projet'!$A$62&gt;35,AI3+AH4-AQ3,IF(A4&lt;'Données projet'!$A$62,$AF$205^A4,IF(A4='Données projet'!$A$62,'Données projet'!$B$62,AI3+AH4-AQ3)))</f>
        <v>1.2770702581475548</v>
      </c>
      <c r="AJ4" s="13">
        <f>AI4*VLOOKUP('Données projet'!$B$10,Paramètres!$A$1:$I$89,3,0)*VLOOKUP('Données projet'!$B$10,Paramètres!$A$1:$I$89,5,0)</f>
        <v>1.3347938338158245</v>
      </c>
      <c r="AK4" s="13">
        <f>EXP(-1.0587+0.8836*LN(AJ4)+0.284)</f>
        <v>0.59479600746513583</v>
      </c>
      <c r="AL4" s="20">
        <f t="shared" ref="AL4:AL67" si="4">(AJ4+AK4)*0.475*44/12</f>
        <v>3.3607023068976729</v>
      </c>
      <c r="AM4" s="59">
        <f t="shared" ref="AM4:AM67" si="5">AL4+(AD4+AE4)*44/12</f>
        <v>261.24959119578654</v>
      </c>
      <c r="AN4" s="59">
        <f ca="1">AVERAGE(OFFSET($AM$3,0,0,'Données projet'!$E$10+1,1))-AVERAGE(OFFSET($H$3,0,0,'Données projet'!$E$10+1,1))</f>
        <v>239.26156489359892</v>
      </c>
      <c r="AO4" s="59">
        <f>$AO$3</f>
        <v>213.97034450798111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2.4666666666666668</v>
      </c>
      <c r="BD4" s="12">
        <f>IF('Données projet'!$A$88&gt;35,BD3+BC4-BL3,IF(A4&lt;'Données projet'!$A$88,$BA$205^A4,IF(A4='Données projet'!$A$88,'Données projet'!$B$88,BD3+BC4-BL3)))</f>
        <v>1.2721747796233518</v>
      </c>
      <c r="BE4" s="13">
        <f>BD4*VLOOKUP('Données projet'!$B$11,Paramètres!$A$1:$I$89,3,0)*VLOOKUP('Données projet'!$B$11,Paramètres!$A$1:$I$89,5,0)</f>
        <v>1.1113718874789602</v>
      </c>
      <c r="BF4" s="13">
        <f>EXP(-1.0587+0.8836*LN(BE4)+0.284)</f>
        <v>0.5059102014681881</v>
      </c>
      <c r="BG4" s="20">
        <f t="shared" ref="BG4:BG67" si="7">(BE4+BF4)*0.475*44/12</f>
        <v>2.8167663049162832</v>
      </c>
      <c r="BH4" s="59">
        <f t="shared" ref="BH4:BH67" si="8">BG4+(AY4+AZ4)*44/12</f>
        <v>260.70565519380511</v>
      </c>
      <c r="BI4" s="59">
        <f ca="1">AVERAGE(OFFSET($BH$3,0,0,'Données projet'!$E$11+1,1))-AVERAGE(OFFSET($H$3,0,0,'Données projet'!$E$11+1,1))</f>
        <v>324.86930206492627</v>
      </c>
      <c r="BJ4" s="59">
        <f>$BJ$3</f>
        <v>317.03005098025352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3.3603333333333336</v>
      </c>
      <c r="BY4" s="12">
        <f>IF('Données projet'!$A$114&gt;35,BY3+BX4-CG3,IF(A4&lt;'Données projet'!$A$114,$BV$205^A4,IF(A4='Données projet'!$A$114,'Données projet'!$B$114,BY3+BX4-CG3)))</f>
        <v>3.3603333333333336</v>
      </c>
      <c r="BZ4" s="13">
        <f>BY4*VLOOKUP('Données projet'!$B$12,Paramètres!$A$1:$I$89,3,0)*VLOOKUP('Données projet'!$B$12,Paramètres!$A$1:$I$89,5,0)</f>
        <v>3.8267476000000005</v>
      </c>
      <c r="CA4" s="13">
        <f>EXP(-1.0587+0.8836*LN(BZ4)+0.284)</f>
        <v>1.5084832510605695</v>
      </c>
      <c r="CB4" s="20">
        <f t="shared" ref="CB4:CB67" si="10">(BZ4+CA4)*0.475*44/12</f>
        <v>9.2921937322638239</v>
      </c>
      <c r="CC4" s="59">
        <f t="shared" ref="CC4:CC67" si="11">CB4+(BT4+BU4)*44/12</f>
        <v>267.18108262115265</v>
      </c>
      <c r="CD4" s="59">
        <f ca="1">AVERAGE(OFFSET($CC$3,0,0,'Données projet'!$E$12+1,1))-AVERAGE(OFFSET($H$3,0,0,'Données projet'!$E$12+1,1))</f>
        <v>593.28343396240075</v>
      </c>
      <c r="CE4" s="59">
        <f>$CE$3</f>
        <v>289.66477662068695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4.0942857142857143</v>
      </c>
      <c r="CT4" s="12">
        <f>IF('Données projet'!$A$140&gt;35,CT3+CS4-DB3,IF(A4&lt;'Données projet'!$A$140,$CQ$205^A4,IF(A4='Données projet'!$A$140,'Données projet'!$B$140,CT3+CS4-DB3)))</f>
        <v>4.0942857142857143</v>
      </c>
      <c r="CU4" s="17">
        <f>CT4*VLOOKUP('Données projet'!$B$13,Paramètres!$A$1:$I$89,3,0)*VLOOKUP('Données projet'!$B$13,Paramètres!$A$1:$I$89,5,0)</f>
        <v>4.407089142857143</v>
      </c>
      <c r="CV4" s="13">
        <f>EXP(-1.0587+0.8836*LN(CU4)+0.284)</f>
        <v>1.7089313873919469</v>
      </c>
      <c r="CW4" s="20">
        <f t="shared" ref="CW4:CW67" si="13">(CU4+CV4)*0.475*44/12</f>
        <v>10.652069090183831</v>
      </c>
      <c r="CX4" s="59">
        <f t="shared" ref="CX4:CX67" si="14">CW4+(CO4+CP4)*44/12</f>
        <v>268.54095797907269</v>
      </c>
      <c r="CY4" s="59">
        <f ca="1">AVERAGE(OFFSET($CX$3,0,0,'Données projet'!$E$13+1,1))-AVERAGE(OFFSET($H$3,0,0,'Données projet'!$E$13+1,1))</f>
        <v>747.18304127457918</v>
      </c>
      <c r="CZ4" s="59">
        <f>$CZ$3</f>
        <v>327.03701004966723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4.333333333333333</v>
      </c>
      <c r="DO4" s="12">
        <f>IF('Données projet'!$A$166&gt;35,DO3+DN4-DW3,IF(A4&lt;'Données projet'!$A$166,$DL$205^A4,IF(A4='Données projet'!$A$166,'Données projet'!$B$166,DO3+DN4-DW3)))</f>
        <v>1.3208724756526424</v>
      </c>
      <c r="DP4" s="17">
        <f>DO4*VLOOKUP('Données projet'!$B$14,Paramètres!$A$1:$I$89,3,0)*VLOOKUP('Données projet'!$B$14,Paramètres!$A$1:$I$89,5,0)</f>
        <v>1.0508861416292423</v>
      </c>
      <c r="DQ4" s="13">
        <f>EXP(-1.0587+0.8836*LN(DP4)+0.284)</f>
        <v>0.48150261531866312</v>
      </c>
      <c r="DR4" s="20">
        <f t="shared" ref="DR4:DR67" si="16">(DP4+DQ4)*0.475*44/12</f>
        <v>2.6689104183509347</v>
      </c>
      <c r="DS4" s="59">
        <f t="shared" ref="DS4:DS67" si="17">DR4+(DJ4+DK4)*44/12</f>
        <v>260.5577993072398</v>
      </c>
      <c r="DT4" s="59">
        <f ca="1">AVERAGE(OFFSET($DS$3,0,0,'Données projet'!$E$14+1,1))-AVERAGE(OFFSET($H$3,0,0,'Données projet'!$E$14+1,1))</f>
        <v>353.37479213497227</v>
      </c>
      <c r="DU4" s="59">
        <f>$DU$3</f>
        <v>345.4750813433123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18.265714285714285</v>
      </c>
      <c r="EJ4" s="12">
        <f>IF('Données projet'!$A$192&gt;35,EJ3+EI4-ER3,IF(A4&lt;'Données projet'!$A$192,$EG$205^A4,IF(A4='Données projet'!$A$192,'Données projet'!$B$192,EJ3+EI4-ER3)))</f>
        <v>18.265714285714285</v>
      </c>
      <c r="EK4" s="17">
        <f>EJ4*VLOOKUP('Données projet'!$B$15,Paramètres!$A$1:$I$89,3,0)*VLOOKUP('Données projet'!$B$15,Paramètres!$A$1:$I$89,5,0)</f>
        <v>8.5483542857142858</v>
      </c>
      <c r="EL4" s="13">
        <f>EXP(-1.0587+0.8836*LN(EK4)+0.284)</f>
        <v>3.0687637366500331</v>
      </c>
      <c r="EM4" s="20">
        <f t="shared" ref="EM4:EM67" si="19">(EK4+EL4)*0.475*44/12</f>
        <v>20.233147222284526</v>
      </c>
      <c r="EN4" s="59">
        <f t="shared" ref="EN4:EN67" si="20">EM4+(EE4+EF4)*44/12</f>
        <v>278.12203611117337</v>
      </c>
      <c r="EO4" s="59">
        <f ca="1">AVERAGE(OFFSET($EN$3,0,0,'Données projet'!$E$15+1,1))-AVERAGE(OFFSET($H$3,0,0,'Données projet'!$E$15+1,1))</f>
        <v>433.05041777893922</v>
      </c>
      <c r="EP4" s="59">
        <f>$EP$3</f>
        <v>591.24088611958996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1.3675213675213673</v>
      </c>
      <c r="FE4" s="12">
        <f>IF('Données projet'!$A$218&gt;35,FE3+FD4-FM3,IF(A4&lt;'Données projet'!$A$218,$FB$205^A4,IF(A4='Données projet'!$A$218,'Données projet'!$B$218,FE3+FD4-FM3)))</f>
        <v>1.2231180032570037</v>
      </c>
      <c r="FF4" s="17">
        <f>FE4*VLOOKUP('Données projet'!$B$16,Paramètres!$A$1:$I$89,3,0)*VLOOKUP('Données projet'!$B$16,Paramètres!$A$1:$I$89,5,0)</f>
        <v>0.99219332424208151</v>
      </c>
      <c r="FG4" s="13">
        <f>EXP(-1.0587+0.8836*LN(FF4)+0.284)</f>
        <v>0.45766168594626538</v>
      </c>
      <c r="FH4" s="20">
        <f t="shared" ref="FH4:FH67" si="22">(FF4+FG4)*0.475*44/12</f>
        <v>2.5251641427447038</v>
      </c>
      <c r="FI4" s="59">
        <f t="shared" ref="FI4:FI67" si="23">FH4+(EZ4+FA4)*44/12</f>
        <v>260.41405303163356</v>
      </c>
      <c r="FJ4" s="59">
        <f ca="1">AVERAGE(OFFSET($FI$3,0,0,'Données projet'!$E$16+1,1))-AVERAGE(OFFSET($H$3,0,0,'Données projet'!$E$16+1,1))</f>
        <v>159.4660488566085</v>
      </c>
      <c r="FK4" s="59">
        <f>$FK$3</f>
        <v>135.33030558297088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4.0942857142857143</v>
      </c>
      <c r="N5" s="13">
        <f>IF('Données projet'!$A$36&gt;35,N4+M5-V4,IF(A5&lt;'Données projet'!$A$36,$K$205^A5,IF(A5='Données projet'!$A$36,'Données projet'!$B$36,N4+M5-V4)))</f>
        <v>8.1885714285714286</v>
      </c>
      <c r="O5" s="13">
        <f>N5*VLOOKUP('Données projet'!$B$9,Paramètres!$A$1:$I$89,3,0)*VLOOKUP('Données projet'!$B$9,Paramètres!$A$1:$I$89,5,0)</f>
        <v>8.30321142857143</v>
      </c>
      <c r="P5" s="13">
        <f t="shared" ref="P5:P68" si="33">EXP(-1.0587+0.8836*LN(O5)+0.284)</f>
        <v>2.9908726125223399</v>
      </c>
      <c r="Q5" s="20">
        <f t="shared" si="2"/>
        <v>19.670529704904983</v>
      </c>
      <c r="R5" s="59">
        <f t="shared" si="0"/>
        <v>278.78164081601614</v>
      </c>
      <c r="S5" s="59">
        <f ca="1">AVERAGE(OFFSET($R$3,0,0,'Données projet'!$E$9+1,1))-AVERAGE(OFFSET($H$3,0,0,'Données projet'!$E$9+1,1))</f>
        <v>706.69239849991595</v>
      </c>
      <c r="T5" s="59">
        <f t="shared" ref="T5:T68" si="34">$T$3</f>
        <v>310.59887275116529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1.1538461538461537</v>
      </c>
      <c r="AI5" s="13">
        <f>IF('Données projet'!$A$62&gt;35,AI4+AH5-AQ4,IF(A5&lt;'Données projet'!$A$62,$AF$205^A5,IF(A5='Données projet'!$A$62,'Données projet'!$B$62,AI4+AH5-AQ4)))</f>
        <v>1.6309084442450623</v>
      </c>
      <c r="AJ5" s="13">
        <f>AI5*VLOOKUP('Données projet'!$B$10,Paramètres!$A$1:$I$89,3,0)*VLOOKUP('Données projet'!$B$10,Paramètres!$A$1:$I$89,5,0)</f>
        <v>1.7046255059249393</v>
      </c>
      <c r="AK5" s="13">
        <f t="shared" ref="AK5:AK68" si="35">EXP(-1.0587+0.8836*LN(AJ5)+0.284)</f>
        <v>0.7382771613827388</v>
      </c>
      <c r="AL5" s="20">
        <f t="shared" si="4"/>
        <v>4.2547221455608728</v>
      </c>
      <c r="AM5" s="59">
        <f t="shared" si="5"/>
        <v>263.36583325667203</v>
      </c>
      <c r="AN5" s="59">
        <f ca="1">AVERAGE(OFFSET($AM$3,0,0,'Données projet'!$E$10+1,1))-AVERAGE(OFFSET($H$3,0,0,'Données projet'!$E$10+1,1))</f>
        <v>239.26156489359892</v>
      </c>
      <c r="AO5" s="59">
        <f t="shared" ref="AO5:AO68" si="36">$AO$3</f>
        <v>213.97034450798111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2.4666666666666668</v>
      </c>
      <c r="BD5" s="12">
        <f>IF('Données projet'!$A$88&gt;35,BD4+BC5-BL4,IF(A5&lt;'Données projet'!$A$88,$BA$205^A5,IF(A5='Données projet'!$A$88,'Données projet'!$B$88,BD4+BC5-BL4)))</f>
        <v>1.6184286699097237</v>
      </c>
      <c r="BE5" s="13">
        <f>BD5*VLOOKUP('Données projet'!$B$11,Paramètres!$A$1:$I$89,3,0)*VLOOKUP('Données projet'!$B$11,Paramètres!$A$1:$I$89,5,0)</f>
        <v>1.4138592860331347</v>
      </c>
      <c r="BF5" s="13">
        <f t="shared" ref="BF5:BF68" si="37">EXP(-1.0587+0.8836*LN(BE5)+0.284)</f>
        <v>0.62582221171965613</v>
      </c>
      <c r="BG5" s="20">
        <f t="shared" si="7"/>
        <v>3.5524452752527771</v>
      </c>
      <c r="BH5" s="59">
        <f t="shared" si="8"/>
        <v>262.66355638636389</v>
      </c>
      <c r="BI5" s="59">
        <f ca="1">AVERAGE(OFFSET($BH$3,0,0,'Données projet'!$E$11+1,1))-AVERAGE(OFFSET($H$3,0,0,'Données projet'!$E$11+1,1))</f>
        <v>324.86930206492627</v>
      </c>
      <c r="BJ5" s="59">
        <f t="shared" ref="BJ5:BJ68" si="38">$BJ$3</f>
        <v>317.03005098025352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3.3603333333333336</v>
      </c>
      <c r="BY5" s="12">
        <f>IF('Données projet'!$A$114&gt;35,BY4+BX5-CG4,IF(A5&lt;'Données projet'!$A$114,$BV$205^A5,IF(A5='Données projet'!$A$114,'Données projet'!$B$114,BY4+BX5-CG4)))</f>
        <v>6.7206666666666672</v>
      </c>
      <c r="BZ5" s="13">
        <f>BY5*VLOOKUP('Données projet'!$B$12,Paramètres!$A$1:$I$89,3,0)*VLOOKUP('Données projet'!$B$12,Paramètres!$A$1:$I$89,5,0)</f>
        <v>7.6534952000000009</v>
      </c>
      <c r="CA5" s="13">
        <f t="shared" ref="CA5:CA68" si="39">EXP(-1.0587+0.8836*LN(BZ5)+0.284)</f>
        <v>2.7831114410986091</v>
      </c>
      <c r="CB5" s="20">
        <f t="shared" si="10"/>
        <v>18.177089899913412</v>
      </c>
      <c r="CC5" s="59">
        <f t="shared" si="11"/>
        <v>277.28820101102457</v>
      </c>
      <c r="CD5" s="59">
        <f ca="1">AVERAGE(OFFSET($CC$3,0,0,'Données projet'!$E$12+1,1))-AVERAGE(OFFSET($H$3,0,0,'Données projet'!$E$12+1,1))</f>
        <v>593.28343396240075</v>
      </c>
      <c r="CE5" s="59">
        <f t="shared" ref="CE5:CE68" si="40">$CE$3</f>
        <v>289.66477662068695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4.0942857142857143</v>
      </c>
      <c r="CT5" s="12">
        <f>IF('Données projet'!$A$140&gt;35,CT4+CS5-DB4,IF(A5&lt;'Données projet'!$A$140,$CQ$205^A5,IF(A5='Données projet'!$A$140,'Données projet'!$B$140,CT4+CS5-DB4)))</f>
        <v>8.1885714285714286</v>
      </c>
      <c r="CU5" s="17">
        <f>CT5*VLOOKUP('Données projet'!$B$13,Paramètres!$A$1:$I$89,3,0)*VLOOKUP('Données projet'!$B$13,Paramètres!$A$1:$I$89,5,0)</f>
        <v>8.8141782857142861</v>
      </c>
      <c r="CV5" s="13">
        <f t="shared" ref="CV5:CV68" si="41">EXP(-1.0587+0.8836*LN(CU5)+0.284)</f>
        <v>3.1529329165299926</v>
      </c>
      <c r="CW5" s="20">
        <f t="shared" si="13"/>
        <v>20.842718677242118</v>
      </c>
      <c r="CX5" s="59">
        <f t="shared" si="14"/>
        <v>279.95382978835323</v>
      </c>
      <c r="CY5" s="59">
        <f ca="1">AVERAGE(OFFSET($CX$3,0,0,'Données projet'!$E$13+1,1))-AVERAGE(OFFSET($H$3,0,0,'Données projet'!$E$13+1,1))</f>
        <v>747.18304127457918</v>
      </c>
      <c r="CZ5" s="59">
        <f t="shared" ref="CZ5:CZ68" si="42">$CZ$3</f>
        <v>327.03701004966723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4.333333333333333</v>
      </c>
      <c r="DO5" s="12">
        <f>IF('Données projet'!$A$166&gt;35,DO4+DN5-DW4,IF(A5&lt;'Données projet'!$A$166,$DL$205^A5,IF(A5='Données projet'!$A$166,'Données projet'!$B$166,DO4+DN5-DW4)))</f>
        <v>1.7447040969367404</v>
      </c>
      <c r="DP5" s="17">
        <f>DO5*VLOOKUP('Données projet'!$B$14,Paramètres!$A$1:$I$89,3,0)*VLOOKUP('Données projet'!$B$14,Paramètres!$A$1:$I$89,5,0)</f>
        <v>1.3880865795228707</v>
      </c>
      <c r="DQ5" s="13">
        <f t="shared" ref="DQ5:DQ68" si="43">EXP(-1.0587+0.8836*LN(DP5)+0.284)</f>
        <v>0.61573144482258502</v>
      </c>
      <c r="DR5" s="20">
        <f t="shared" si="16"/>
        <v>3.4899830590683352</v>
      </c>
      <c r="DS5" s="59">
        <f t="shared" si="17"/>
        <v>262.60109417017946</v>
      </c>
      <c r="DT5" s="59">
        <f ca="1">AVERAGE(OFFSET($DS$3,0,0,'Données projet'!$E$14+1,1))-AVERAGE(OFFSET($H$3,0,0,'Données projet'!$E$14+1,1))</f>
        <v>353.37479213497227</v>
      </c>
      <c r="DU5" s="59">
        <f t="shared" ref="DU5:DU68" si="44">$DU$3</f>
        <v>345.4750813433123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18.265714285714285</v>
      </c>
      <c r="EJ5" s="12">
        <f>IF('Données projet'!$A$192&gt;35,EJ4+EI5-ER4,IF(A5&lt;'Données projet'!$A$192,$EG$205^A5,IF(A5='Données projet'!$A$192,'Données projet'!$B$192,EJ4+EI5-ER4)))</f>
        <v>36.53142857142857</v>
      </c>
      <c r="EK5" s="17">
        <f>EJ5*VLOOKUP('Données projet'!$B$15,Paramètres!$A$1:$I$89,3,0)*VLOOKUP('Données projet'!$B$15,Paramètres!$A$1:$I$89,5,0)</f>
        <v>17.096708571428572</v>
      </c>
      <c r="EL5" s="13">
        <f t="shared" ref="EL5:EL68" si="45">EXP(-1.0587+0.8836*LN(EK5)+0.284)</f>
        <v>5.6617874010165554</v>
      </c>
      <c r="EM5" s="20">
        <f t="shared" si="19"/>
        <v>39.637713818675259</v>
      </c>
      <c r="EN5" s="59">
        <f t="shared" si="20"/>
        <v>298.74882492978639</v>
      </c>
      <c r="EO5" s="59">
        <f ca="1">AVERAGE(OFFSET($EN$3,0,0,'Données projet'!$E$15+1,1))-AVERAGE(OFFSET($H$3,0,0,'Données projet'!$E$15+1,1))</f>
        <v>433.05041777893922</v>
      </c>
      <c r="EP5" s="59">
        <f t="shared" ref="EP5:EP68" si="46">$EP$3</f>
        <v>591.24088611958996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1.3675213675213673</v>
      </c>
      <c r="FE5" s="12">
        <f>IF('Données projet'!$A$218&gt;35,FE4+FD5-FM4,IF(A5&lt;'Données projet'!$A$218,$FB$205^A5,IF(A5='Données projet'!$A$218,'Données projet'!$B$218,FE4+FD5-FM4)))</f>
        <v>1.4960176498913997</v>
      </c>
      <c r="FF5" s="17">
        <f>FE5*VLOOKUP('Données projet'!$B$16,Paramètres!$A$1:$I$89,3,0)*VLOOKUP('Données projet'!$B$16,Paramètres!$A$1:$I$89,5,0)</f>
        <v>1.2135695175919035</v>
      </c>
      <c r="FG5" s="13">
        <f t="shared" ref="FG5:FG68" si="47">EXP(-1.0587+0.8836*LN(FF5)+0.284)</f>
        <v>0.54680389294081433</v>
      </c>
      <c r="FH5" s="20">
        <f t="shared" si="22"/>
        <v>3.0659836900111501</v>
      </c>
      <c r="FI5" s="59">
        <f t="shared" si="23"/>
        <v>262.17709480112228</v>
      </c>
      <c r="FJ5" s="59">
        <f ca="1">AVERAGE(OFFSET($FI$3,0,0,'Données projet'!$E$16+1,1))-AVERAGE(OFFSET($H$3,0,0,'Données projet'!$E$16+1,1))</f>
        <v>159.4660488566085</v>
      </c>
      <c r="FK5" s="59">
        <f t="shared" ref="FK5:FK68" si="48">$FK$3</f>
        <v>135.33030558297088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4.0942857142857143</v>
      </c>
      <c r="N6" s="13">
        <f>IF('Données projet'!$A$36&gt;35,N5+M6-V5,IF(A6&lt;'Données projet'!$A$36,$K$205^A6,IF(A6='Données projet'!$A$36,'Données projet'!$B$36,N5+M6-V5)))</f>
        <v>12.282857142857143</v>
      </c>
      <c r="O6" s="13">
        <f>N6*VLOOKUP('Données projet'!$B$9,Paramètres!$A$1:$I$89,3,0)*VLOOKUP('Données projet'!$B$9,Paramètres!$A$1:$I$89,5,0)</f>
        <v>12.454817142857145</v>
      </c>
      <c r="P6" s="13">
        <f t="shared" si="33"/>
        <v>4.279491345414665</v>
      </c>
      <c r="Q6" s="20">
        <f t="shared" si="2"/>
        <v>29.145587283740067</v>
      </c>
      <c r="R6" s="59">
        <f t="shared" si="0"/>
        <v>289.47892061707336</v>
      </c>
      <c r="S6" s="59">
        <f ca="1">AVERAGE(OFFSET($R$3,0,0,'Données projet'!$E$9+1,1))-AVERAGE(OFFSET($H$3,0,0,'Données projet'!$E$9+1,1))</f>
        <v>706.69239849991595</v>
      </c>
      <c r="T6" s="59">
        <f t="shared" si="34"/>
        <v>310.59887275116529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1.1538461538461537</v>
      </c>
      <c r="AI6" s="13">
        <f>IF('Données projet'!$A$62&gt;35,AI5+AH6-AQ5,IF(A6&lt;'Données projet'!$A$62,$AF$205^A6,IF(A6='Données projet'!$A$62,'Données projet'!$B$62,AI5+AH6-AQ5)))</f>
        <v>2.082784667907069</v>
      </c>
      <c r="AJ6" s="13">
        <f>AI6*VLOOKUP('Données projet'!$B$10,Paramètres!$A$1:$I$89,3,0)*VLOOKUP('Données projet'!$B$10,Paramètres!$A$1:$I$89,5,0)</f>
        <v>2.1769265348964688</v>
      </c>
      <c r="AK6" s="13">
        <f t="shared" si="35"/>
        <v>0.9163699153634669</v>
      </c>
      <c r="AL6" s="20">
        <f t="shared" si="4"/>
        <v>5.3874913175360541</v>
      </c>
      <c r="AM6" s="59">
        <f t="shared" si="5"/>
        <v>265.72082465086936</v>
      </c>
      <c r="AN6" s="59">
        <f ca="1">AVERAGE(OFFSET($AM$3,0,0,'Données projet'!$E$10+1,1))-AVERAGE(OFFSET($H$3,0,0,'Données projet'!$E$10+1,1))</f>
        <v>239.26156489359892</v>
      </c>
      <c r="AO6" s="59">
        <f t="shared" si="36"/>
        <v>213.97034450798111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2.4666666666666668</v>
      </c>
      <c r="BD6" s="12">
        <f>IF('Données projet'!$A$88&gt;35,BD5+BC6-BL5,IF(A6&lt;'Données projet'!$A$88,$BA$205^A6,IF(A6='Données projet'!$A$88,'Données projet'!$B$88,BD5+BC6-BL5)))</f>
        <v>2.0589241364785171</v>
      </c>
      <c r="BE6" s="13">
        <f>BD6*VLOOKUP('Données projet'!$B$11,Paramètres!$A$1:$I$89,3,0)*VLOOKUP('Données projet'!$B$11,Paramètres!$A$1:$I$89,5,0)</f>
        <v>1.7986761256276329</v>
      </c>
      <c r="BF6" s="13">
        <f t="shared" si="37"/>
        <v>0.77415604497611523</v>
      </c>
      <c r="BG6" s="20">
        <f t="shared" si="7"/>
        <v>4.4810160304681945</v>
      </c>
      <c r="BH6" s="59">
        <f t="shared" si="8"/>
        <v>264.81434936380151</v>
      </c>
      <c r="BI6" s="59">
        <f ca="1">AVERAGE(OFFSET($BH$3,0,0,'Données projet'!$E$11+1,1))-AVERAGE(OFFSET($H$3,0,0,'Données projet'!$E$11+1,1))</f>
        <v>324.86930206492627</v>
      </c>
      <c r="BJ6" s="59">
        <f t="shared" si="38"/>
        <v>317.03005098025352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3.3603333333333336</v>
      </c>
      <c r="BY6" s="12">
        <f>IF('Données projet'!$A$114&gt;35,BY5+BX6-CG5,IF(A6&lt;'Données projet'!$A$114,$BV$205^A6,IF(A6='Données projet'!$A$114,'Données projet'!$B$114,BY5+BX6-CG5)))</f>
        <v>10.081000000000001</v>
      </c>
      <c r="BZ6" s="13">
        <f>BY6*VLOOKUP('Données projet'!$B$12,Paramètres!$A$1:$I$89,3,0)*VLOOKUP('Données projet'!$B$12,Paramètres!$A$1:$I$89,5,0)</f>
        <v>11.480242800000001</v>
      </c>
      <c r="CA6" s="13">
        <f t="shared" si="39"/>
        <v>3.9822161852161009</v>
      </c>
      <c r="CB6" s="20">
        <f t="shared" si="10"/>
        <v>26.930449399251376</v>
      </c>
      <c r="CC6" s="59">
        <f t="shared" si="11"/>
        <v>287.26378273258467</v>
      </c>
      <c r="CD6" s="59">
        <f ca="1">AVERAGE(OFFSET($CC$3,0,0,'Données projet'!$E$12+1,1))-AVERAGE(OFFSET($H$3,0,0,'Données projet'!$E$12+1,1))</f>
        <v>593.28343396240075</v>
      </c>
      <c r="CE6" s="59">
        <f t="shared" si="40"/>
        <v>289.66477662068695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4.0942857142857143</v>
      </c>
      <c r="CT6" s="12">
        <f>IF('Données projet'!$A$140&gt;35,CT5+CS6-DB5,IF(A6&lt;'Données projet'!$A$140,$CQ$205^A6,IF(A6='Données projet'!$A$140,'Données projet'!$B$140,CT5+CS6-DB5)))</f>
        <v>12.282857142857143</v>
      </c>
      <c r="CU6" s="17">
        <f>CT6*VLOOKUP('Données projet'!$B$13,Paramètres!$A$1:$I$89,3,0)*VLOOKUP('Données projet'!$B$13,Paramètres!$A$1:$I$89,5,0)</f>
        <v>13.221267428571428</v>
      </c>
      <c r="CV6" s="13">
        <f t="shared" si="41"/>
        <v>4.5113754000990003</v>
      </c>
      <c r="CW6" s="20">
        <f t="shared" si="13"/>
        <v>30.884352926600993</v>
      </c>
      <c r="CX6" s="59">
        <f t="shared" si="14"/>
        <v>291.21768625993428</v>
      </c>
      <c r="CY6" s="59">
        <f ca="1">AVERAGE(OFFSET($CX$3,0,0,'Données projet'!$E$13+1,1))-AVERAGE(OFFSET($H$3,0,0,'Données projet'!$E$13+1,1))</f>
        <v>747.18304127457918</v>
      </c>
      <c r="CZ6" s="59">
        <f t="shared" si="42"/>
        <v>327.03701004966723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4.333333333333333</v>
      </c>
      <c r="DO6" s="12">
        <f>IF('Données projet'!$A$166&gt;35,DO5+DN6-DW5,IF(A6&lt;'Données projet'!$A$166,$DL$205^A6,IF(A6='Données projet'!$A$166,'Données projet'!$B$166,DO5+DN6-DW5)))</f>
        <v>2.3045316198021402</v>
      </c>
      <c r="DP6" s="17">
        <f>DO6*VLOOKUP('Données projet'!$B$14,Paramètres!$A$1:$I$89,3,0)*VLOOKUP('Données projet'!$B$14,Paramètres!$A$1:$I$89,5,0)</f>
        <v>1.833485356714583</v>
      </c>
      <c r="DQ6" s="13">
        <f t="shared" si="43"/>
        <v>0.78737934142351296</v>
      </c>
      <c r="DR6" s="20">
        <f t="shared" si="16"/>
        <v>4.5646726825905164</v>
      </c>
      <c r="DS6" s="59">
        <f t="shared" si="17"/>
        <v>264.89800601592384</v>
      </c>
      <c r="DT6" s="59">
        <f ca="1">AVERAGE(OFFSET($DS$3,0,0,'Données projet'!$E$14+1,1))-AVERAGE(OFFSET($H$3,0,0,'Données projet'!$E$14+1,1))</f>
        <v>353.37479213497227</v>
      </c>
      <c r="DU6" s="59">
        <f t="shared" si="44"/>
        <v>345.4750813433123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18.265714285714285</v>
      </c>
      <c r="EJ6" s="12">
        <f>IF('Données projet'!$A$192&gt;35,EJ5+EI6-ER5,IF(A6&lt;'Données projet'!$A$192,$EG$205^A6,IF(A6='Données projet'!$A$192,'Données projet'!$B$192,EJ5+EI6-ER5)))</f>
        <v>54.797142857142859</v>
      </c>
      <c r="EK6" s="17">
        <f>EJ6*VLOOKUP('Données projet'!$B$15,Paramètres!$A$1:$I$89,3,0)*VLOOKUP('Données projet'!$B$15,Paramètres!$A$1:$I$89,5,0)</f>
        <v>25.645062857142857</v>
      </c>
      <c r="EL6" s="13">
        <f t="shared" si="45"/>
        <v>8.1011709026932497</v>
      </c>
      <c r="EM6" s="20">
        <f t="shared" si="19"/>
        <v>58.774690465047883</v>
      </c>
      <c r="EN6" s="59">
        <f t="shared" si="20"/>
        <v>319.10802379838117</v>
      </c>
      <c r="EO6" s="59">
        <f ca="1">AVERAGE(OFFSET($EN$3,0,0,'Données projet'!$E$15+1,1))-AVERAGE(OFFSET($H$3,0,0,'Données projet'!$E$15+1,1))</f>
        <v>433.05041777893922</v>
      </c>
      <c r="EP6" s="59">
        <f t="shared" si="46"/>
        <v>591.24088611958996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1.3675213675213673</v>
      </c>
      <c r="FE6" s="12">
        <f>IF('Données projet'!$A$218&gt;35,FE5+FD6-FM5,IF(A6&lt;'Données projet'!$A$218,$FB$205^A6,IF(A6='Données projet'!$A$218,'Données projet'!$B$218,FE5+FD6-FM5)))</f>
        <v>1.8298061207724041</v>
      </c>
      <c r="FF6" s="17">
        <f>FE6*VLOOKUP('Données projet'!$B$16,Paramètres!$A$1:$I$89,3,0)*VLOOKUP('Données projet'!$B$16,Paramètres!$A$1:$I$89,5,0)</f>
        <v>1.4843387251705742</v>
      </c>
      <c r="FG6" s="13">
        <f t="shared" si="47"/>
        <v>0.65330899770870265</v>
      </c>
      <c r="FH6" s="20">
        <f t="shared" si="22"/>
        <v>3.72306978401474</v>
      </c>
      <c r="FI6" s="59">
        <f t="shared" si="23"/>
        <v>264.05640311734805</v>
      </c>
      <c r="FJ6" s="59">
        <f ca="1">AVERAGE(OFFSET($FI$3,0,0,'Données projet'!$E$16+1,1))-AVERAGE(OFFSET($H$3,0,0,'Données projet'!$E$16+1,1))</f>
        <v>159.4660488566085</v>
      </c>
      <c r="FK6" s="59">
        <f t="shared" si="48"/>
        <v>135.33030558297088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4.0942857142857143</v>
      </c>
      <c r="N7" s="13">
        <f>IF('Données projet'!$A$36&gt;35,N6+M7-V6,IF(A7&lt;'Données projet'!$A$36,$K$205^A7,IF(A7='Données projet'!$A$36,'Données projet'!$B$36,N6+M7-V6)))</f>
        <v>16.377142857142857</v>
      </c>
      <c r="O7" s="13">
        <f>N7*VLOOKUP('Données projet'!$B$9,Paramètres!$A$1:$I$89,3,0)*VLOOKUP('Données projet'!$B$9,Paramètres!$A$1:$I$89,5,0)</f>
        <v>16.60642285714286</v>
      </c>
      <c r="P7" s="13">
        <f t="shared" si="33"/>
        <v>5.5180803505289857</v>
      </c>
      <c r="Q7" s="20">
        <f t="shared" si="2"/>
        <v>38.533509753361791</v>
      </c>
      <c r="R7" s="59">
        <f t="shared" si="0"/>
        <v>300.08906530891733</v>
      </c>
      <c r="S7" s="59">
        <f ca="1">AVERAGE(OFFSET($R$3,0,0,'Données projet'!$E$9+1,1))-AVERAGE(OFFSET($H$3,0,0,'Données projet'!$E$9+1,1))</f>
        <v>706.69239849991595</v>
      </c>
      <c r="T7" s="59">
        <f t="shared" si="34"/>
        <v>310.59887275116529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1.1538461538461537</v>
      </c>
      <c r="AI7" s="13">
        <f>IF('Données projet'!$A$62&gt;35,AI6+AH7-AQ6,IF(A7&lt;'Données projet'!$A$62,$AF$205^A7,IF(A7='Données projet'!$A$62,'Données projet'!$B$62,AI6+AH7-AQ6)))</f>
        <v>2.6598623535098493</v>
      </c>
      <c r="AJ7" s="13">
        <f>AI7*VLOOKUP('Données projet'!$B$10,Paramètres!$A$1:$I$89,3,0)*VLOOKUP('Données projet'!$B$10,Paramètres!$A$1:$I$89,5,0)</f>
        <v>2.7800881318884949</v>
      </c>
      <c r="AK7" s="13">
        <f t="shared" si="35"/>
        <v>1.1374235391631071</v>
      </c>
      <c r="AL7" s="20">
        <f t="shared" si="4"/>
        <v>6.822999493748207</v>
      </c>
      <c r="AM7" s="59">
        <f t="shared" si="5"/>
        <v>268.37855504930377</v>
      </c>
      <c r="AN7" s="59">
        <f ca="1">AVERAGE(OFFSET($AM$3,0,0,'Données projet'!$E$10+1,1))-AVERAGE(OFFSET($H$3,0,0,'Données projet'!$E$10+1,1))</f>
        <v>239.26156489359892</v>
      </c>
      <c r="AO7" s="59">
        <f t="shared" si="36"/>
        <v>213.97034450798111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2.4666666666666668</v>
      </c>
      <c r="BD7" s="12">
        <f>IF('Données projet'!$A$88&gt;35,BD6+BC7-BL6,IF(A7&lt;'Données projet'!$A$88,$BA$205^A7,IF(A7='Données projet'!$A$88,'Données projet'!$B$88,BD6+BC7-BL6)))</f>
        <v>2.6193113595857573</v>
      </c>
      <c r="BE7" s="13">
        <f>BD7*VLOOKUP('Données projet'!$B$11,Paramètres!$A$1:$I$89,3,0)*VLOOKUP('Données projet'!$B$11,Paramètres!$A$1:$I$89,5,0)</f>
        <v>2.2882304037341177</v>
      </c>
      <c r="BF7" s="13">
        <f t="shared" si="37"/>
        <v>0.95764830769786036</v>
      </c>
      <c r="BG7" s="20">
        <f t="shared" si="7"/>
        <v>5.6532387557440282</v>
      </c>
      <c r="BH7" s="59">
        <f t="shared" si="8"/>
        <v>267.20879431129958</v>
      </c>
      <c r="BI7" s="59">
        <f ca="1">AVERAGE(OFFSET($BH$3,0,0,'Données projet'!$E$11+1,1))-AVERAGE(OFFSET($H$3,0,0,'Données projet'!$E$11+1,1))</f>
        <v>324.86930206492627</v>
      </c>
      <c r="BJ7" s="59">
        <f t="shared" si="38"/>
        <v>317.03005098025352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3.3603333333333336</v>
      </c>
      <c r="BY7" s="12">
        <f>IF('Données projet'!$A$114&gt;35,BY6+BX7-CG6,IF(A7&lt;'Données projet'!$A$114,$BV$205^A7,IF(A7='Données projet'!$A$114,'Données projet'!$B$114,BY6+BX7-CG6)))</f>
        <v>13.441333333333334</v>
      </c>
      <c r="BZ7" s="13">
        <f>BY7*VLOOKUP('Données projet'!$B$12,Paramètres!$A$1:$I$89,3,0)*VLOOKUP('Données projet'!$B$12,Paramètres!$A$1:$I$89,5,0)</f>
        <v>15.306990400000002</v>
      </c>
      <c r="CA7" s="13">
        <f t="shared" si="39"/>
        <v>5.1347665200314268</v>
      </c>
      <c r="CB7" s="20">
        <f t="shared" si="10"/>
        <v>35.602726635721403</v>
      </c>
      <c r="CC7" s="59">
        <f t="shared" si="11"/>
        <v>297.15828219127695</v>
      </c>
      <c r="CD7" s="59">
        <f ca="1">AVERAGE(OFFSET($CC$3,0,0,'Données projet'!$E$12+1,1))-AVERAGE(OFFSET($H$3,0,0,'Données projet'!$E$12+1,1))</f>
        <v>593.28343396240075</v>
      </c>
      <c r="CE7" s="59">
        <f t="shared" si="40"/>
        <v>289.66477662068695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4.0942857142857143</v>
      </c>
      <c r="CT7" s="12">
        <f>IF('Données projet'!$A$140&gt;35,CT6+CS7-DB6,IF(A7&lt;'Données projet'!$A$140,$CQ$205^A7,IF(A7='Données projet'!$A$140,'Données projet'!$B$140,CT6+CS7-DB6)))</f>
        <v>16.377142857142857</v>
      </c>
      <c r="CU7" s="17">
        <f>CT7*VLOOKUP('Données projet'!$B$13,Paramètres!$A$1:$I$89,3,0)*VLOOKUP('Données projet'!$B$13,Paramètres!$A$1:$I$89,5,0)</f>
        <v>17.628356571428572</v>
      </c>
      <c r="CV7" s="13">
        <f t="shared" si="41"/>
        <v>5.8170772972398694</v>
      </c>
      <c r="CW7" s="20">
        <f t="shared" si="13"/>
        <v>40.834130654597537</v>
      </c>
      <c r="CX7" s="59">
        <f t="shared" si="14"/>
        <v>302.38968621015306</v>
      </c>
      <c r="CY7" s="59">
        <f ca="1">AVERAGE(OFFSET($CX$3,0,0,'Données projet'!$E$13+1,1))-AVERAGE(OFFSET($H$3,0,0,'Données projet'!$E$13+1,1))</f>
        <v>747.18304127457918</v>
      </c>
      <c r="CZ7" s="59">
        <f t="shared" si="42"/>
        <v>327.03701004966723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4.333333333333333</v>
      </c>
      <c r="DO7" s="12">
        <f>IF('Données projet'!$A$166&gt;35,DO6+DN7-DW6,IF(A7&lt;'Données projet'!$A$166,$DL$205^A7,IF(A7='Données projet'!$A$166,'Données projet'!$B$166,DO6+DN7-DW6)))</f>
        <v>3.0439923858678468</v>
      </c>
      <c r="DP7" s="17">
        <f>DO7*VLOOKUP('Données projet'!$B$14,Paramètres!$A$1:$I$89,3,0)*VLOOKUP('Données projet'!$B$14,Paramètres!$A$1:$I$89,5,0)</f>
        <v>2.4218003421964593</v>
      </c>
      <c r="DQ7" s="13">
        <f t="shared" si="43"/>
        <v>1.0068776453006392</v>
      </c>
      <c r="DR7" s="20">
        <f t="shared" si="16"/>
        <v>5.9716141615574472</v>
      </c>
      <c r="DS7" s="59">
        <f t="shared" si="17"/>
        <v>267.527169717113</v>
      </c>
      <c r="DT7" s="59">
        <f ca="1">AVERAGE(OFFSET($DS$3,0,0,'Données projet'!$E$14+1,1))-AVERAGE(OFFSET($H$3,0,0,'Données projet'!$E$14+1,1))</f>
        <v>353.37479213497227</v>
      </c>
      <c r="DU7" s="59">
        <f t="shared" si="44"/>
        <v>345.4750813433123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18.265714285714285</v>
      </c>
      <c r="EJ7" s="12">
        <f>IF('Données projet'!$A$192&gt;35,EJ6+EI7-ER6,IF(A7&lt;'Données projet'!$A$192,$EG$205^A7,IF(A7='Données projet'!$A$192,'Données projet'!$B$192,EJ6+EI7-ER6)))</f>
        <v>73.062857142857141</v>
      </c>
      <c r="EK7" s="17">
        <f>EJ7*VLOOKUP('Données projet'!$B$15,Paramètres!$A$1:$I$89,3,0)*VLOOKUP('Données projet'!$B$15,Paramètres!$A$1:$I$89,5,0)</f>
        <v>34.193417142857143</v>
      </c>
      <c r="EL7" s="13">
        <f t="shared" si="45"/>
        <v>10.445847033275697</v>
      </c>
      <c r="EM7" s="20">
        <f t="shared" si="19"/>
        <v>77.746718440098022</v>
      </c>
      <c r="EN7" s="59">
        <f t="shared" si="20"/>
        <v>339.30227399565354</v>
      </c>
      <c r="EO7" s="59">
        <f ca="1">AVERAGE(OFFSET($EN$3,0,0,'Données projet'!$E$15+1,1))-AVERAGE(OFFSET($H$3,0,0,'Données projet'!$E$15+1,1))</f>
        <v>433.05041777893922</v>
      </c>
      <c r="EP7" s="59">
        <f t="shared" si="46"/>
        <v>591.24088611958996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1.3675213675213673</v>
      </c>
      <c r="FE7" s="12">
        <f>IF('Données projet'!$A$218&gt;35,FE6+FD7-FM6,IF(A7&lt;'Données projet'!$A$218,$FB$205^A7,IF(A7='Données projet'!$A$218,'Données projet'!$B$218,FE6+FD7-FM6)))</f>
        <v>2.2380688087865868</v>
      </c>
      <c r="FF7" s="17">
        <f>FE7*VLOOKUP('Données projet'!$B$16,Paramètres!$A$1:$I$89,3,0)*VLOOKUP('Données projet'!$B$16,Paramètres!$A$1:$I$89,5,0)</f>
        <v>1.8155214176876793</v>
      </c>
      <c r="FG7" s="13">
        <f t="shared" si="47"/>
        <v>0.7805589023729711</v>
      </c>
      <c r="FH7" s="20">
        <f t="shared" si="22"/>
        <v>4.5215065574389657</v>
      </c>
      <c r="FI7" s="59">
        <f t="shared" si="23"/>
        <v>266.0770621129945</v>
      </c>
      <c r="FJ7" s="59">
        <f ca="1">AVERAGE(OFFSET($FI$3,0,0,'Données projet'!$E$16+1,1))-AVERAGE(OFFSET($H$3,0,0,'Données projet'!$E$16+1,1))</f>
        <v>159.4660488566085</v>
      </c>
      <c r="FK7" s="59">
        <f t="shared" si="48"/>
        <v>135.33030558297088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4.0942857142857143</v>
      </c>
      <c r="N8" s="13">
        <f>IF('Données projet'!$A$36&gt;35,N7+M8-V7,IF(A8&lt;'Données projet'!$A$36,$K$205^A8,IF(A8='Données projet'!$A$36,'Données projet'!$B$36,N7+M8-V7)))</f>
        <v>20.471428571428572</v>
      </c>
      <c r="O8" s="13">
        <f>N8*VLOOKUP('Données projet'!$B$9,Paramètres!$A$1:$I$89,3,0)*VLOOKUP('Données projet'!$B$9,Paramètres!$A$1:$I$89,5,0)</f>
        <v>20.758028571428575</v>
      </c>
      <c r="P8" s="13">
        <f t="shared" si="33"/>
        <v>6.7207494872819238</v>
      </c>
      <c r="Q8" s="20">
        <f t="shared" si="2"/>
        <v>47.858871785587461</v>
      </c>
      <c r="R8" s="59">
        <f t="shared" si="0"/>
        <v>310.63664956336521</v>
      </c>
      <c r="S8" s="59">
        <f ca="1">AVERAGE(OFFSET($R$3,0,0,'Données projet'!$E$9+1,1))-AVERAGE(OFFSET($H$3,0,0,'Données projet'!$E$9+1,1))</f>
        <v>706.69239849991595</v>
      </c>
      <c r="T8" s="59">
        <f t="shared" si="34"/>
        <v>310.59887275116529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1.1538461538461537</v>
      </c>
      <c r="AI8" s="13">
        <f>IF('Données projet'!$A$62&gt;35,AI7+AH8-AQ7,IF(A8&lt;'Données projet'!$A$62,$AF$205^A8,IF(A8='Données projet'!$A$62,'Données projet'!$B$62,AI7+AH8-AQ7)))</f>
        <v>3.3968311024337861</v>
      </c>
      <c r="AJ8" s="13">
        <f>AI8*VLOOKUP('Données projet'!$B$10,Paramètres!$A$1:$I$89,3,0)*VLOOKUP('Données projet'!$B$10,Paramètres!$A$1:$I$89,5,0)</f>
        <v>3.5503678682637934</v>
      </c>
      <c r="AK8" s="13">
        <f t="shared" si="35"/>
        <v>1.4118013760078378</v>
      </c>
      <c r="AL8" s="20">
        <f t="shared" si="4"/>
        <v>8.6424447671064257</v>
      </c>
      <c r="AM8" s="59">
        <f t="shared" si="5"/>
        <v>271.42022254488421</v>
      </c>
      <c r="AN8" s="59">
        <f ca="1">AVERAGE(OFFSET($AM$3,0,0,'Données projet'!$E$10+1,1))-AVERAGE(OFFSET($H$3,0,0,'Données projet'!$E$10+1,1))</f>
        <v>239.26156489359892</v>
      </c>
      <c r="AO8" s="59">
        <f t="shared" si="36"/>
        <v>213.97034450798111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2.4666666666666668</v>
      </c>
      <c r="BD8" s="12">
        <f>IF('Données projet'!$A$88&gt;35,BD7+BC8-BL7,IF(A8&lt;'Données projet'!$A$88,$BA$205^A8,IF(A8='Données projet'!$A$88,'Données projet'!$B$88,BD7+BC8-BL7)))</f>
        <v>3.332221851645953</v>
      </c>
      <c r="BE8" s="13">
        <f>BD8*VLOOKUP('Données projet'!$B$11,Paramètres!$A$1:$I$89,3,0)*VLOOKUP('Données projet'!$B$11,Paramètres!$A$1:$I$89,5,0)</f>
        <v>2.9110290095979048</v>
      </c>
      <c r="BF8" s="13">
        <f t="shared" si="37"/>
        <v>1.1846323324451606</v>
      </c>
      <c r="BG8" s="20">
        <f t="shared" si="7"/>
        <v>7.133276837391672</v>
      </c>
      <c r="BH8" s="59">
        <f t="shared" si="8"/>
        <v>269.91105461516946</v>
      </c>
      <c r="BI8" s="59">
        <f ca="1">AVERAGE(OFFSET($BH$3,0,0,'Données projet'!$E$11+1,1))-AVERAGE(OFFSET($H$3,0,0,'Données projet'!$E$11+1,1))</f>
        <v>324.86930206492627</v>
      </c>
      <c r="BJ8" s="59">
        <f t="shared" si="38"/>
        <v>317.03005098025352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3.3603333333333336</v>
      </c>
      <c r="BY8" s="12">
        <f>IF('Données projet'!$A$114&gt;35,BY7+BX8-CG7,IF(A8&lt;'Données projet'!$A$114,$BV$205^A8,IF(A8='Données projet'!$A$114,'Données projet'!$B$114,BY7+BX8-CG7)))</f>
        <v>16.801666666666669</v>
      </c>
      <c r="BZ8" s="13">
        <f>BY8*VLOOKUP('Données projet'!$B$12,Paramètres!$A$1:$I$89,3,0)*VLOOKUP('Données projet'!$B$12,Paramètres!$A$1:$I$89,5,0)</f>
        <v>19.133738000000005</v>
      </c>
      <c r="CA8" s="13">
        <f t="shared" si="39"/>
        <v>6.2538921626078503</v>
      </c>
      <c r="CB8" s="20">
        <f t="shared" si="10"/>
        <v>44.216789199875343</v>
      </c>
      <c r="CC8" s="59">
        <f t="shared" si="11"/>
        <v>306.99456697765311</v>
      </c>
      <c r="CD8" s="59">
        <f ca="1">AVERAGE(OFFSET($CC$3,0,0,'Données projet'!$E$12+1,1))-AVERAGE(OFFSET($H$3,0,0,'Données projet'!$E$12+1,1))</f>
        <v>593.28343396240075</v>
      </c>
      <c r="CE8" s="59">
        <f t="shared" si="40"/>
        <v>289.66477662068695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4.0942857142857143</v>
      </c>
      <c r="CT8" s="12">
        <f>IF('Données projet'!$A$140&gt;35,CT7+CS8-DB7,IF(A8&lt;'Données projet'!$A$140,$CQ$205^A8,IF(A8='Données projet'!$A$140,'Données projet'!$B$140,CT7+CS8-DB7)))</f>
        <v>20.471428571428572</v>
      </c>
      <c r="CU8" s="17">
        <f>CT8*VLOOKUP('Données projet'!$B$13,Paramètres!$A$1:$I$89,3,0)*VLOOKUP('Données projet'!$B$13,Paramètres!$A$1:$I$89,5,0)</f>
        <v>22.035445714285714</v>
      </c>
      <c r="CV8" s="13">
        <f t="shared" si="41"/>
        <v>7.084913009495474</v>
      </c>
      <c r="CW8" s="20">
        <f t="shared" si="13"/>
        <v>50.717958110585563</v>
      </c>
      <c r="CX8" s="59">
        <f t="shared" si="14"/>
        <v>313.49573588836336</v>
      </c>
      <c r="CY8" s="59">
        <f ca="1">AVERAGE(OFFSET($CX$3,0,0,'Données projet'!$E$13+1,1))-AVERAGE(OFFSET($H$3,0,0,'Données projet'!$E$13+1,1))</f>
        <v>747.18304127457918</v>
      </c>
      <c r="CZ8" s="59">
        <f t="shared" si="42"/>
        <v>327.03701004966723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4.333333333333333</v>
      </c>
      <c r="DO8" s="12">
        <f>IF('Données projet'!$A$166&gt;35,DO7+DN8-DW7,IF(A8&lt;'Données projet'!$A$166,$DL$205^A8,IF(A8='Données projet'!$A$166,'Données projet'!$B$166,DO7+DN8-DW7)))</f>
        <v>4.0207257585890561</v>
      </c>
      <c r="DP8" s="17">
        <f>DO8*VLOOKUP('Données projet'!$B$14,Paramètres!$A$1:$I$89,3,0)*VLOOKUP('Données projet'!$B$14,Paramètres!$A$1:$I$89,5,0)</f>
        <v>3.1988894135334531</v>
      </c>
      <c r="DQ8" s="13">
        <f t="shared" si="43"/>
        <v>1.2875656488183871</v>
      </c>
      <c r="DR8" s="20">
        <f t="shared" si="16"/>
        <v>7.8139092335961218</v>
      </c>
      <c r="DS8" s="59">
        <f t="shared" si="17"/>
        <v>270.59168701137389</v>
      </c>
      <c r="DT8" s="59">
        <f ca="1">AVERAGE(OFFSET($DS$3,0,0,'Données projet'!$E$14+1,1))-AVERAGE(OFFSET($H$3,0,0,'Données projet'!$E$14+1,1))</f>
        <v>353.37479213497227</v>
      </c>
      <c r="DU8" s="59">
        <f t="shared" si="44"/>
        <v>345.4750813433123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18.265714285714285</v>
      </c>
      <c r="EJ8" s="12">
        <f>IF('Données projet'!$A$192&gt;35,EJ7+EI8-ER7,IF(A8&lt;'Données projet'!$A$192,$EG$205^A8,IF(A8='Données projet'!$A$192,'Données projet'!$B$192,EJ7+EI8-ER7)))</f>
        <v>91.328571428571422</v>
      </c>
      <c r="EK8" s="17">
        <f>EJ8*VLOOKUP('Données projet'!$B$15,Paramètres!$A$1:$I$89,3,0)*VLOOKUP('Données projet'!$B$15,Paramètres!$A$1:$I$89,5,0)</f>
        <v>42.741771428571425</v>
      </c>
      <c r="EL8" s="13">
        <f t="shared" si="45"/>
        <v>12.722526065859663</v>
      </c>
      <c r="EM8" s="20">
        <f t="shared" si="19"/>
        <v>96.600318136134149</v>
      </c>
      <c r="EN8" s="59">
        <f t="shared" si="20"/>
        <v>359.37809591391192</v>
      </c>
      <c r="EO8" s="59">
        <f ca="1">AVERAGE(OFFSET($EN$3,0,0,'Données projet'!$E$15+1,1))-AVERAGE(OFFSET($H$3,0,0,'Données projet'!$E$15+1,1))</f>
        <v>433.05041777893922</v>
      </c>
      <c r="EP8" s="59">
        <f t="shared" si="46"/>
        <v>591.24088611958996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1.3675213675213673</v>
      </c>
      <c r="FE8" s="12">
        <f>IF('Données projet'!$A$218&gt;35,FE7+FD8-FM7,IF(A8&lt;'Données projet'!$A$218,$FB$205^A8,IF(A8='Données projet'!$A$218,'Données projet'!$B$218,FE7+FD8-FM7)))</f>
        <v>2.7374222525548308</v>
      </c>
      <c r="FF8" s="17">
        <f>FE8*VLOOKUP('Données projet'!$B$16,Paramètres!$A$1:$I$89,3,0)*VLOOKUP('Données projet'!$B$16,Paramètres!$A$1:$I$89,5,0)</f>
        <v>2.2205969312724791</v>
      </c>
      <c r="FG8" s="13">
        <f t="shared" si="47"/>
        <v>0.93259422755625287</v>
      </c>
      <c r="FH8" s="20">
        <f t="shared" si="22"/>
        <v>5.4918079349600406</v>
      </c>
      <c r="FI8" s="59">
        <f t="shared" si="23"/>
        <v>268.26958571273781</v>
      </c>
      <c r="FJ8" s="59">
        <f ca="1">AVERAGE(OFFSET($FI$3,0,0,'Données projet'!$E$16+1,1))-AVERAGE(OFFSET($H$3,0,0,'Données projet'!$E$16+1,1))</f>
        <v>159.4660488566085</v>
      </c>
      <c r="FK8" s="59">
        <f t="shared" si="48"/>
        <v>135.33030558297088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4.0942857142857143</v>
      </c>
      <c r="N9" s="13">
        <f>IF('Données projet'!$A$36&gt;35,N8+M9-V8,IF(A9&lt;'Données projet'!$A$36,$K$205^A9,IF(A9='Données projet'!$A$36,'Données projet'!$B$36,N8+M9-V8)))</f>
        <v>24.565714285714286</v>
      </c>
      <c r="O9" s="13">
        <f>N9*VLOOKUP('Données projet'!$B$9,Paramètres!$A$1:$I$89,3,0)*VLOOKUP('Données projet'!$B$9,Paramètres!$A$1:$I$89,5,0)</f>
        <v>24.90963428571429</v>
      </c>
      <c r="P9" s="13">
        <f t="shared" si="33"/>
        <v>7.8955476085878011</v>
      </c>
      <c r="Q9" s="20">
        <f t="shared" si="2"/>
        <v>57.135691799242814</v>
      </c>
      <c r="R9" s="59">
        <f t="shared" si="0"/>
        <v>321.13569179924281</v>
      </c>
      <c r="S9" s="59">
        <f ca="1">AVERAGE(OFFSET($R$3,0,0,'Données projet'!$E$9+1,1))-AVERAGE(OFFSET($H$3,0,0,'Données projet'!$E$9+1,1))</f>
        <v>706.69239849991595</v>
      </c>
      <c r="T9" s="59">
        <f t="shared" si="34"/>
        <v>310.59887275116529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1.1538461538461537</v>
      </c>
      <c r="AI9" s="13">
        <f>IF('Données projet'!$A$62&gt;35,AI8+AH9-AQ8,IF(A9&lt;'Données projet'!$A$62,$AF$205^A9,IF(A9='Données projet'!$A$62,'Données projet'!$B$62,AI8+AH9-AQ8)))</f>
        <v>4.3379919728687586</v>
      </c>
      <c r="AJ9" s="13">
        <f>AI9*VLOOKUP('Données projet'!$B$10,Paramètres!$A$1:$I$89,3,0)*VLOOKUP('Données projet'!$B$10,Paramètres!$A$1:$I$89,5,0)</f>
        <v>4.5340692100424276</v>
      </c>
      <c r="AK9" s="13">
        <f t="shared" si="35"/>
        <v>1.7523666925023973</v>
      </c>
      <c r="AL9" s="20">
        <f t="shared" si="4"/>
        <v>10.948875863598902</v>
      </c>
      <c r="AM9" s="59">
        <f t="shared" si="5"/>
        <v>274.94887586359891</v>
      </c>
      <c r="AN9" s="59">
        <f ca="1">AVERAGE(OFFSET($AM$3,0,0,'Données projet'!$E$10+1,1))-AVERAGE(OFFSET($H$3,0,0,'Données projet'!$E$10+1,1))</f>
        <v>239.26156489359892</v>
      </c>
      <c r="AO9" s="59">
        <f t="shared" si="36"/>
        <v>213.97034450798111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2.4666666666666668</v>
      </c>
      <c r="BD9" s="12">
        <f>IF('Données projet'!$A$88&gt;35,BD8+BC9-BL8,IF(A9&lt;'Données projet'!$A$88,$BA$205^A9,IF(A9='Données projet'!$A$88,'Données projet'!$B$88,BD8+BC9-BL8)))</f>
        <v>4.2391685997738069</v>
      </c>
      <c r="BE9" s="13">
        <f>BD9*VLOOKUP('Données projet'!$B$11,Paramètres!$A$1:$I$89,3,0)*VLOOKUP('Données projet'!$B$11,Paramètres!$A$1:$I$89,5,0)</f>
        <v>3.7033376887623981</v>
      </c>
      <c r="BF9" s="13">
        <f t="shared" si="37"/>
        <v>1.4654166376047331</v>
      </c>
      <c r="BG9" s="20">
        <f t="shared" si="7"/>
        <v>9.002247118422753</v>
      </c>
      <c r="BH9" s="59">
        <f t="shared" si="8"/>
        <v>273.00224711842276</v>
      </c>
      <c r="BI9" s="59">
        <f ca="1">AVERAGE(OFFSET($BH$3,0,0,'Données projet'!$E$11+1,1))-AVERAGE(OFFSET($H$3,0,0,'Données projet'!$E$11+1,1))</f>
        <v>324.86930206492627</v>
      </c>
      <c r="BJ9" s="59">
        <f t="shared" si="38"/>
        <v>317.03005098025352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3.3603333333333336</v>
      </c>
      <c r="BY9" s="12">
        <f>IF('Données projet'!$A$114&gt;35,BY8+BX9-CG8,IF(A9&lt;'Données projet'!$A$114,$BV$205^A9,IF(A9='Données projet'!$A$114,'Données projet'!$B$114,BY8+BX9-CG8)))</f>
        <v>20.162000000000003</v>
      </c>
      <c r="BZ9" s="13">
        <f>BY9*VLOOKUP('Données projet'!$B$12,Paramètres!$A$1:$I$89,3,0)*VLOOKUP('Données projet'!$B$12,Paramètres!$A$1:$I$89,5,0)</f>
        <v>22.960485600000002</v>
      </c>
      <c r="CA9" s="13">
        <f t="shared" si="39"/>
        <v>7.3470828517392546</v>
      </c>
      <c r="CB9" s="20">
        <f t="shared" si="10"/>
        <v>52.785681720112542</v>
      </c>
      <c r="CC9" s="59">
        <f t="shared" si="11"/>
        <v>316.78568172011256</v>
      </c>
      <c r="CD9" s="59">
        <f ca="1">AVERAGE(OFFSET($CC$3,0,0,'Données projet'!$E$12+1,1))-AVERAGE(OFFSET($H$3,0,0,'Données projet'!$E$12+1,1))</f>
        <v>593.28343396240075</v>
      </c>
      <c r="CE9" s="59">
        <f t="shared" si="40"/>
        <v>289.66477662068695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4.0942857142857143</v>
      </c>
      <c r="CT9" s="12">
        <f>IF('Données projet'!$A$140&gt;35,CT8+CS9-DB8,IF(A9&lt;'Données projet'!$A$140,$CQ$205^A9,IF(A9='Données projet'!$A$140,'Données projet'!$B$140,CT8+CS9-DB8)))</f>
        <v>24.565714285714286</v>
      </c>
      <c r="CU9" s="17">
        <f>CT9*VLOOKUP('Données projet'!$B$13,Paramètres!$A$1:$I$89,3,0)*VLOOKUP('Données projet'!$B$13,Paramètres!$A$1:$I$89,5,0)</f>
        <v>26.442534857142856</v>
      </c>
      <c r="CV9" s="13">
        <f t="shared" si="41"/>
        <v>8.3233675165294905</v>
      </c>
      <c r="CW9" s="20">
        <f t="shared" si="13"/>
        <v>60.550613300812671</v>
      </c>
      <c r="CX9" s="59">
        <f t="shared" si="14"/>
        <v>324.55061330081264</v>
      </c>
      <c r="CY9" s="59">
        <f ca="1">AVERAGE(OFFSET($CX$3,0,0,'Données projet'!$E$13+1,1))-AVERAGE(OFFSET($H$3,0,0,'Données projet'!$E$13+1,1))</f>
        <v>747.18304127457918</v>
      </c>
      <c r="CZ9" s="59">
        <f t="shared" si="42"/>
        <v>327.03701004966723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4.333333333333333</v>
      </c>
      <c r="DO9" s="12">
        <f>IF('Données projet'!$A$166&gt;35,DO8+DN9-DW8,IF(A9&lt;'Données projet'!$A$166,$DL$205^A9,IF(A9='Données projet'!$A$166,'Données projet'!$B$166,DO8+DN9-DW8)))</f>
        <v>5.310865986667876</v>
      </c>
      <c r="DP9" s="17">
        <f>DO9*VLOOKUP('Données projet'!$B$14,Paramètres!$A$1:$I$89,3,0)*VLOOKUP('Données projet'!$B$14,Paramètres!$A$1:$I$89,5,0)</f>
        <v>4.2253249789929628</v>
      </c>
      <c r="DQ9" s="13">
        <f t="shared" si="43"/>
        <v>1.6465012484432624</v>
      </c>
      <c r="DR9" s="20">
        <f t="shared" si="16"/>
        <v>10.226764012784757</v>
      </c>
      <c r="DS9" s="59">
        <f t="shared" si="17"/>
        <v>274.22676401278477</v>
      </c>
      <c r="DT9" s="59">
        <f ca="1">AVERAGE(OFFSET($DS$3,0,0,'Données projet'!$E$14+1,1))-AVERAGE(OFFSET($H$3,0,0,'Données projet'!$E$14+1,1))</f>
        <v>353.37479213497227</v>
      </c>
      <c r="DU9" s="59">
        <f t="shared" si="44"/>
        <v>345.4750813433123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18.265714285714285</v>
      </c>
      <c r="EJ9" s="12">
        <f>IF('Données projet'!$A$192&gt;35,EJ8+EI9-ER8,IF(A9&lt;'Données projet'!$A$192,$EG$205^A9,IF(A9='Données projet'!$A$192,'Données projet'!$B$192,EJ8+EI9-ER8)))</f>
        <v>109.5942857142857</v>
      </c>
      <c r="EK9" s="17">
        <f>EJ9*VLOOKUP('Données projet'!$B$15,Paramètres!$A$1:$I$89,3,0)*VLOOKUP('Données projet'!$B$15,Paramètres!$A$1:$I$89,5,0)</f>
        <v>51.290125714285708</v>
      </c>
      <c r="EL9" s="13">
        <f t="shared" si="45"/>
        <v>14.946444655404019</v>
      </c>
      <c r="EM9" s="20">
        <f t="shared" si="19"/>
        <v>115.3620267272096</v>
      </c>
      <c r="EN9" s="59">
        <f t="shared" si="20"/>
        <v>379.36202672720958</v>
      </c>
      <c r="EO9" s="59">
        <f ca="1">AVERAGE(OFFSET($EN$3,0,0,'Données projet'!$E$15+1,1))-AVERAGE(OFFSET($H$3,0,0,'Données projet'!$E$15+1,1))</f>
        <v>433.05041777893922</v>
      </c>
      <c r="EP9" s="59">
        <f t="shared" si="46"/>
        <v>591.24088611958996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1.3675213675213673</v>
      </c>
      <c r="FE9" s="12">
        <f>IF('Données projet'!$A$218&gt;35,FE8+FD9-FM8,IF(A9&lt;'Données projet'!$A$218,$FB$205^A9,IF(A9='Données projet'!$A$218,'Données projet'!$B$218,FE8+FD9-FM8)))</f>
        <v>3.3481904396161539</v>
      </c>
      <c r="FF9" s="17">
        <f>FE9*VLOOKUP('Données projet'!$B$16,Paramètres!$A$1:$I$89,3,0)*VLOOKUP('Données projet'!$B$16,Paramètres!$A$1:$I$89,5,0)</f>
        <v>2.7160520846166243</v>
      </c>
      <c r="FG9" s="13">
        <f t="shared" si="47"/>
        <v>1.1142426159347851</v>
      </c>
      <c r="FH9" s="20">
        <f t="shared" si="22"/>
        <v>6.6710966034603709</v>
      </c>
      <c r="FI9" s="59">
        <f t="shared" si="23"/>
        <v>270.6710966034604</v>
      </c>
      <c r="FJ9" s="59">
        <f ca="1">AVERAGE(OFFSET($FI$3,0,0,'Données projet'!$E$16+1,1))-AVERAGE(OFFSET($H$3,0,0,'Données projet'!$E$16+1,1))</f>
        <v>159.4660488566085</v>
      </c>
      <c r="FK9" s="59">
        <f t="shared" si="48"/>
        <v>135.33030558297088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4.0942857142857143</v>
      </c>
      <c r="N10" s="13">
        <f>IF('Données projet'!$A$36&gt;35,N9+M10-V9,IF(A10&lt;'Données projet'!$A$36,$K$205^A10,IF(A10='Données projet'!$A$36,'Données projet'!$B$36,N9+M10-V9)))</f>
        <v>28.66</v>
      </c>
      <c r="O10" s="13">
        <f>N10*VLOOKUP('Données projet'!$B$9,Paramètres!$A$1:$I$89,3,0)*VLOOKUP('Données projet'!$B$9,Paramètres!$A$1:$I$89,5,0)</f>
        <v>29.061240000000002</v>
      </c>
      <c r="P10" s="13">
        <f t="shared" si="33"/>
        <v>9.0476634987070454</v>
      </c>
      <c r="Q10" s="20">
        <f t="shared" si="2"/>
        <v>66.373006926914783</v>
      </c>
      <c r="R10" s="59">
        <f t="shared" si="0"/>
        <v>331.59522914913703</v>
      </c>
      <c r="S10" s="59">
        <f ca="1">AVERAGE(OFFSET($R$3,0,0,'Données projet'!$E$9+1,1))-AVERAGE(OFFSET($H$3,0,0,'Données projet'!$E$9+1,1))</f>
        <v>706.69239849991595</v>
      </c>
      <c r="T10" s="59">
        <f t="shared" si="34"/>
        <v>310.59887275116529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1.1538461538461537</v>
      </c>
      <c r="AI10" s="13">
        <f>IF('Données projet'!$A$62&gt;35,AI9+AH10-AQ9,IF(A10&lt;'Données projet'!$A$62,$AF$205^A10,IF(A10='Données projet'!$A$62,'Données projet'!$B$62,AI9+AH10-AQ9)))</f>
        <v>5.5399205286335267</v>
      </c>
      <c r="AJ10" s="13">
        <f>AI10*VLOOKUP('Données projet'!$B$10,Paramètres!$A$1:$I$89,3,0)*VLOOKUP('Données projet'!$B$10,Paramètres!$A$1:$I$89,5,0)</f>
        <v>5.7903249365277629</v>
      </c>
      <c r="AK10" s="13">
        <f t="shared" si="35"/>
        <v>2.1750857288969967</v>
      </c>
      <c r="AL10" s="20">
        <f t="shared" si="4"/>
        <v>13.873090242281457</v>
      </c>
      <c r="AM10" s="59">
        <f t="shared" si="5"/>
        <v>279.09531246450371</v>
      </c>
      <c r="AN10" s="59">
        <f ca="1">AVERAGE(OFFSET($AM$3,0,0,'Données projet'!$E$10+1,1))-AVERAGE(OFFSET($H$3,0,0,'Données projet'!$E$10+1,1))</f>
        <v>239.26156489359892</v>
      </c>
      <c r="AO10" s="59">
        <f t="shared" si="36"/>
        <v>213.97034450798111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2.4666666666666668</v>
      </c>
      <c r="BD10" s="12">
        <f>IF('Données projet'!$A$88&gt;35,BD9+BC10-BL9,IF(A10&lt;'Données projet'!$A$88,$BA$205^A10,IF(A10='Données projet'!$A$88,'Données projet'!$B$88,BD9+BC10-BL9)))</f>
        <v>5.3929633792034757</v>
      </c>
      <c r="BE10" s="13">
        <f>BD10*VLOOKUP('Données projet'!$B$11,Paramètres!$A$1:$I$89,3,0)*VLOOKUP('Données projet'!$B$11,Paramètres!$A$1:$I$89,5,0)</f>
        <v>4.711292808072157</v>
      </c>
      <c r="BF10" s="13">
        <f t="shared" si="37"/>
        <v>1.8127530905190552</v>
      </c>
      <c r="BG10" s="20">
        <f t="shared" si="7"/>
        <v>11.362713273379695</v>
      </c>
      <c r="BH10" s="59">
        <f t="shared" si="8"/>
        <v>276.58493549560194</v>
      </c>
      <c r="BI10" s="59">
        <f ca="1">AVERAGE(OFFSET($BH$3,0,0,'Données projet'!$E$11+1,1))-AVERAGE(OFFSET($H$3,0,0,'Données projet'!$E$11+1,1))</f>
        <v>324.86930206492627</v>
      </c>
      <c r="BJ10" s="59">
        <f t="shared" si="38"/>
        <v>317.03005098025352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3.3603333333333336</v>
      </c>
      <c r="BY10" s="12">
        <f>IF('Données projet'!$A$114&gt;35,BY9+BX10-CG9,IF(A10&lt;'Données projet'!$A$114,$BV$205^A10,IF(A10='Données projet'!$A$114,'Données projet'!$B$114,BY9+BX10-CG9)))</f>
        <v>23.522333333333336</v>
      </c>
      <c r="BZ10" s="13">
        <f>BY10*VLOOKUP('Données projet'!$B$12,Paramètres!$A$1:$I$89,3,0)*VLOOKUP('Données projet'!$B$12,Paramètres!$A$1:$I$89,5,0)</f>
        <v>26.787233200000003</v>
      </c>
      <c r="CA10" s="13">
        <f t="shared" si="39"/>
        <v>8.4191669324310805</v>
      </c>
      <c r="CB10" s="20">
        <f t="shared" si="10"/>
        <v>61.317813563984139</v>
      </c>
      <c r="CC10" s="59">
        <f t="shared" si="11"/>
        <v>326.54003578620637</v>
      </c>
      <c r="CD10" s="59">
        <f ca="1">AVERAGE(OFFSET($CC$3,0,0,'Données projet'!$E$12+1,1))-AVERAGE(OFFSET($H$3,0,0,'Données projet'!$E$12+1,1))</f>
        <v>593.28343396240075</v>
      </c>
      <c r="CE10" s="59">
        <f t="shared" si="40"/>
        <v>289.66477662068695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4.0942857142857143</v>
      </c>
      <c r="CT10" s="12">
        <f>IF('Données projet'!$A$140&gt;35,CT9+CS10-DB9,IF(A10&lt;'Données projet'!$A$140,$CQ$205^A10,IF(A10='Données projet'!$A$140,'Données projet'!$B$140,CT9+CS10-DB9)))</f>
        <v>28.66</v>
      </c>
      <c r="CU10" s="17">
        <f>CT10*VLOOKUP('Données projet'!$B$13,Paramètres!$A$1:$I$89,3,0)*VLOOKUP('Données projet'!$B$13,Paramètres!$A$1:$I$89,5,0)</f>
        <v>30.849623999999999</v>
      </c>
      <c r="CV10" s="13">
        <f t="shared" si="41"/>
        <v>9.5379107566545613</v>
      </c>
      <c r="CW10" s="20">
        <f t="shared" si="13"/>
        <v>70.341623034506696</v>
      </c>
      <c r="CX10" s="59">
        <f t="shared" si="14"/>
        <v>335.56384525672894</v>
      </c>
      <c r="CY10" s="59">
        <f ca="1">AVERAGE(OFFSET($CX$3,0,0,'Données projet'!$E$13+1,1))-AVERAGE(OFFSET($H$3,0,0,'Données projet'!$E$13+1,1))</f>
        <v>747.18304127457918</v>
      </c>
      <c r="CZ10" s="59">
        <f t="shared" si="42"/>
        <v>327.03701004966723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4.333333333333333</v>
      </c>
      <c r="DO10" s="12">
        <f>IF('Données projet'!$A$166&gt;35,DO9+DN10-DW9,IF(A10&lt;'Données projet'!$A$166,$DL$205^A10,IF(A10='Données projet'!$A$166,'Données projet'!$B$166,DO9+DN10-DW9)))</f>
        <v>7.0149767036694106</v>
      </c>
      <c r="DP10" s="17">
        <f>DO10*VLOOKUP('Données projet'!$B$14,Paramètres!$A$1:$I$89,3,0)*VLOOKUP('Données projet'!$B$14,Paramètres!$A$1:$I$89,5,0)</f>
        <v>5.5811154654393826</v>
      </c>
      <c r="DQ10" s="13">
        <f t="shared" si="43"/>
        <v>2.1054975826771263</v>
      </c>
      <c r="DR10" s="20">
        <f t="shared" si="16"/>
        <v>13.387517725469587</v>
      </c>
      <c r="DS10" s="59">
        <f t="shared" si="17"/>
        <v>278.60973994769182</v>
      </c>
      <c r="DT10" s="59">
        <f ca="1">AVERAGE(OFFSET($DS$3,0,0,'Données projet'!$E$14+1,1))-AVERAGE(OFFSET($H$3,0,0,'Données projet'!$E$14+1,1))</f>
        <v>353.37479213497227</v>
      </c>
      <c r="DU10" s="59">
        <f t="shared" si="44"/>
        <v>345.4750813433123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18.265714285714285</v>
      </c>
      <c r="EJ10" s="12">
        <f>IF('Données projet'!$A$192&gt;35,EJ9+EI10-ER9,IF(A10&lt;'Données projet'!$A$192,$EG$205^A10,IF(A10='Données projet'!$A$192,'Données projet'!$B$192,EJ9+EI10-ER9)))</f>
        <v>127.85999999999999</v>
      </c>
      <c r="EK10" s="17">
        <f>EJ10*VLOOKUP('Données projet'!$B$15,Paramètres!$A$1:$I$89,3,0)*VLOOKUP('Données projet'!$B$15,Paramètres!$A$1:$I$89,5,0)</f>
        <v>59.838479999999997</v>
      </c>
      <c r="EL10" s="13">
        <f t="shared" si="45"/>
        <v>17.127425284226909</v>
      </c>
      <c r="EM10" s="20">
        <f t="shared" si="19"/>
        <v>134.04895170336187</v>
      </c>
      <c r="EN10" s="59">
        <f t="shared" si="20"/>
        <v>399.27117392558409</v>
      </c>
      <c r="EO10" s="59">
        <f ca="1">AVERAGE(OFFSET($EN$3,0,0,'Données projet'!$E$15+1,1))-AVERAGE(OFFSET($H$3,0,0,'Données projet'!$E$15+1,1))</f>
        <v>433.05041777893922</v>
      </c>
      <c r="EP10" s="59">
        <f t="shared" si="46"/>
        <v>591.24088611958996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1.3675213675213673</v>
      </c>
      <c r="FE10" s="12">
        <f>IF('Données projet'!$A$218&gt;35,FE9+FD10-FM9,IF(A10&lt;'Données projet'!$A$218,$FB$205^A10,IF(A10='Données projet'!$A$218,'Données projet'!$B$218,FE9+FD10-FM9)))</f>
        <v>4.0952320050274995</v>
      </c>
      <c r="FF10" s="17">
        <f>FE10*VLOOKUP('Données projet'!$B$16,Paramètres!$A$1:$I$89,3,0)*VLOOKUP('Données projet'!$B$16,Paramètres!$A$1:$I$89,5,0)</f>
        <v>3.3220522024783077</v>
      </c>
      <c r="FG10" s="13">
        <f t="shared" si="47"/>
        <v>1.3312720264401436</v>
      </c>
      <c r="FH10" s="20">
        <f t="shared" si="22"/>
        <v>8.1045396986996359</v>
      </c>
      <c r="FI10" s="59">
        <f t="shared" si="23"/>
        <v>273.32676192092185</v>
      </c>
      <c r="FJ10" s="59">
        <f ca="1">AVERAGE(OFFSET($FI$3,0,0,'Données projet'!$E$16+1,1))-AVERAGE(OFFSET($H$3,0,0,'Données projet'!$E$16+1,1))</f>
        <v>159.4660488566085</v>
      </c>
      <c r="FK10" s="59">
        <f t="shared" si="48"/>
        <v>135.33030558297088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4.0942857142857143</v>
      </c>
      <c r="N11" s="13">
        <f>IF('Données projet'!$A$36&gt;35,N10+M11-V10,IF(A11&lt;'Données projet'!$A$36,$K$205^A11,IF(A11='Données projet'!$A$36,'Données projet'!$B$36,N10+M11-V10)))</f>
        <v>32.754285714285714</v>
      </c>
      <c r="O11" s="13">
        <f>N11*VLOOKUP('Données projet'!$B$9,Paramètres!$A$1:$I$89,3,0)*VLOOKUP('Données projet'!$B$9,Paramètres!$A$1:$I$89,5,0)</f>
        <v>33.21284571428572</v>
      </c>
      <c r="P11" s="13">
        <f t="shared" si="33"/>
        <v>10.180711350730137</v>
      </c>
      <c r="Q11" s="20">
        <f t="shared" si="2"/>
        <v>75.577111888235933</v>
      </c>
      <c r="R11" s="59">
        <f t="shared" si="0"/>
        <v>342.0215563326804</v>
      </c>
      <c r="S11" s="59">
        <f ca="1">AVERAGE(OFFSET($R$3,0,0,'Données projet'!$E$9+1,1))-AVERAGE(OFFSET($H$3,0,0,'Données projet'!$E$9+1,1))</f>
        <v>706.69239849991595</v>
      </c>
      <c r="T11" s="59">
        <f t="shared" si="34"/>
        <v>310.59887275116529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1.1538461538461537</v>
      </c>
      <c r="AI11" s="13">
        <f>IF('Données projet'!$A$62&gt;35,AI10+AH11-AQ10,IF(A11&lt;'Données projet'!$A$62,$AF$205^A11,IF(A11='Données projet'!$A$62,'Données projet'!$B$62,AI10+AH11-AQ10)))</f>
        <v>7.0748677396189548</v>
      </c>
      <c r="AJ11" s="13">
        <f>AI11*VLOOKUP('Données projet'!$B$10,Paramètres!$A$1:$I$89,3,0)*VLOOKUP('Données projet'!$B$10,Paramètres!$A$1:$I$89,5,0)</f>
        <v>7.3946517614497322</v>
      </c>
      <c r="AK11" s="13">
        <f t="shared" si="35"/>
        <v>2.6997762216625256</v>
      </c>
      <c r="AL11" s="20">
        <f t="shared" si="4"/>
        <v>17.581128737253849</v>
      </c>
      <c r="AM11" s="59">
        <f t="shared" si="5"/>
        <v>284.02557318169829</v>
      </c>
      <c r="AN11" s="59">
        <f ca="1">AVERAGE(OFFSET($AM$3,0,0,'Données projet'!$E$10+1,1))-AVERAGE(OFFSET($H$3,0,0,'Données projet'!$E$10+1,1))</f>
        <v>239.26156489359892</v>
      </c>
      <c r="AO11" s="59">
        <f t="shared" si="36"/>
        <v>213.97034450798111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2.4666666666666668</v>
      </c>
      <c r="BD11" s="12">
        <f>IF('Données projet'!$A$88&gt;35,BD10+BC11-BL10,IF(A11&lt;'Données projet'!$A$88,$BA$205^A11,IF(A11='Données projet'!$A$88,'Données projet'!$B$88,BD10+BC11-BL10)))</f>
        <v>6.8607919984549888</v>
      </c>
      <c r="BE11" s="13">
        <f>BD11*VLOOKUP('Données projet'!$B$11,Paramètres!$A$1:$I$89,3,0)*VLOOKUP('Données projet'!$B$11,Paramètres!$A$1:$I$89,5,0)</f>
        <v>5.9935878898502795</v>
      </c>
      <c r="BF11" s="13">
        <f t="shared" si="37"/>
        <v>2.2424160357272664</v>
      </c>
      <c r="BG11" s="20">
        <f t="shared" si="7"/>
        <v>14.344373503714223</v>
      </c>
      <c r="BH11" s="59">
        <f t="shared" si="8"/>
        <v>280.78881794815868</v>
      </c>
      <c r="BI11" s="59">
        <f ca="1">AVERAGE(OFFSET($BH$3,0,0,'Données projet'!$E$11+1,1))-AVERAGE(OFFSET($H$3,0,0,'Données projet'!$E$11+1,1))</f>
        <v>324.86930206492627</v>
      </c>
      <c r="BJ11" s="59">
        <f t="shared" si="38"/>
        <v>317.03005098025352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3.3603333333333336</v>
      </c>
      <c r="BY11" s="12">
        <f>IF('Données projet'!$A$114&gt;35,BY10+BX11-CG10,IF(A11&lt;'Données projet'!$A$114,$BV$205^A11,IF(A11='Données projet'!$A$114,'Données projet'!$B$114,BY10+BX11-CG10)))</f>
        <v>26.882666666666669</v>
      </c>
      <c r="BZ11" s="13">
        <f>BY11*VLOOKUP('Données projet'!$B$12,Paramètres!$A$1:$I$89,3,0)*VLOOKUP('Données projet'!$B$12,Paramètres!$A$1:$I$89,5,0)</f>
        <v>30.613980800000004</v>
      </c>
      <c r="CA11" s="13">
        <f t="shared" si="39"/>
        <v>9.473507537602579</v>
      </c>
      <c r="CB11" s="20">
        <f t="shared" si="10"/>
        <v>69.819042187991144</v>
      </c>
      <c r="CC11" s="59">
        <f t="shared" si="11"/>
        <v>336.26348663243562</v>
      </c>
      <c r="CD11" s="59">
        <f ca="1">AVERAGE(OFFSET($CC$3,0,0,'Données projet'!$E$12+1,1))-AVERAGE(OFFSET($H$3,0,0,'Données projet'!$E$12+1,1))</f>
        <v>593.28343396240075</v>
      </c>
      <c r="CE11" s="59">
        <f t="shared" si="40"/>
        <v>289.66477662068695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4.0942857142857143</v>
      </c>
      <c r="CT11" s="12">
        <f>IF('Données projet'!$A$140&gt;35,CT10+CS11-DB10,IF(A11&lt;'Données projet'!$A$140,$CQ$205^A11,IF(A11='Données projet'!$A$140,'Données projet'!$B$140,CT10+CS11-DB10)))</f>
        <v>32.754285714285714</v>
      </c>
      <c r="CU11" s="17">
        <f>CT11*VLOOKUP('Données projet'!$B$13,Paramètres!$A$1:$I$89,3,0)*VLOOKUP('Données projet'!$B$13,Paramètres!$A$1:$I$89,5,0)</f>
        <v>35.256713142857144</v>
      </c>
      <c r="CV11" s="13">
        <f t="shared" si="41"/>
        <v>10.732352757858489</v>
      </c>
      <c r="CW11" s="20">
        <f t="shared" si="13"/>
        <v>80.097623110413053</v>
      </c>
      <c r="CX11" s="59">
        <f t="shared" si="14"/>
        <v>346.54206755485751</v>
      </c>
      <c r="CY11" s="59">
        <f ca="1">AVERAGE(OFFSET($CX$3,0,0,'Données projet'!$E$13+1,1))-AVERAGE(OFFSET($H$3,0,0,'Données projet'!$E$13+1,1))</f>
        <v>747.18304127457918</v>
      </c>
      <c r="CZ11" s="59">
        <f t="shared" si="42"/>
        <v>327.03701004966723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4.333333333333333</v>
      </c>
      <c r="DO11" s="12">
        <f>IF('Données projet'!$A$166&gt;35,DO10+DN11-DW10,IF(A11&lt;'Données projet'!$A$166,$DL$205^A11,IF(A11='Données projet'!$A$166,'Données projet'!$B$166,DO10+DN11-DW10)))</f>
        <v>9.2658896452214261</v>
      </c>
      <c r="DP11" s="17">
        <f>DO11*VLOOKUP('Données projet'!$B$14,Paramètres!$A$1:$I$89,3,0)*VLOOKUP('Données projet'!$B$14,Paramètres!$A$1:$I$89,5,0)</f>
        <v>7.3719418017381662</v>
      </c>
      <c r="DQ11" s="13">
        <f t="shared" si="43"/>
        <v>2.6924486542908248</v>
      </c>
      <c r="DR11" s="20">
        <f t="shared" si="16"/>
        <v>17.528813377583827</v>
      </c>
      <c r="DS11" s="59">
        <f t="shared" si="17"/>
        <v>283.9732578220283</v>
      </c>
      <c r="DT11" s="59">
        <f ca="1">AVERAGE(OFFSET($DS$3,0,0,'Données projet'!$E$14+1,1))-AVERAGE(OFFSET($H$3,0,0,'Données projet'!$E$14+1,1))</f>
        <v>353.37479213497227</v>
      </c>
      <c r="DU11" s="59">
        <f t="shared" si="44"/>
        <v>345.4750813433123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18.265714285714285</v>
      </c>
      <c r="EJ11" s="12">
        <f>IF('Données projet'!$A$192&gt;35,EJ10+EI11-ER10,IF(A11&lt;'Données projet'!$A$192,$EG$205^A11,IF(A11='Données projet'!$A$192,'Données projet'!$B$192,EJ10+EI11-ER10)))</f>
        <v>146.12571428571428</v>
      </c>
      <c r="EK11" s="17">
        <f>EJ11*VLOOKUP('Données projet'!$B$15,Paramètres!$A$1:$I$89,3,0)*VLOOKUP('Données projet'!$B$15,Paramètres!$A$1:$I$89,5,0)</f>
        <v>68.386834285714286</v>
      </c>
      <c r="EL11" s="13">
        <f t="shared" si="45"/>
        <v>19.272309699054283</v>
      </c>
      <c r="EM11" s="20">
        <f t="shared" si="19"/>
        <v>152.67300910680527</v>
      </c>
      <c r="EN11" s="59">
        <f t="shared" si="20"/>
        <v>419.1174535512497</v>
      </c>
      <c r="EO11" s="59">
        <f ca="1">AVERAGE(OFFSET($EN$3,0,0,'Données projet'!$E$15+1,1))-AVERAGE(OFFSET($H$3,0,0,'Données projet'!$E$15+1,1))</f>
        <v>433.05041777893922</v>
      </c>
      <c r="EP11" s="59">
        <f t="shared" si="46"/>
        <v>591.24088611958996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1.3675213675213673</v>
      </c>
      <c r="FE11" s="12">
        <f>IF('Données projet'!$A$218&gt;35,FE10+FD11-FM10,IF(A11&lt;'Données projet'!$A$218,$FB$205^A11,IF(A11='Données projet'!$A$218,'Données projet'!$B$218,FE10+FD11-FM10)))</f>
        <v>5.0089519928634116</v>
      </c>
      <c r="FF11" s="17">
        <f>FE11*VLOOKUP('Données projet'!$B$16,Paramètres!$A$1:$I$89,3,0)*VLOOKUP('Données projet'!$B$16,Paramètres!$A$1:$I$89,5,0)</f>
        <v>4.0632618566107999</v>
      </c>
      <c r="FG11" s="13">
        <f t="shared" si="47"/>
        <v>1.5905738867250216</v>
      </c>
      <c r="FH11" s="20">
        <f t="shared" si="22"/>
        <v>9.847097252976555</v>
      </c>
      <c r="FI11" s="59">
        <f t="shared" si="23"/>
        <v>276.291541697421</v>
      </c>
      <c r="FJ11" s="59">
        <f ca="1">AVERAGE(OFFSET($FI$3,0,0,'Données projet'!$E$16+1,1))-AVERAGE(OFFSET($H$3,0,0,'Données projet'!$E$16+1,1))</f>
        <v>159.4660488566085</v>
      </c>
      <c r="FK11" s="59">
        <f t="shared" si="48"/>
        <v>135.33030558297088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4.0942857142857143</v>
      </c>
      <c r="N12" s="13">
        <f>IF('Données projet'!$A$36&gt;35,N11+M12-V11,IF(A12&lt;'Données projet'!$A$36,$K$205^A12,IF(A12='Données projet'!$A$36,'Données projet'!$B$36,N11+M12-V11)))</f>
        <v>36.848571428571432</v>
      </c>
      <c r="O12" s="13">
        <f>N12*VLOOKUP('Données projet'!$B$9,Paramètres!$A$1:$I$89,3,0)*VLOOKUP('Données projet'!$B$9,Paramètres!$A$1:$I$89,5,0)</f>
        <v>37.364451428571435</v>
      </c>
      <c r="P12" s="13">
        <f t="shared" si="33"/>
        <v>11.297347642554788</v>
      </c>
      <c r="Q12" s="20">
        <f t="shared" si="2"/>
        <v>84.752633382211499</v>
      </c>
      <c r="R12" s="59">
        <f t="shared" si="0"/>
        <v>352.4193000488782</v>
      </c>
      <c r="S12" s="59">
        <f ca="1">AVERAGE(OFFSET($R$3,0,0,'Données projet'!$E$9+1,1))-AVERAGE(OFFSET($H$3,0,0,'Données projet'!$E$9+1,1))</f>
        <v>706.69239849991595</v>
      </c>
      <c r="T12" s="59">
        <f t="shared" si="34"/>
        <v>310.59887275116529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1.1538461538461537</v>
      </c>
      <c r="AI12" s="13">
        <f>IF('Données projet'!$A$62&gt;35,AI11+AH12-AQ11,IF(A12&lt;'Données projet'!$A$62,$AF$205^A12,IF(A12='Données projet'!$A$62,'Données projet'!$B$62,AI11+AH12-AQ11)))</f>
        <v>9.0351031705949865</v>
      </c>
      <c r="AJ12" s="13">
        <f>AI12*VLOOKUP('Données projet'!$B$10,Paramètres!$A$1:$I$89,3,0)*VLOOKUP('Données projet'!$B$10,Paramètres!$A$1:$I$89,5,0)</f>
        <v>9.4434898339058808</v>
      </c>
      <c r="AK12" s="13">
        <f t="shared" si="35"/>
        <v>3.3510364902952992</v>
      </c>
      <c r="AL12" s="20">
        <f t="shared" si="4"/>
        <v>22.283800014650385</v>
      </c>
      <c r="AM12" s="59">
        <f t="shared" si="5"/>
        <v>289.9504666813171</v>
      </c>
      <c r="AN12" s="59">
        <f ca="1">AVERAGE(OFFSET($AM$3,0,0,'Données projet'!$E$10+1,1))-AVERAGE(OFFSET($H$3,0,0,'Données projet'!$E$10+1,1))</f>
        <v>239.26156489359892</v>
      </c>
      <c r="AO12" s="59">
        <f t="shared" si="36"/>
        <v>213.97034450798111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2.4666666666666668</v>
      </c>
      <c r="BD12" s="12">
        <f>IF('Données projet'!$A$88&gt;35,BD11+BC12-BL11,IF(A12&lt;'Données projet'!$A$88,$BA$205^A12,IF(A12='Données projet'!$A$88,'Données projet'!$B$88,BD11+BC12-BL11)))</f>
        <v>8.7281265486761299</v>
      </c>
      <c r="BE12" s="13">
        <f>BD12*VLOOKUP('Données projet'!$B$11,Paramètres!$A$1:$I$89,3,0)*VLOOKUP('Données projet'!$B$11,Paramètres!$A$1:$I$89,5,0)</f>
        <v>7.6248913529234681</v>
      </c>
      <c r="BF12" s="13">
        <f t="shared" si="37"/>
        <v>2.7739186895259813</v>
      </c>
      <c r="BG12" s="20">
        <f t="shared" si="7"/>
        <v>18.111260823932788</v>
      </c>
      <c r="BH12" s="59">
        <f t="shared" si="8"/>
        <v>285.7779274905995</v>
      </c>
      <c r="BI12" s="59">
        <f ca="1">AVERAGE(OFFSET($BH$3,0,0,'Données projet'!$E$11+1,1))-AVERAGE(OFFSET($H$3,0,0,'Données projet'!$E$11+1,1))</f>
        <v>324.86930206492627</v>
      </c>
      <c r="BJ12" s="59">
        <f t="shared" si="38"/>
        <v>317.03005098025352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3.3603333333333336</v>
      </c>
      <c r="BY12" s="12">
        <f>IF('Données projet'!$A$114&gt;35,BY11+BX12-CG11,IF(A12&lt;'Données projet'!$A$114,$BV$205^A12,IF(A12='Données projet'!$A$114,'Données projet'!$B$114,BY11+BX12-CG11)))</f>
        <v>30.243000000000002</v>
      </c>
      <c r="BZ12" s="13">
        <f>BY12*VLOOKUP('Données projet'!$B$12,Paramètres!$A$1:$I$89,3,0)*VLOOKUP('Données projet'!$B$12,Paramètres!$A$1:$I$89,5,0)</f>
        <v>34.440728400000005</v>
      </c>
      <c r="CA12" s="13">
        <f t="shared" si="39"/>
        <v>10.512576612731865</v>
      </c>
      <c r="CB12" s="20">
        <f t="shared" si="10"/>
        <v>78.293672897174659</v>
      </c>
      <c r="CC12" s="59">
        <f t="shared" si="11"/>
        <v>345.96033956384133</v>
      </c>
      <c r="CD12" s="59">
        <f ca="1">AVERAGE(OFFSET($CC$3,0,0,'Données projet'!$E$12+1,1))-AVERAGE(OFFSET($H$3,0,0,'Données projet'!$E$12+1,1))</f>
        <v>593.28343396240075</v>
      </c>
      <c r="CE12" s="59">
        <f t="shared" si="40"/>
        <v>289.66477662068695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4.0942857142857143</v>
      </c>
      <c r="CT12" s="12">
        <f>IF('Données projet'!$A$140&gt;35,CT11+CS12-DB11,IF(A12&lt;'Données projet'!$A$140,$CQ$205^A12,IF(A12='Données projet'!$A$140,'Données projet'!$B$140,CT11+CS12-DB11)))</f>
        <v>36.848571428571432</v>
      </c>
      <c r="CU12" s="17">
        <f>CT12*VLOOKUP('Données projet'!$B$13,Paramètres!$A$1:$I$89,3,0)*VLOOKUP('Données projet'!$B$13,Paramètres!$A$1:$I$89,5,0)</f>
        <v>39.66380228571429</v>
      </c>
      <c r="CV12" s="13">
        <f t="shared" si="41"/>
        <v>11.909493939179743</v>
      </c>
      <c r="CW12" s="20">
        <f t="shared" si="13"/>
        <v>89.823490925023762</v>
      </c>
      <c r="CX12" s="59">
        <f t="shared" si="14"/>
        <v>357.49015759169043</v>
      </c>
      <c r="CY12" s="59">
        <f ca="1">AVERAGE(OFFSET($CX$3,0,0,'Données projet'!$E$13+1,1))-AVERAGE(OFFSET($H$3,0,0,'Données projet'!$E$13+1,1))</f>
        <v>747.18304127457918</v>
      </c>
      <c r="CZ12" s="59">
        <f t="shared" si="42"/>
        <v>327.03701004966723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4.333333333333333</v>
      </c>
      <c r="DO12" s="12">
        <f>IF('Données projet'!$A$166&gt;35,DO11+DN12-DW11,IF(A12&lt;'Données projet'!$A$166,$DL$205^A12,IF(A12='Données projet'!$A$166,'Données projet'!$B$166,DO11+DN12-DW11)))</f>
        <v>12.23905859480781</v>
      </c>
      <c r="DP12" s="17">
        <f>DO12*VLOOKUP('Données projet'!$B$14,Paramètres!$A$1:$I$89,3,0)*VLOOKUP('Données projet'!$B$14,Paramètres!$A$1:$I$89,5,0)</f>
        <v>9.737395018029094</v>
      </c>
      <c r="DQ12" s="13">
        <f t="shared" si="43"/>
        <v>3.4430244972188757</v>
      </c>
      <c r="DR12" s="20">
        <f t="shared" si="16"/>
        <v>22.955897322390214</v>
      </c>
      <c r="DS12" s="59">
        <f t="shared" si="17"/>
        <v>290.62256398905691</v>
      </c>
      <c r="DT12" s="59">
        <f ca="1">AVERAGE(OFFSET($DS$3,0,0,'Données projet'!$E$14+1,1))-AVERAGE(OFFSET($H$3,0,0,'Données projet'!$E$14+1,1))</f>
        <v>353.37479213497227</v>
      </c>
      <c r="DU12" s="59">
        <f t="shared" si="44"/>
        <v>345.4750813433123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18.265714285714285</v>
      </c>
      <c r="EJ12" s="12">
        <f>IF('Données projet'!$A$192&gt;35,EJ11+EI12-ER11,IF(A12&lt;'Données projet'!$A$192,$EG$205^A12,IF(A12='Données projet'!$A$192,'Données projet'!$B$192,EJ11+EI12-ER11)))</f>
        <v>164.39142857142858</v>
      </c>
      <c r="EK12" s="17">
        <f>EJ12*VLOOKUP('Données projet'!$B$15,Paramètres!$A$1:$I$89,3,0)*VLOOKUP('Données projet'!$B$15,Paramètres!$A$1:$I$89,5,0)</f>
        <v>76.935188571428583</v>
      </c>
      <c r="EL12" s="13">
        <f t="shared" si="45"/>
        <v>21.386126670763719</v>
      </c>
      <c r="EM12" s="20">
        <f t="shared" si="19"/>
        <v>171.24295738015155</v>
      </c>
      <c r="EN12" s="59">
        <f t="shared" si="20"/>
        <v>438.90962404681824</v>
      </c>
      <c r="EO12" s="59">
        <f ca="1">AVERAGE(OFFSET($EN$3,0,0,'Données projet'!$E$15+1,1))-AVERAGE(OFFSET($H$3,0,0,'Données projet'!$E$15+1,1))</f>
        <v>433.05041777893922</v>
      </c>
      <c r="EP12" s="59">
        <f t="shared" si="46"/>
        <v>591.24088611958996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1.3675213675213673</v>
      </c>
      <c r="FE12" s="12">
        <f>IF('Données projet'!$A$218&gt;35,FE11+FD12-FM11,IF(A12&lt;'Données projet'!$A$218,$FB$205^A12,IF(A12='Données projet'!$A$218,'Données projet'!$B$218,FE11+FD12-FM11)))</f>
        <v>6.1265393599212858</v>
      </c>
      <c r="FF12" s="17">
        <f>FE12*VLOOKUP('Données projet'!$B$16,Paramètres!$A$1:$I$89,3,0)*VLOOKUP('Données projet'!$B$16,Paramètres!$A$1:$I$89,5,0)</f>
        <v>4.969848728768147</v>
      </c>
      <c r="FG12" s="13">
        <f t="shared" si="47"/>
        <v>1.9003819196115979</v>
      </c>
      <c r="FH12" s="20">
        <f t="shared" si="22"/>
        <v>11.965651712594722</v>
      </c>
      <c r="FI12" s="59">
        <f t="shared" si="23"/>
        <v>279.63231837926139</v>
      </c>
      <c r="FJ12" s="59">
        <f ca="1">AVERAGE(OFFSET($FI$3,0,0,'Données projet'!$E$16+1,1))-AVERAGE(OFFSET($H$3,0,0,'Données projet'!$E$16+1,1))</f>
        <v>159.4660488566085</v>
      </c>
      <c r="FK12" s="59">
        <f t="shared" si="48"/>
        <v>135.33030558297088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4.0942857142857143</v>
      </c>
      <c r="N13" s="13">
        <f>IF('Données projet'!$A$36&gt;35,N12+M13-V12,IF(A13&lt;'Données projet'!$A$36,$K$205^A13,IF(A13='Données projet'!$A$36,'Données projet'!$B$36,N12+M13-V12)))</f>
        <v>40.94285714285715</v>
      </c>
      <c r="O13" s="13">
        <f>N13*VLOOKUP('Données projet'!$B$9,Paramètres!$A$1:$I$89,3,0)*VLOOKUP('Données projet'!$B$9,Paramètres!$A$1:$I$89,5,0)</f>
        <v>41.51605714285715</v>
      </c>
      <c r="P13" s="13">
        <f t="shared" si="33"/>
        <v>12.399603891963192</v>
      </c>
      <c r="Q13" s="20">
        <f t="shared" si="2"/>
        <v>93.903109635645436</v>
      </c>
      <c r="R13" s="59">
        <f t="shared" si="0"/>
        <v>362.79199852453428</v>
      </c>
      <c r="S13" s="59">
        <f ca="1">AVERAGE(OFFSET($R$3,0,0,'Données projet'!$E$9+1,1))-AVERAGE(OFFSET($H$3,0,0,'Données projet'!$E$9+1,1))</f>
        <v>706.69239849991595</v>
      </c>
      <c r="T13" s="59">
        <f t="shared" si="34"/>
        <v>310.59887275116529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11.538461538461538</v>
      </c>
      <c r="AG13" s="12">
        <f>VLOOKUP(A13,'Données projet'!$A$61:$I$81,9,0)</f>
        <v>1.1538461538461537</v>
      </c>
      <c r="AH13" s="12">
        <f t="array" ref="AH13">INDEX(AG:AG,MIN(IF(ISNUMBER(AG13:AG209),ROW(AG13:AG209),"")))</f>
        <v>1.1538461538461537</v>
      </c>
      <c r="AI13" s="13">
        <f>IF('Données projet'!$A$62&gt;35,AI12+AH13-AQ12,IF(A13&lt;'Données projet'!$A$62,$AF$205^A13,IF(A13='Données projet'!$A$62,'Données projet'!$B$62,AI12+AH13-AQ12)))</f>
        <v>11.538461538461538</v>
      </c>
      <c r="AJ13" s="13">
        <f>AI13*VLOOKUP('Données projet'!$B$10,Paramètres!$A$1:$I$89,3,0)*VLOOKUP('Données projet'!$B$10,Paramètres!$A$1:$I$89,5,0)</f>
        <v>12.06</v>
      </c>
      <c r="AK13" s="13">
        <f t="shared" si="35"/>
        <v>4.1593986454090377</v>
      </c>
      <c r="AL13" s="20">
        <f t="shared" si="4"/>
        <v>28.248785974087401</v>
      </c>
      <c r="AM13" s="59">
        <f t="shared" si="5"/>
        <v>297.13767486297627</v>
      </c>
      <c r="AN13" s="59">
        <f ca="1">AVERAGE(OFFSET($AM$3,0,0,'Données projet'!$E$10+1,1))-AVERAGE(OFFSET($H$3,0,0,'Données projet'!$E$10+1,1))</f>
        <v>239.26156489359892</v>
      </c>
      <c r="AO13" s="59">
        <f t="shared" si="36"/>
        <v>213.97034450798111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0.215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2.4666666666666668</v>
      </c>
      <c r="BD13" s="12">
        <f>IF('Données projet'!$A$88&gt;35,BD12+BC13-BL12,IF(A13&lt;'Données projet'!$A$88,$BA$205^A13,IF(A13='Données projet'!$A$88,'Données projet'!$B$88,BD12+BC13-BL12)))</f>
        <v>11.103702468586782</v>
      </c>
      <c r="BE13" s="13">
        <f>BD13*VLOOKUP('Données projet'!$B$11,Paramètres!$A$1:$I$89,3,0)*VLOOKUP('Données projet'!$B$11,Paramètres!$A$1:$I$89,5,0)</f>
        <v>9.7001944765574137</v>
      </c>
      <c r="BF13" s="13">
        <f t="shared" si="37"/>
        <v>3.4313993360317685</v>
      </c>
      <c r="BG13" s="20">
        <f t="shared" si="7"/>
        <v>22.870859223592827</v>
      </c>
      <c r="BH13" s="59">
        <f t="shared" si="8"/>
        <v>291.7597481124817</v>
      </c>
      <c r="BI13" s="59">
        <f ca="1">AVERAGE(OFFSET($BH$3,0,0,'Données projet'!$E$11+1,1))-AVERAGE(OFFSET($H$3,0,0,'Données projet'!$E$11+1,1))</f>
        <v>324.86930206492627</v>
      </c>
      <c r="BJ13" s="59">
        <f t="shared" si="38"/>
        <v>317.03005098025352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3.3603333333333336</v>
      </c>
      <c r="BY13" s="12">
        <f>IF('Données projet'!$A$114&gt;35,BY12+BX13-CG12,IF(A13&lt;'Données projet'!$A$114,$BV$205^A13,IF(A13='Données projet'!$A$114,'Données projet'!$B$114,BY12+BX13-CG12)))</f>
        <v>33.603333333333339</v>
      </c>
      <c r="BZ13" s="13">
        <f>BY13*VLOOKUP('Données projet'!$B$12,Paramètres!$A$1:$I$89,3,0)*VLOOKUP('Données projet'!$B$12,Paramètres!$A$1:$I$89,5,0)</f>
        <v>38.267476000000009</v>
      </c>
      <c r="CA13" s="13">
        <f t="shared" si="39"/>
        <v>11.538264556078891</v>
      </c>
      <c r="CB13" s="20">
        <f t="shared" si="10"/>
        <v>86.744998135170761</v>
      </c>
      <c r="CC13" s="59">
        <f t="shared" si="11"/>
        <v>355.63388702405962</v>
      </c>
      <c r="CD13" s="59">
        <f ca="1">AVERAGE(OFFSET($CC$3,0,0,'Données projet'!$E$12+1,1))-AVERAGE(OFFSET($H$3,0,0,'Données projet'!$E$12+1,1))</f>
        <v>593.28343396240075</v>
      </c>
      <c r="CE13" s="59">
        <f t="shared" si="40"/>
        <v>289.66477662068695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4.0942857142857143</v>
      </c>
      <c r="CT13" s="12">
        <f>IF('Données projet'!$A$140&gt;35,CT12+CS13-DB12,IF(A13&lt;'Données projet'!$A$140,$CQ$205^A13,IF(A13='Données projet'!$A$140,'Données projet'!$B$140,CT12+CS13-DB12)))</f>
        <v>40.94285714285715</v>
      </c>
      <c r="CU13" s="17">
        <f>CT13*VLOOKUP('Données projet'!$B$13,Paramètres!$A$1:$I$89,3,0)*VLOOKUP('Données projet'!$B$13,Paramètres!$A$1:$I$89,5,0)</f>
        <v>44.070891428571429</v>
      </c>
      <c r="CV13" s="13">
        <f t="shared" si="41"/>
        <v>13.071475896104255</v>
      </c>
      <c r="CW13" s="20">
        <f t="shared" si="13"/>
        <v>99.522956423810157</v>
      </c>
      <c r="CX13" s="59">
        <f t="shared" si="14"/>
        <v>368.41184531269903</v>
      </c>
      <c r="CY13" s="59">
        <f ca="1">AVERAGE(OFFSET($CX$3,0,0,'Données projet'!$E$13+1,1))-AVERAGE(OFFSET($H$3,0,0,'Données projet'!$E$13+1,1))</f>
        <v>747.18304127457918</v>
      </c>
      <c r="CZ13" s="59">
        <f t="shared" si="42"/>
        <v>327.03701004966723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4.333333333333333</v>
      </c>
      <c r="DO13" s="12">
        <f>IF('Données projet'!$A$166&gt;35,DO12+DN13-DW12,IF(A13&lt;'Données projet'!$A$166,$DL$205^A13,IF(A13='Données projet'!$A$166,'Données projet'!$B$166,DO12+DN13-DW12)))</f>
        <v>16.166235625781542</v>
      </c>
      <c r="DP13" s="17">
        <f>DO13*VLOOKUP('Données projet'!$B$14,Paramètres!$A$1:$I$89,3,0)*VLOOKUP('Données projet'!$B$14,Paramètres!$A$1:$I$89,5,0)</f>
        <v>12.861857063871796</v>
      </c>
      <c r="DQ13" s="13">
        <f t="shared" si="43"/>
        <v>4.4028389063455258</v>
      </c>
      <c r="DR13" s="20">
        <f t="shared" si="16"/>
        <v>30.069345481461834</v>
      </c>
      <c r="DS13" s="59">
        <f t="shared" si="17"/>
        <v>298.95823437035068</v>
      </c>
      <c r="DT13" s="59">
        <f ca="1">AVERAGE(OFFSET($DS$3,0,0,'Données projet'!$E$14+1,1))-AVERAGE(OFFSET($H$3,0,0,'Données projet'!$E$14+1,1))</f>
        <v>353.37479213497227</v>
      </c>
      <c r="DU13" s="59">
        <f t="shared" si="44"/>
        <v>345.4750813433123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18.265714285714285</v>
      </c>
      <c r="EJ13" s="12">
        <f>IF('Données projet'!$A$192&gt;35,EJ12+EI13-ER12,IF(A13&lt;'Données projet'!$A$192,$EG$205^A13,IF(A13='Données projet'!$A$192,'Données projet'!$B$192,EJ12+EI13-ER12)))</f>
        <v>182.65714285714287</v>
      </c>
      <c r="EK13" s="17">
        <f>EJ13*VLOOKUP('Données projet'!$B$15,Paramètres!$A$1:$I$89,3,0)*VLOOKUP('Données projet'!$B$15,Paramètres!$A$1:$I$89,5,0)</f>
        <v>85.483542857142865</v>
      </c>
      <c r="EL13" s="13">
        <f t="shared" si="45"/>
        <v>23.472721907037968</v>
      </c>
      <c r="EM13" s="20">
        <f t="shared" si="19"/>
        <v>189.7654944642816</v>
      </c>
      <c r="EN13" s="59">
        <f t="shared" si="20"/>
        <v>458.65438335317049</v>
      </c>
      <c r="EO13" s="59">
        <f ca="1">AVERAGE(OFFSET($EN$3,0,0,'Données projet'!$E$15+1,1))-AVERAGE(OFFSET($H$3,0,0,'Données projet'!$E$15+1,1))</f>
        <v>433.05041777893922</v>
      </c>
      <c r="EP13" s="59">
        <f t="shared" si="46"/>
        <v>591.24088611958996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1.3675213675213673</v>
      </c>
      <c r="FE13" s="12">
        <f>IF('Données projet'!$A$218&gt;35,FE12+FD13-FM12,IF(A13&lt;'Données projet'!$A$218,$FB$205^A13,IF(A13='Données projet'!$A$218,'Données projet'!$B$218,FE12+FD13-FM12)))</f>
        <v>7.4934805887823641</v>
      </c>
      <c r="FF13" s="17">
        <f>FE13*VLOOKUP('Données projet'!$B$16,Paramètres!$A$1:$I$89,3,0)*VLOOKUP('Données projet'!$B$16,Paramètres!$A$1:$I$89,5,0)</f>
        <v>6.0787114536202536</v>
      </c>
      <c r="FG13" s="13">
        <f t="shared" si="47"/>
        <v>2.2705335920122574</v>
      </c>
      <c r="FH13" s="20">
        <f t="shared" si="22"/>
        <v>14.541601787809954</v>
      </c>
      <c r="FI13" s="59">
        <f t="shared" si="23"/>
        <v>283.43049067669881</v>
      </c>
      <c r="FJ13" s="59">
        <f ca="1">AVERAGE(OFFSET($FI$3,0,0,'Données projet'!$E$16+1,1))-AVERAGE(OFFSET($H$3,0,0,'Données projet'!$E$16+1,1))</f>
        <v>159.4660488566085</v>
      </c>
      <c r="FK13" s="59">
        <f t="shared" si="48"/>
        <v>135.33030558297088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4.0942857142857143</v>
      </c>
      <c r="N14" s="13">
        <f>IF('Données projet'!$A$36&gt;35,N13+M14-V13,IF(A14&lt;'Données projet'!$A$36,$K$205^A14,IF(A14='Données projet'!$A$36,'Données projet'!$B$36,N13+M14-V13)))</f>
        <v>45.037142857142868</v>
      </c>
      <c r="O14" s="13">
        <f>N14*VLOOKUP('Données projet'!$B$9,Paramètres!$A$1:$I$89,3,0)*VLOOKUP('Données projet'!$B$9,Paramètres!$A$1:$I$89,5,0)</f>
        <v>45.667662857142872</v>
      </c>
      <c r="P14" s="13">
        <f t="shared" si="33"/>
        <v>13.489081801480216</v>
      </c>
      <c r="Q14" s="20">
        <f t="shared" si="2"/>
        <v>103.03133028043521</v>
      </c>
      <c r="R14" s="59">
        <f t="shared" si="0"/>
        <v>373.14244139154636</v>
      </c>
      <c r="S14" s="59">
        <f ca="1">AVERAGE(OFFSET($R$3,0,0,'Données projet'!$E$9+1,1))-AVERAGE(OFFSET($H$3,0,0,'Données projet'!$E$9+1,1))</f>
        <v>706.69239849991595</v>
      </c>
      <c r="T14" s="59">
        <f t="shared" si="34"/>
        <v>310.59887275116529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3.7179487179487181</v>
      </c>
      <c r="AI14" s="13">
        <f>IF('Données projet'!$A$62&gt;35,AI13+AH14-AQ13,IF(A14&lt;'Données projet'!$A$62,$AF$205^A14,IF(A14='Données projet'!$A$62,'Données projet'!$B$62,AI13+AH14-AQ13)))</f>
        <v>15.256410256410255</v>
      </c>
      <c r="AJ14" s="13">
        <f>AI14*VLOOKUP('Données projet'!$B$10,Paramètres!$A$1:$I$89,3,0)*VLOOKUP('Données projet'!$B$10,Paramètres!$A$1:$I$89,5,0)</f>
        <v>15.946000000000002</v>
      </c>
      <c r="AK14" s="13">
        <f t="shared" si="35"/>
        <v>5.3237194363648275</v>
      </c>
      <c r="AL14" s="20">
        <f t="shared" si="4"/>
        <v>37.044761351668747</v>
      </c>
      <c r="AM14" s="59">
        <f t="shared" si="5"/>
        <v>307.15587246277988</v>
      </c>
      <c r="AN14" s="59">
        <f ca="1">AVERAGE(OFFSET($AM$3,0,0,'Données projet'!$E$10+1,1))-AVERAGE(OFFSET($H$3,0,0,'Données projet'!$E$10+1,1))</f>
        <v>239.26156489359892</v>
      </c>
      <c r="AO14" s="59">
        <f t="shared" si="36"/>
        <v>213.97034450798111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2.4666666666666668</v>
      </c>
      <c r="BD14" s="12">
        <f>IF('Données projet'!$A$88&gt;35,BD13+BC14-BL13,IF(A14&lt;'Données projet'!$A$88,$BA$205^A14,IF(A14='Données projet'!$A$88,'Données projet'!$B$88,BD13+BC14-BL13)))</f>
        <v>14.125850240977657</v>
      </c>
      <c r="BE14" s="13">
        <f>BD14*VLOOKUP('Données projet'!$B$11,Paramètres!$A$1:$I$89,3,0)*VLOOKUP('Données projet'!$B$11,Paramètres!$A$1:$I$89,5,0)</f>
        <v>12.340342770518083</v>
      </c>
      <c r="BF14" s="13">
        <f t="shared" si="37"/>
        <v>4.2447175714913801</v>
      </c>
      <c r="BG14" s="20">
        <f t="shared" si="7"/>
        <v>28.885646762333149</v>
      </c>
      <c r="BH14" s="59">
        <f t="shared" si="8"/>
        <v>298.99675787344427</v>
      </c>
      <c r="BI14" s="59">
        <f ca="1">AVERAGE(OFFSET($BH$3,0,0,'Données projet'!$E$11+1,1))-AVERAGE(OFFSET($H$3,0,0,'Données projet'!$E$11+1,1))</f>
        <v>324.86930206492627</v>
      </c>
      <c r="BJ14" s="59">
        <f t="shared" si="38"/>
        <v>317.03005098025352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3.3603333333333336</v>
      </c>
      <c r="BY14" s="12">
        <f>IF('Données projet'!$A$114&gt;35,BY13+BX14-CG13,IF(A14&lt;'Données projet'!$A$114,$BV$205^A14,IF(A14='Données projet'!$A$114,'Données projet'!$B$114,BY13+BX14-CG13)))</f>
        <v>36.963666666666676</v>
      </c>
      <c r="BZ14" s="13">
        <f>BY14*VLOOKUP('Données projet'!$B$12,Paramètres!$A$1:$I$89,3,0)*VLOOKUP('Données projet'!$B$12,Paramètres!$A$1:$I$89,5,0)</f>
        <v>42.094223600000007</v>
      </c>
      <c r="CA14" s="13">
        <f t="shared" si="39"/>
        <v>12.552061807792626</v>
      </c>
      <c r="CB14" s="20">
        <f t="shared" si="10"/>
        <v>95.175613751905487</v>
      </c>
      <c r="CC14" s="59">
        <f t="shared" si="11"/>
        <v>365.28672486301662</v>
      </c>
      <c r="CD14" s="59">
        <f ca="1">AVERAGE(OFFSET($CC$3,0,0,'Données projet'!$E$12+1,1))-AVERAGE(OFFSET($H$3,0,0,'Données projet'!$E$12+1,1))</f>
        <v>593.28343396240075</v>
      </c>
      <c r="CE14" s="59">
        <f t="shared" si="40"/>
        <v>289.66477662068695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4.0942857142857143</v>
      </c>
      <c r="CT14" s="12">
        <f>IF('Données projet'!$A$140&gt;35,CT13+CS14-DB13,IF(A14&lt;'Données projet'!$A$140,$CQ$205^A14,IF(A14='Données projet'!$A$140,'Données projet'!$B$140,CT13+CS14-DB13)))</f>
        <v>45.037142857142868</v>
      </c>
      <c r="CU14" s="17">
        <f>CT14*VLOOKUP('Données projet'!$B$13,Paramètres!$A$1:$I$89,3,0)*VLOOKUP('Données projet'!$B$13,Paramètres!$A$1:$I$89,5,0)</f>
        <v>48.477980571428581</v>
      </c>
      <c r="CV14" s="13">
        <f t="shared" si="41"/>
        <v>14.219987119339399</v>
      </c>
      <c r="CW14" s="20">
        <f t="shared" si="13"/>
        <v>109.19896039475422</v>
      </c>
      <c r="CX14" s="59">
        <f t="shared" si="14"/>
        <v>379.31007150586538</v>
      </c>
      <c r="CY14" s="59">
        <f ca="1">AVERAGE(OFFSET($CX$3,0,0,'Données projet'!$E$13+1,1))-AVERAGE(OFFSET($H$3,0,0,'Données projet'!$E$13+1,1))</f>
        <v>747.18304127457918</v>
      </c>
      <c r="CZ14" s="59">
        <f t="shared" si="42"/>
        <v>327.03701004966723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4.333333333333333</v>
      </c>
      <c r="DO14" s="12">
        <f>IF('Données projet'!$A$166&gt;35,DO13+DN14-DW13,IF(A14&lt;'Données projet'!$A$166,$DL$205^A14,IF(A14='Données projet'!$A$166,'Données projet'!$B$166,DO13+DN14-DW13)))</f>
        <v>21.353535673010011</v>
      </c>
      <c r="DP14" s="17">
        <f>DO14*VLOOKUP('Données projet'!$B$14,Paramètres!$A$1:$I$89,3,0)*VLOOKUP('Données projet'!$B$14,Paramètres!$A$1:$I$89,5,0)</f>
        <v>16.988872981446764</v>
      </c>
      <c r="DQ14" s="13">
        <f t="shared" si="43"/>
        <v>5.6302214668783828</v>
      </c>
      <c r="DR14" s="20">
        <f t="shared" si="16"/>
        <v>39.394922830832961</v>
      </c>
      <c r="DS14" s="59">
        <f t="shared" si="17"/>
        <v>309.50603394194411</v>
      </c>
      <c r="DT14" s="59">
        <f ca="1">AVERAGE(OFFSET($DS$3,0,0,'Données projet'!$E$14+1,1))-AVERAGE(OFFSET($H$3,0,0,'Données projet'!$E$14+1,1))</f>
        <v>353.37479213497227</v>
      </c>
      <c r="DU14" s="59">
        <f t="shared" si="44"/>
        <v>345.4750813433123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18.265714285714285</v>
      </c>
      <c r="EJ14" s="12">
        <f>IF('Données projet'!$A$192&gt;35,EJ13+EI14-ER13,IF(A14&lt;'Données projet'!$A$192,$EG$205^A14,IF(A14='Données projet'!$A$192,'Données projet'!$B$192,EJ13+EI14-ER13)))</f>
        <v>200.92285714285717</v>
      </c>
      <c r="EK14" s="17">
        <f>EJ14*VLOOKUP('Données projet'!$B$15,Paramètres!$A$1:$I$89,3,0)*VLOOKUP('Données projet'!$B$15,Paramètres!$A$1:$I$89,5,0)</f>
        <v>94.031897142857147</v>
      </c>
      <c r="EL14" s="13">
        <f t="shared" si="45"/>
        <v>25.535127465858224</v>
      </c>
      <c r="EM14" s="20">
        <f t="shared" si="19"/>
        <v>208.24590119351259</v>
      </c>
      <c r="EN14" s="59">
        <f t="shared" si="20"/>
        <v>478.35701230462371</v>
      </c>
      <c r="EO14" s="59">
        <f ca="1">AVERAGE(OFFSET($EN$3,0,0,'Données projet'!$E$15+1,1))-AVERAGE(OFFSET($H$3,0,0,'Données projet'!$E$15+1,1))</f>
        <v>433.05041777893922</v>
      </c>
      <c r="EP14" s="59">
        <f t="shared" si="46"/>
        <v>591.24088611958996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1.3675213675213673</v>
      </c>
      <c r="FE14" s="12">
        <f>IF('Données projet'!$A$218&gt;35,FE13+FD14-FM13,IF(A14&lt;'Données projet'!$A$218,$FB$205^A14,IF(A14='Données projet'!$A$218,'Données projet'!$B$218,FE13+FD14-FM13)))</f>
        <v>9.165411015196602</v>
      </c>
      <c r="FF14" s="17">
        <f>FE14*VLOOKUP('Données projet'!$B$16,Paramètres!$A$1:$I$89,3,0)*VLOOKUP('Données projet'!$B$16,Paramètres!$A$1:$I$89,5,0)</f>
        <v>7.4349814155274832</v>
      </c>
      <c r="FG14" s="13">
        <f t="shared" si="47"/>
        <v>2.7127824882220177</v>
      </c>
      <c r="FH14" s="20">
        <f t="shared" si="22"/>
        <v>17.674022132363714</v>
      </c>
      <c r="FI14" s="59">
        <f t="shared" si="23"/>
        <v>287.78513324347483</v>
      </c>
      <c r="FJ14" s="59">
        <f ca="1">AVERAGE(OFFSET($FI$3,0,0,'Données projet'!$E$16+1,1))-AVERAGE(OFFSET($H$3,0,0,'Données projet'!$E$16+1,1))</f>
        <v>159.4660488566085</v>
      </c>
      <c r="FK14" s="59">
        <f t="shared" si="48"/>
        <v>135.33030558297088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4.0942857142857143</v>
      </c>
      <c r="N15" s="13">
        <f>IF('Données projet'!$A$36&gt;35,N14+M15-V14,IF(A15&lt;'Données projet'!$A$36,$K$205^A15,IF(A15='Données projet'!$A$36,'Données projet'!$B$36,N14+M15-V14)))</f>
        <v>49.131428571428586</v>
      </c>
      <c r="O15" s="13">
        <f>N15*VLOOKUP('Données projet'!$B$9,Paramètres!$A$1:$I$89,3,0)*VLOOKUP('Données projet'!$B$9,Paramètres!$A$1:$I$89,5,0)</f>
        <v>49.819268571428587</v>
      </c>
      <c r="P15" s="13">
        <f t="shared" si="33"/>
        <v>14.567075151646579</v>
      </c>
      <c r="Q15" s="20">
        <f t="shared" si="2"/>
        <v>112.13954865102259</v>
      </c>
      <c r="R15" s="59">
        <f t="shared" si="0"/>
        <v>383.47288198435592</v>
      </c>
      <c r="S15" s="59">
        <f ca="1">AVERAGE(OFFSET($R$3,0,0,'Données projet'!$E$9+1,1))-AVERAGE(OFFSET($H$3,0,0,'Données projet'!$E$9+1,1))</f>
        <v>706.69239849991595</v>
      </c>
      <c r="T15" s="59">
        <f t="shared" si="34"/>
        <v>310.59887275116529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3.7179487179487181</v>
      </c>
      <c r="AI15" s="13">
        <f>IF('Données projet'!$A$62&gt;35,AI14+AH15-AQ14,IF(A15&lt;'Données projet'!$A$62,$AF$205^A15,IF(A15='Données projet'!$A$62,'Données projet'!$B$62,AI14+AH15-AQ14)))</f>
        <v>18.974358974358974</v>
      </c>
      <c r="AJ15" s="13">
        <f>AI15*VLOOKUP('Données projet'!$B$10,Paramètres!$A$1:$I$89,3,0)*VLOOKUP('Données projet'!$B$10,Paramètres!$A$1:$I$89,5,0)</f>
        <v>19.832000000000001</v>
      </c>
      <c r="AK15" s="13">
        <f t="shared" si="35"/>
        <v>6.4551318352154752</v>
      </c>
      <c r="AL15" s="20">
        <f t="shared" si="4"/>
        <v>45.783421279666953</v>
      </c>
      <c r="AM15" s="59">
        <f t="shared" si="5"/>
        <v>317.11675461300024</v>
      </c>
      <c r="AN15" s="59">
        <f ca="1">AVERAGE(OFFSET($AM$3,0,0,'Données projet'!$E$10+1,1))-AVERAGE(OFFSET($H$3,0,0,'Données projet'!$E$10+1,1))</f>
        <v>239.26156489359892</v>
      </c>
      <c r="AO15" s="59">
        <f t="shared" si="36"/>
        <v>213.97034450798111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2.4666666666666668</v>
      </c>
      <c r="BD15" s="12">
        <f>IF('Données projet'!$A$88&gt;35,BD14+BC15-BL14,IF(A15&lt;'Données projet'!$A$88,$BA$205^A15,IF(A15='Données projet'!$A$88,'Données projet'!$B$88,BD14+BC15-BL14)))</f>
        <v>17.970550417308221</v>
      </c>
      <c r="BE15" s="13">
        <f>BD15*VLOOKUP('Données projet'!$B$11,Paramètres!$A$1:$I$89,3,0)*VLOOKUP('Données projet'!$B$11,Paramètres!$A$1:$I$89,5,0)</f>
        <v>15.699072844560465</v>
      </c>
      <c r="BF15" s="13">
        <f t="shared" si="37"/>
        <v>5.250810382962916</v>
      </c>
      <c r="BG15" s="20">
        <f t="shared" si="7"/>
        <v>36.48771328793655</v>
      </c>
      <c r="BH15" s="59">
        <f t="shared" si="8"/>
        <v>307.82104662126989</v>
      </c>
      <c r="BI15" s="59">
        <f ca="1">AVERAGE(OFFSET($BH$3,0,0,'Données projet'!$E$11+1,1))-AVERAGE(OFFSET($H$3,0,0,'Données projet'!$E$11+1,1))</f>
        <v>324.86930206492627</v>
      </c>
      <c r="BJ15" s="59">
        <f t="shared" si="38"/>
        <v>317.03005098025352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3.3603333333333336</v>
      </c>
      <c r="BY15" s="12">
        <f>IF('Données projet'!$A$114&gt;35,BY14+BX15-CG14,IF(A15&lt;'Données projet'!$A$114,$BV$205^A15,IF(A15='Données projet'!$A$114,'Données projet'!$B$114,BY14+BX15-CG14)))</f>
        <v>40.324000000000012</v>
      </c>
      <c r="BZ15" s="13">
        <f>BY15*VLOOKUP('Données projet'!$B$12,Paramètres!$A$1:$I$89,3,0)*VLOOKUP('Données projet'!$B$12,Paramètres!$A$1:$I$89,5,0)</f>
        <v>45.920971200000018</v>
      </c>
      <c r="CA15" s="13">
        <f t="shared" si="39"/>
        <v>13.555172275859681</v>
      </c>
      <c r="CB15" s="20">
        <f t="shared" si="10"/>
        <v>103.58761655378898</v>
      </c>
      <c r="CC15" s="59">
        <f t="shared" si="11"/>
        <v>374.92094988712228</v>
      </c>
      <c r="CD15" s="59">
        <f ca="1">AVERAGE(OFFSET($CC$3,0,0,'Données projet'!$E$12+1,1))-AVERAGE(OFFSET($H$3,0,0,'Données projet'!$E$12+1,1))</f>
        <v>593.28343396240075</v>
      </c>
      <c r="CE15" s="59">
        <f t="shared" si="40"/>
        <v>289.66477662068695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4.0942857142857143</v>
      </c>
      <c r="CT15" s="12">
        <f>IF('Données projet'!$A$140&gt;35,CT14+CS15-DB14,IF(A15&lt;'Données projet'!$A$140,$CQ$205^A15,IF(A15='Données projet'!$A$140,'Données projet'!$B$140,CT14+CS15-DB14)))</f>
        <v>49.131428571428586</v>
      </c>
      <c r="CU15" s="17">
        <f>CT15*VLOOKUP('Données projet'!$B$13,Paramètres!$A$1:$I$89,3,0)*VLOOKUP('Données projet'!$B$13,Paramètres!$A$1:$I$89,5,0)</f>
        <v>52.885069714285727</v>
      </c>
      <c r="CV15" s="13">
        <f t="shared" si="41"/>
        <v>15.356391492868891</v>
      </c>
      <c r="CW15" s="20">
        <f t="shared" si="13"/>
        <v>118.85387826912762</v>
      </c>
      <c r="CX15" s="59">
        <f t="shared" si="14"/>
        <v>390.18721160246093</v>
      </c>
      <c r="CY15" s="59">
        <f ca="1">AVERAGE(OFFSET($CX$3,0,0,'Données projet'!$E$13+1,1))-AVERAGE(OFFSET($H$3,0,0,'Données projet'!$E$13+1,1))</f>
        <v>747.18304127457918</v>
      </c>
      <c r="CZ15" s="59">
        <f t="shared" si="42"/>
        <v>327.03701004966723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4.333333333333333</v>
      </c>
      <c r="DO15" s="12">
        <f>IF('Données projet'!$A$166&gt;35,DO14+DN15-DW14,IF(A15&lt;'Données projet'!$A$166,$DL$205^A15,IF(A15='Données projet'!$A$166,'Données projet'!$B$166,DO14+DN15-DW14)))</f>
        <v>28.205297528345746</v>
      </c>
      <c r="DP15" s="17">
        <f>DO15*VLOOKUP('Données projet'!$B$14,Paramètres!$A$1:$I$89,3,0)*VLOOKUP('Données projet'!$B$14,Paramètres!$A$1:$I$89,5,0)</f>
        <v>22.440134713551878</v>
      </c>
      <c r="DQ15" s="13">
        <f t="shared" si="43"/>
        <v>7.1997623443392129</v>
      </c>
      <c r="DR15" s="20">
        <f t="shared" si="16"/>
        <v>51.622820709160315</v>
      </c>
      <c r="DS15" s="59">
        <f t="shared" si="17"/>
        <v>322.95615404249361</v>
      </c>
      <c r="DT15" s="59">
        <f ca="1">AVERAGE(OFFSET($DS$3,0,0,'Données projet'!$E$14+1,1))-AVERAGE(OFFSET($H$3,0,0,'Données projet'!$E$14+1,1))</f>
        <v>353.37479213497227</v>
      </c>
      <c r="DU15" s="59">
        <f t="shared" si="44"/>
        <v>345.4750813433123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18.265714285714285</v>
      </c>
      <c r="EJ15" s="12">
        <f>IF('Données projet'!$A$192&gt;35,EJ14+EI15-ER14,IF(A15&lt;'Données projet'!$A$192,$EG$205^A15,IF(A15='Données projet'!$A$192,'Données projet'!$B$192,EJ14+EI15-ER14)))</f>
        <v>219.18857142857146</v>
      </c>
      <c r="EK15" s="17">
        <f>EJ15*VLOOKUP('Données projet'!$B$15,Paramètres!$A$1:$I$89,3,0)*VLOOKUP('Données projet'!$B$15,Paramètres!$A$1:$I$89,5,0)</f>
        <v>102.58025142857144</v>
      </c>
      <c r="EL15" s="13">
        <f t="shared" si="45"/>
        <v>27.575792502141507</v>
      </c>
      <c r="EM15" s="20">
        <f t="shared" si="19"/>
        <v>226.68844317932505</v>
      </c>
      <c r="EN15" s="59">
        <f t="shared" si="20"/>
        <v>498.02177651265833</v>
      </c>
      <c r="EO15" s="59">
        <f ca="1">AVERAGE(OFFSET($EN$3,0,0,'Données projet'!$E$15+1,1))-AVERAGE(OFFSET($H$3,0,0,'Données projet'!$E$15+1,1))</f>
        <v>433.05041777893922</v>
      </c>
      <c r="EP15" s="59">
        <f t="shared" si="46"/>
        <v>591.24088611958996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1.3675213675213673</v>
      </c>
      <c r="FE15" s="12">
        <f>IF('Données projet'!$A$218&gt;35,FE14+FD15-FM14,IF(A15&lt;'Données projet'!$A$218,$FB$205^A15,IF(A15='Données projet'!$A$218,'Données projet'!$B$218,FE14+FD15-FM14)))</f>
        <v>11.210379219937016</v>
      </c>
      <c r="FF15" s="17">
        <f>FE15*VLOOKUP('Données projet'!$B$16,Paramètres!$A$1:$I$89,3,0)*VLOOKUP('Données projet'!$B$16,Paramètres!$A$1:$I$89,5,0)</f>
        <v>9.093859623212909</v>
      </c>
      <c r="FG15" s="13">
        <f t="shared" si="47"/>
        <v>3.2411715265053496</v>
      </c>
      <c r="FH15" s="20">
        <f t="shared" si="22"/>
        <v>21.483512585759296</v>
      </c>
      <c r="FI15" s="59">
        <f t="shared" si="23"/>
        <v>292.8168459190926</v>
      </c>
      <c r="FJ15" s="59">
        <f ca="1">AVERAGE(OFFSET($FI$3,0,0,'Données projet'!$E$16+1,1))-AVERAGE(OFFSET($H$3,0,0,'Données projet'!$E$16+1,1))</f>
        <v>159.4660488566085</v>
      </c>
      <c r="FK15" s="59">
        <f t="shared" si="48"/>
        <v>135.33030558297088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4.0942857142857143</v>
      </c>
      <c r="N16" s="13">
        <f>IF('Données projet'!$A$36&gt;35,N15+M16-V15,IF(A16&lt;'Données projet'!$A$36,$K$205^A16,IF(A16='Données projet'!$A$36,'Données projet'!$B$36,N15+M16-V15)))</f>
        <v>53.225714285714304</v>
      </c>
      <c r="O16" s="13">
        <f>N16*VLOOKUP('Données projet'!$B$9,Paramètres!$A$1:$I$89,3,0)*VLOOKUP('Données projet'!$B$9,Paramètres!$A$1:$I$89,5,0)</f>
        <v>53.970874285714309</v>
      </c>
      <c r="P16" s="13">
        <f t="shared" si="33"/>
        <v>15.634649796775355</v>
      </c>
      <c r="Q16" s="20">
        <f t="shared" si="2"/>
        <v>121.22962111033615</v>
      </c>
      <c r="R16" s="59">
        <f t="shared" si="0"/>
        <v>393.7851766658917</v>
      </c>
      <c r="S16" s="59">
        <f ca="1">AVERAGE(OFFSET($R$3,0,0,'Données projet'!$E$9+1,1))-AVERAGE(OFFSET($H$3,0,0,'Données projet'!$E$9+1,1))</f>
        <v>706.69239849991595</v>
      </c>
      <c r="T16" s="59">
        <f t="shared" si="34"/>
        <v>310.59887275116529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3.7179487179487181</v>
      </c>
      <c r="AI16" s="13">
        <f>IF('Données projet'!$A$62&gt;35,AI15+AH16-AQ15,IF(A16&lt;'Données projet'!$A$62,$AF$205^A16,IF(A16='Données projet'!$A$62,'Données projet'!$B$62,AI15+AH16-AQ15)))</f>
        <v>22.692307692307693</v>
      </c>
      <c r="AJ16" s="13">
        <f>AI16*VLOOKUP('Données projet'!$B$10,Paramètres!$A$1:$I$89,3,0)*VLOOKUP('Données projet'!$B$10,Paramètres!$A$1:$I$89,5,0)</f>
        <v>23.718000000000004</v>
      </c>
      <c r="AK16" s="13">
        <f t="shared" si="35"/>
        <v>7.5608573241730994</v>
      </c>
      <c r="AL16" s="20">
        <f t="shared" si="4"/>
        <v>54.477343172934816</v>
      </c>
      <c r="AM16" s="59">
        <f t="shared" si="5"/>
        <v>327.03289872849035</v>
      </c>
      <c r="AN16" s="59">
        <f ca="1">AVERAGE(OFFSET($AM$3,0,0,'Données projet'!$E$10+1,1))-AVERAGE(OFFSET($H$3,0,0,'Données projet'!$E$10+1,1))</f>
        <v>239.26156489359892</v>
      </c>
      <c r="AO16" s="59">
        <f t="shared" si="36"/>
        <v>213.97034450798111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2.4666666666666668</v>
      </c>
      <c r="BD16" s="12">
        <f>IF('Données projet'!$A$88&gt;35,BD15+BC16-BL15,IF(A16&lt;'Données projet'!$A$88,$BA$205^A16,IF(A16='Données projet'!$A$88,'Données projet'!$B$88,BD15+BC16-BL15)))</f>
        <v>22.86168101684942</v>
      </c>
      <c r="BE16" s="13">
        <f>BD16*VLOOKUP('Données projet'!$B$11,Paramètres!$A$1:$I$89,3,0)*VLOOKUP('Données projet'!$B$11,Paramètres!$A$1:$I$89,5,0)</f>
        <v>19.971964536319657</v>
      </c>
      <c r="BF16" s="13">
        <f t="shared" si="37"/>
        <v>6.4953696479137237</v>
      </c>
      <c r="BG16" s="20">
        <f t="shared" si="7"/>
        <v>46.097273704206465</v>
      </c>
      <c r="BH16" s="59">
        <f t="shared" si="8"/>
        <v>318.65282925976203</v>
      </c>
      <c r="BI16" s="59">
        <f ca="1">AVERAGE(OFFSET($BH$3,0,0,'Données projet'!$E$11+1,1))-AVERAGE(OFFSET($H$3,0,0,'Données projet'!$E$11+1,1))</f>
        <v>324.86930206492627</v>
      </c>
      <c r="BJ16" s="59">
        <f t="shared" si="38"/>
        <v>317.03005098025352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3.3603333333333336</v>
      </c>
      <c r="BY16" s="12">
        <f>IF('Données projet'!$A$114&gt;35,BY15+BX16-CG15,IF(A16&lt;'Données projet'!$A$114,$BV$205^A16,IF(A16='Données projet'!$A$114,'Données projet'!$B$114,BY15+BX16-CG15)))</f>
        <v>43.684333333333349</v>
      </c>
      <c r="BZ16" s="13">
        <f>BY16*VLOOKUP('Données projet'!$B$12,Paramètres!$A$1:$I$89,3,0)*VLOOKUP('Données projet'!$B$12,Paramètres!$A$1:$I$89,5,0)</f>
        <v>49.747718800000023</v>
      </c>
      <c r="CA16" s="13">
        <f t="shared" si="39"/>
        <v>14.548587774950079</v>
      </c>
      <c r="CB16" s="20">
        <f t="shared" si="10"/>
        <v>111.98273395137143</v>
      </c>
      <c r="CC16" s="59">
        <f t="shared" si="11"/>
        <v>384.53828950692696</v>
      </c>
      <c r="CD16" s="59">
        <f ca="1">AVERAGE(OFFSET($CC$3,0,0,'Données projet'!$E$12+1,1))-AVERAGE(OFFSET($H$3,0,0,'Données projet'!$E$12+1,1))</f>
        <v>593.28343396240075</v>
      </c>
      <c r="CE16" s="59">
        <f t="shared" si="40"/>
        <v>289.66477662068695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4.0942857142857143</v>
      </c>
      <c r="CT16" s="12">
        <f>IF('Données projet'!$A$140&gt;35,CT15+CS16-DB15,IF(A16&lt;'Données projet'!$A$140,$CQ$205^A16,IF(A16='Données projet'!$A$140,'Données projet'!$B$140,CT15+CS16-DB15)))</f>
        <v>53.225714285714304</v>
      </c>
      <c r="CU16" s="17">
        <f>CT16*VLOOKUP('Données projet'!$B$13,Paramètres!$A$1:$I$89,3,0)*VLOOKUP('Données projet'!$B$13,Paramètres!$A$1:$I$89,5,0)</f>
        <v>57.29215885714288</v>
      </c>
      <c r="CV16" s="13">
        <f t="shared" si="41"/>
        <v>16.481812624275978</v>
      </c>
      <c r="CW16" s="20">
        <f t="shared" si="13"/>
        <v>128.48966699680452</v>
      </c>
      <c r="CX16" s="59">
        <f t="shared" si="14"/>
        <v>401.04522255236009</v>
      </c>
      <c r="CY16" s="59">
        <f ca="1">AVERAGE(OFFSET($CX$3,0,0,'Données projet'!$E$13+1,1))-AVERAGE(OFFSET($H$3,0,0,'Données projet'!$E$13+1,1))</f>
        <v>747.18304127457918</v>
      </c>
      <c r="CZ16" s="59">
        <f t="shared" si="42"/>
        <v>327.03701004966723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4.333333333333333</v>
      </c>
      <c r="DO16" s="12">
        <f>IF('Données projet'!$A$166&gt;35,DO15+DN16-DW15,IF(A16&lt;'Données projet'!$A$166,$DL$205^A16,IF(A16='Données projet'!$A$166,'Données projet'!$B$166,DO15+DN16-DW15)))</f>
        <v>37.255601172785397</v>
      </c>
      <c r="DP16" s="17">
        <f>DO16*VLOOKUP('Données projet'!$B$14,Paramètres!$A$1:$I$89,3,0)*VLOOKUP('Données projet'!$B$14,Paramètres!$A$1:$I$89,5,0)</f>
        <v>29.640556293068066</v>
      </c>
      <c r="DQ16" s="13">
        <f t="shared" si="43"/>
        <v>9.2068452582035114</v>
      </c>
      <c r="DR16" s="20">
        <f t="shared" si="16"/>
        <v>67.659224368464649</v>
      </c>
      <c r="DS16" s="59">
        <f t="shared" si="17"/>
        <v>340.21477992402021</v>
      </c>
      <c r="DT16" s="59">
        <f ca="1">AVERAGE(OFFSET($DS$3,0,0,'Données projet'!$E$14+1,1))-AVERAGE(OFFSET($H$3,0,0,'Données projet'!$E$14+1,1))</f>
        <v>353.37479213497227</v>
      </c>
      <c r="DU16" s="59">
        <f t="shared" si="44"/>
        <v>345.4750813433123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18.265714285714285</v>
      </c>
      <c r="EJ16" s="12">
        <f>IF('Données projet'!$A$192&gt;35,EJ15+EI16-ER15,IF(A16&lt;'Données projet'!$A$192,$EG$205^A16,IF(A16='Données projet'!$A$192,'Données projet'!$B$192,EJ15+EI16-ER15)))</f>
        <v>237.45428571428576</v>
      </c>
      <c r="EK16" s="17">
        <f>EJ16*VLOOKUP('Données projet'!$B$15,Paramètres!$A$1:$I$89,3,0)*VLOOKUP('Données projet'!$B$15,Paramètres!$A$1:$I$89,5,0)</f>
        <v>111.12860571428573</v>
      </c>
      <c r="EL16" s="13">
        <f t="shared" si="45"/>
        <v>29.596734701460829</v>
      </c>
      <c r="EM16" s="20">
        <f t="shared" si="19"/>
        <v>245.09663455742523</v>
      </c>
      <c r="EN16" s="59">
        <f t="shared" si="20"/>
        <v>517.65219011298075</v>
      </c>
      <c r="EO16" s="59">
        <f ca="1">AVERAGE(OFFSET($EN$3,0,0,'Données projet'!$E$15+1,1))-AVERAGE(OFFSET($H$3,0,0,'Données projet'!$E$15+1,1))</f>
        <v>433.05041777893922</v>
      </c>
      <c r="EP16" s="59">
        <f t="shared" si="46"/>
        <v>591.24088611958996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1.3675213675213673</v>
      </c>
      <c r="FE16" s="12">
        <f>IF('Données projet'!$A$218&gt;35,FE15+FD16-FM15,IF(A16&lt;'Données projet'!$A$218,$FB$205^A16,IF(A16='Données projet'!$A$218,'Données projet'!$B$218,FE15+FD16-FM15)))</f>
        <v>13.711616647243169</v>
      </c>
      <c r="FF16" s="17">
        <f>FE16*VLOOKUP('Données projet'!$B$16,Paramètres!$A$1:$I$89,3,0)*VLOOKUP('Données projet'!$B$16,Paramètres!$A$1:$I$89,5,0)</f>
        <v>11.122863424243659</v>
      </c>
      <c r="FG16" s="13">
        <f t="shared" si="47"/>
        <v>3.8724788698832282</v>
      </c>
      <c r="FH16" s="20">
        <f t="shared" si="22"/>
        <v>26.116887828937664</v>
      </c>
      <c r="FI16" s="59">
        <f t="shared" si="23"/>
        <v>298.67244338449319</v>
      </c>
      <c r="FJ16" s="59">
        <f ca="1">AVERAGE(OFFSET($FI$3,0,0,'Données projet'!$E$16+1,1))-AVERAGE(OFFSET($H$3,0,0,'Données projet'!$E$16+1,1))</f>
        <v>159.4660488566085</v>
      </c>
      <c r="FK16" s="59">
        <f t="shared" si="48"/>
        <v>135.33030558297088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4.0942857142857143</v>
      </c>
      <c r="N17" s="13">
        <f>IF('Données projet'!$A$36&gt;35,N16+M17-V16,IF(A17&lt;'Données projet'!$A$36,$K$205^A17,IF(A17='Données projet'!$A$36,'Données projet'!$B$36,N16+M17-V16)))</f>
        <v>57.320000000000022</v>
      </c>
      <c r="O17" s="13">
        <f>N17*VLOOKUP('Données projet'!$B$9,Paramètres!$A$1:$I$89,3,0)*VLOOKUP('Données projet'!$B$9,Paramètres!$A$1:$I$89,5,0)</f>
        <v>58.122480000000031</v>
      </c>
      <c r="P17" s="13">
        <f t="shared" si="33"/>
        <v>16.692698298610935</v>
      </c>
      <c r="Q17" s="20">
        <f t="shared" si="2"/>
        <v>130.30310220341408</v>
      </c>
      <c r="R17" s="59">
        <f t="shared" si="0"/>
        <v>404.08087998119186</v>
      </c>
      <c r="S17" s="59">
        <f ca="1">AVERAGE(OFFSET($R$3,0,0,'Données projet'!$E$9+1,1))-AVERAGE(OFFSET($H$3,0,0,'Données projet'!$E$9+1,1))</f>
        <v>706.69239849991595</v>
      </c>
      <c r="T17" s="59">
        <f t="shared" si="34"/>
        <v>310.59887275116529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3.7179487179487181</v>
      </c>
      <c r="AI17" s="13">
        <f>IF('Données projet'!$A$62&gt;35,AI16+AH17-AQ16,IF(A17&lt;'Données projet'!$A$62,$AF$205^A17,IF(A17='Données projet'!$A$62,'Données projet'!$B$62,AI16+AH17-AQ16)))</f>
        <v>26.410256410256412</v>
      </c>
      <c r="AJ17" s="13">
        <f>AI17*VLOOKUP('Données projet'!$B$10,Paramètres!$A$1:$I$89,3,0)*VLOOKUP('Données projet'!$B$10,Paramètres!$A$1:$I$89,5,0)</f>
        <v>27.604000000000006</v>
      </c>
      <c r="AK17" s="13">
        <f t="shared" si="35"/>
        <v>8.6455960616159544</v>
      </c>
      <c r="AL17" s="20">
        <f t="shared" si="4"/>
        <v>63.134713140647797</v>
      </c>
      <c r="AM17" s="59">
        <f t="shared" si="5"/>
        <v>336.91249091842559</v>
      </c>
      <c r="AN17" s="59">
        <f ca="1">AVERAGE(OFFSET($AM$3,0,0,'Données projet'!$E$10+1,1))-AVERAGE(OFFSET($H$3,0,0,'Données projet'!$E$10+1,1))</f>
        <v>239.26156489359892</v>
      </c>
      <c r="AO17" s="59">
        <f t="shared" si="36"/>
        <v>213.97034450798111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2.4666666666666668</v>
      </c>
      <c r="BD17" s="12">
        <f>IF('Données projet'!$A$88&gt;35,BD16+BC17-BL16,IF(A17&lt;'Données projet'!$A$88,$BA$205^A17,IF(A17='Données projet'!$A$88,'Données projet'!$B$88,BD16+BC17-BL16)))</f>
        <v>29.084054009429774</v>
      </c>
      <c r="BE17" s="13">
        <f>BD17*VLOOKUP('Données projet'!$B$11,Paramètres!$A$1:$I$89,3,0)*VLOOKUP('Données projet'!$B$11,Paramètres!$A$1:$I$89,5,0)</f>
        <v>25.407829582637852</v>
      </c>
      <c r="BF17" s="13">
        <f t="shared" si="37"/>
        <v>8.0349172386667025</v>
      </c>
      <c r="BG17" s="20">
        <f t="shared" si="7"/>
        <v>58.246117380438761</v>
      </c>
      <c r="BH17" s="59">
        <f t="shared" si="8"/>
        <v>332.02389515821653</v>
      </c>
      <c r="BI17" s="59">
        <f ca="1">AVERAGE(OFFSET($BH$3,0,0,'Données projet'!$E$11+1,1))-AVERAGE(OFFSET($H$3,0,0,'Données projet'!$E$11+1,1))</f>
        <v>324.86930206492627</v>
      </c>
      <c r="BJ17" s="59">
        <f t="shared" si="38"/>
        <v>317.03005098025352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3.3603333333333336</v>
      </c>
      <c r="BY17" s="12">
        <f>IF('Données projet'!$A$114&gt;35,BY16+BX17-CG16,IF(A17&lt;'Données projet'!$A$114,$BV$205^A17,IF(A17='Données projet'!$A$114,'Données projet'!$B$114,BY16+BX17-CG16)))</f>
        <v>47.044666666666686</v>
      </c>
      <c r="BZ17" s="13">
        <f>BY17*VLOOKUP('Données projet'!$B$12,Paramètres!$A$1:$I$89,3,0)*VLOOKUP('Données projet'!$B$12,Paramètres!$A$1:$I$89,5,0)</f>
        <v>53.574466400000027</v>
      </c>
      <c r="CA17" s="13">
        <f t="shared" si="39"/>
        <v>15.533138864945339</v>
      </c>
      <c r="CB17" s="20">
        <f t="shared" si="10"/>
        <v>120.36241250311315</v>
      </c>
      <c r="CC17" s="59">
        <f t="shared" si="11"/>
        <v>394.14019028089092</v>
      </c>
      <c r="CD17" s="59">
        <f ca="1">AVERAGE(OFFSET($CC$3,0,0,'Données projet'!$E$12+1,1))-AVERAGE(OFFSET($H$3,0,0,'Données projet'!$E$12+1,1))</f>
        <v>593.28343396240075</v>
      </c>
      <c r="CE17" s="59">
        <f t="shared" si="40"/>
        <v>289.66477662068695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4.0942857142857143</v>
      </c>
      <c r="CT17" s="12">
        <f>IF('Données projet'!$A$140&gt;35,CT16+CS17-DB16,IF(A17&lt;'Données projet'!$A$140,$CQ$205^A17,IF(A17='Données projet'!$A$140,'Données projet'!$B$140,CT16+CS17-DB16)))</f>
        <v>57.320000000000022</v>
      </c>
      <c r="CU17" s="17">
        <f>CT17*VLOOKUP('Données projet'!$B$13,Paramètres!$A$1:$I$89,3,0)*VLOOKUP('Données projet'!$B$13,Paramètres!$A$1:$I$89,5,0)</f>
        <v>61.699248000000019</v>
      </c>
      <c r="CV17" s="13">
        <f t="shared" si="41"/>
        <v>17.597191438724803</v>
      </c>
      <c r="CW17" s="20">
        <f t="shared" si="13"/>
        <v>138.10796535577904</v>
      </c>
      <c r="CX17" s="59">
        <f t="shared" si="14"/>
        <v>411.88574313355684</v>
      </c>
      <c r="CY17" s="59">
        <f ca="1">AVERAGE(OFFSET($CX$3,0,0,'Données projet'!$E$13+1,1))-AVERAGE(OFFSET($H$3,0,0,'Données projet'!$E$13+1,1))</f>
        <v>747.18304127457918</v>
      </c>
      <c r="CZ17" s="59">
        <f t="shared" si="42"/>
        <v>327.03701004966723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4.333333333333333</v>
      </c>
      <c r="DO17" s="12">
        <f>IF('Données projet'!$A$166&gt;35,DO16+DN17-DW16,IF(A17&lt;'Données projet'!$A$166,$DL$205^A17,IF(A17='Données projet'!$A$166,'Données projet'!$B$166,DO16+DN17-DW16)))</f>
        <v>49.209898153024547</v>
      </c>
      <c r="DP17" s="17">
        <f>DO17*VLOOKUP('Données projet'!$B$14,Paramètres!$A$1:$I$89,3,0)*VLOOKUP('Données projet'!$B$14,Paramètres!$A$1:$I$89,5,0)</f>
        <v>39.151394970546335</v>
      </c>
      <c r="DQ17" s="13">
        <f t="shared" si="43"/>
        <v>11.773444115853561</v>
      </c>
      <c r="DR17" s="20">
        <f t="shared" si="16"/>
        <v>88.69409474214649</v>
      </c>
      <c r="DS17" s="59">
        <f t="shared" si="17"/>
        <v>362.47187251992426</v>
      </c>
      <c r="DT17" s="59">
        <f ca="1">AVERAGE(OFFSET($DS$3,0,0,'Données projet'!$E$14+1,1))-AVERAGE(OFFSET($H$3,0,0,'Données projet'!$E$14+1,1))</f>
        <v>353.37479213497227</v>
      </c>
      <c r="DU17" s="59">
        <f t="shared" si="44"/>
        <v>345.4750813433123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18.265714285714285</v>
      </c>
      <c r="EJ17" s="12">
        <f>IF('Données projet'!$A$192&gt;35,EJ16+EI17-ER16,IF(A17&lt;'Données projet'!$A$192,$EG$205^A17,IF(A17='Données projet'!$A$192,'Données projet'!$B$192,EJ16+EI17-ER16)))</f>
        <v>255.72000000000006</v>
      </c>
      <c r="EK17" s="17">
        <f>EJ17*VLOOKUP('Données projet'!$B$15,Paramètres!$A$1:$I$89,3,0)*VLOOKUP('Données projet'!$B$15,Paramètres!$A$1:$I$89,5,0)</f>
        <v>119.67696000000002</v>
      </c>
      <c r="EL17" s="13">
        <f t="shared" si="45"/>
        <v>31.599643702758982</v>
      </c>
      <c r="EM17" s="20">
        <f t="shared" si="19"/>
        <v>263.47341811563859</v>
      </c>
      <c r="EN17" s="59">
        <f t="shared" si="20"/>
        <v>537.25119589341637</v>
      </c>
      <c r="EO17" s="59">
        <f ca="1">AVERAGE(OFFSET($EN$3,0,0,'Données projet'!$E$15+1,1))-AVERAGE(OFFSET($H$3,0,0,'Données projet'!$E$15+1,1))</f>
        <v>433.05041777893922</v>
      </c>
      <c r="EP17" s="59">
        <f t="shared" si="46"/>
        <v>591.24088611958996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1.3675213675213673</v>
      </c>
      <c r="FE17" s="12">
        <f>IF('Données projet'!$A$218&gt;35,FE16+FD17-FM16,IF(A17&lt;'Données projet'!$A$218,$FB$205^A17,IF(A17='Données projet'!$A$218,'Données projet'!$B$218,FE16+FD17-FM16)))</f>
        <v>16.770925175001558</v>
      </c>
      <c r="FF17" s="17">
        <f>FE17*VLOOKUP('Données projet'!$B$16,Paramètres!$A$1:$I$89,3,0)*VLOOKUP('Données projet'!$B$16,Paramètres!$A$1:$I$89,5,0)</f>
        <v>13.604574501961265</v>
      </c>
      <c r="FG17" s="13">
        <f t="shared" si="47"/>
        <v>4.6267506903162801</v>
      </c>
      <c r="FH17" s="20">
        <f t="shared" si="22"/>
        <v>31.752891376550057</v>
      </c>
      <c r="FI17" s="59">
        <f t="shared" si="23"/>
        <v>305.53066915432782</v>
      </c>
      <c r="FJ17" s="59">
        <f ca="1">AVERAGE(OFFSET($FI$3,0,0,'Données projet'!$E$16+1,1))-AVERAGE(OFFSET($H$3,0,0,'Données projet'!$E$16+1,1))</f>
        <v>159.4660488566085</v>
      </c>
      <c r="FK17" s="59">
        <f t="shared" si="48"/>
        <v>135.33030558297088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4.0942857142857143</v>
      </c>
      <c r="N18" s="13">
        <f>IF('Données projet'!$A$36&gt;35,N17+M18-V17,IF(A18&lt;'Données projet'!$A$36,$K$205^A18,IF(A18='Données projet'!$A$36,'Données projet'!$B$36,N17+M18-V17)))</f>
        <v>61.414285714285739</v>
      </c>
      <c r="O18" s="13">
        <f>N18*VLOOKUP('Données projet'!$B$9,Paramètres!$A$1:$I$89,3,0)*VLOOKUP('Données projet'!$B$9,Paramètres!$A$1:$I$89,5,0)</f>
        <v>62.274085714285746</v>
      </c>
      <c r="P18" s="13">
        <f t="shared" si="33"/>
        <v>17.741978484825932</v>
      </c>
      <c r="Q18" s="20">
        <f t="shared" si="2"/>
        <v>139.36131181345283</v>
      </c>
      <c r="R18" s="59">
        <f t="shared" si="0"/>
        <v>414.36131181345286</v>
      </c>
      <c r="S18" s="59">
        <f ca="1">AVERAGE(OFFSET($R$3,0,0,'Données projet'!$E$9+1,1))-AVERAGE(OFFSET($H$3,0,0,'Données projet'!$E$9+1,1))</f>
        <v>706.69239849991595</v>
      </c>
      <c r="T18" s="59">
        <f t="shared" si="34"/>
        <v>310.59887275116529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30.128205128205128</v>
      </c>
      <c r="AG18" s="12">
        <f>VLOOKUP(A18,'Données projet'!$A$61:$I$81,9,0)</f>
        <v>3.7179487179487181</v>
      </c>
      <c r="AH18" s="12">
        <f t="array" ref="AH18">INDEX(AG:AG,MIN(IF(ISNUMBER(AG18:AG214),ROW(AG18:AG214),"")))</f>
        <v>3.7179487179487181</v>
      </c>
      <c r="AI18" s="13">
        <f>IF('Données projet'!$A$62&gt;35,AI17+AH18-AQ17,IF(A18&lt;'Données projet'!$A$62,$AF$205^A18,IF(A18='Données projet'!$A$62,'Données projet'!$B$62,AI17+AH18-AQ17)))</f>
        <v>30.128205128205131</v>
      </c>
      <c r="AJ18" s="13">
        <f>AI18*VLOOKUP('Données projet'!$B$10,Paramètres!$A$1:$I$89,3,0)*VLOOKUP('Données projet'!$B$10,Paramètres!$A$1:$I$89,5,0)</f>
        <v>31.490000000000006</v>
      </c>
      <c r="AK18" s="13">
        <f t="shared" si="35"/>
        <v>9.7126430402655597</v>
      </c>
      <c r="AL18" s="20">
        <f t="shared" si="4"/>
        <v>71.761269961795847</v>
      </c>
      <c r="AM18" s="59">
        <f t="shared" si="5"/>
        <v>346.76126996179585</v>
      </c>
      <c r="AN18" s="59">
        <f ca="1">AVERAGE(OFFSET($AM$3,0,0,'Données projet'!$E$10+1,1))-AVERAGE(OFFSET($H$3,0,0,'Données projet'!$E$10+1,1))</f>
        <v>239.26156489359892</v>
      </c>
      <c r="AO18" s="59">
        <f t="shared" si="36"/>
        <v>213.97034450798111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0.215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37</v>
      </c>
      <c r="BB18" s="12">
        <f>VLOOKUP(A18,'Données projet'!$A$87:$I$107,9,0)</f>
        <v>2.4666666666666668</v>
      </c>
      <c r="BC18" s="12">
        <f t="array" ref="BC18">INDEX(BB:BB,MIN(IF(ISNUMBER(BB18:BB214),ROW(BB18:BB214),"")))</f>
        <v>2.4666666666666668</v>
      </c>
      <c r="BD18" s="12">
        <f>IF('Données projet'!$A$88&gt;35,BD17+BC18-BL17,IF(A18&lt;'Données projet'!$A$88,$BA$205^A18,IF(A18='Données projet'!$A$88,'Données projet'!$B$88,BD17+BC18-BL17)))</f>
        <v>37</v>
      </c>
      <c r="BE18" s="13">
        <f>BD18*VLOOKUP('Données projet'!$B$11,Paramètres!$A$1:$I$89,3,0)*VLOOKUP('Données projet'!$B$11,Paramètres!$A$1:$I$89,5,0)</f>
        <v>32.323200000000007</v>
      </c>
      <c r="BF18" s="13">
        <f t="shared" si="37"/>
        <v>9.9393719729191545</v>
      </c>
      <c r="BG18" s="20">
        <f t="shared" si="7"/>
        <v>73.607312852834198</v>
      </c>
      <c r="BH18" s="59">
        <f t="shared" si="8"/>
        <v>348.60731285283418</v>
      </c>
      <c r="BI18" s="59">
        <f ca="1">AVERAGE(OFFSET($BH$3,0,0,'Données projet'!$E$11+1,1))-AVERAGE(OFFSET($H$3,0,0,'Données projet'!$E$11+1,1))</f>
        <v>324.86930206492627</v>
      </c>
      <c r="BJ18" s="59">
        <f t="shared" si="38"/>
        <v>317.03005098025352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15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0.13250000000000001</v>
      </c>
      <c r="BO18" s="16">
        <f>IF(ISNA(VLOOKUP(A18,'Données projet'!$A$87:$I$107,7,0)),0%,VLOOKUP(A18,'Données projet'!$A$87:$I$107,7,0))</f>
        <v>0.25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1.91184867736707</v>
      </c>
      <c r="BR18" s="21">
        <f>EXP(-LN(2)/2)*BR17+(1-EXP(-LN(2)/2))/(LN(2)/2)*BL18*BO18*VLOOKUP('Données projet'!$B$11,Paramètres!$A$1:$I$89,3,0)*0.475*44/12</f>
        <v>3.0909941722472518</v>
      </c>
      <c r="BS18" s="22">
        <f t="shared" si="9"/>
        <v>5.0028428496143214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3.3603333333333336</v>
      </c>
      <c r="BY18" s="12">
        <f>IF('Données projet'!$A$114&gt;35,BY17+BX18-CG17,IF(A18&lt;'Données projet'!$A$114,$BV$205^A18,IF(A18='Données projet'!$A$114,'Données projet'!$B$114,BY17+BX18-CG17)))</f>
        <v>50.405000000000022</v>
      </c>
      <c r="BZ18" s="13">
        <f>BY18*VLOOKUP('Données projet'!$B$12,Paramètres!$A$1:$I$89,3,0)*VLOOKUP('Données projet'!$B$12,Paramètres!$A$1:$I$89,5,0)</f>
        <v>57.401214000000024</v>
      </c>
      <c r="CA18" s="13">
        <f t="shared" si="39"/>
        <v>16.509530730966755</v>
      </c>
      <c r="CB18" s="20">
        <f t="shared" si="10"/>
        <v>128.7278804064338</v>
      </c>
      <c r="CC18" s="59">
        <f t="shared" si="11"/>
        <v>403.72788040643377</v>
      </c>
      <c r="CD18" s="59">
        <f ca="1">AVERAGE(OFFSET($CC$3,0,0,'Données projet'!$E$12+1,1))-AVERAGE(OFFSET($H$3,0,0,'Données projet'!$E$12+1,1))</f>
        <v>593.28343396240075</v>
      </c>
      <c r="CE18" s="59">
        <f t="shared" si="40"/>
        <v>289.66477662068695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4.0942857142857143</v>
      </c>
      <c r="CT18" s="12">
        <f>IF('Données projet'!$A$140&gt;35,CT17+CS18-DB17,IF(A18&lt;'Données projet'!$A$140,$CQ$205^A18,IF(A18='Données projet'!$A$140,'Données projet'!$B$140,CT17+CS18-DB17)))</f>
        <v>61.414285714285739</v>
      </c>
      <c r="CU18" s="17">
        <f>CT18*VLOOKUP('Données projet'!$B$13,Paramètres!$A$1:$I$89,3,0)*VLOOKUP('Données projet'!$B$13,Paramètres!$A$1:$I$89,5,0)</f>
        <v>66.106337142857171</v>
      </c>
      <c r="CV18" s="13">
        <f t="shared" si="41"/>
        <v>18.703326826747876</v>
      </c>
      <c r="CW18" s="20">
        <f t="shared" si="13"/>
        <v>147.71016474706212</v>
      </c>
      <c r="CX18" s="59">
        <f t="shared" si="14"/>
        <v>422.71016474706209</v>
      </c>
      <c r="CY18" s="59">
        <f ca="1">AVERAGE(OFFSET($CX$3,0,0,'Données projet'!$E$13+1,1))-AVERAGE(OFFSET($H$3,0,0,'Données projet'!$E$13+1,1))</f>
        <v>747.18304127457918</v>
      </c>
      <c r="CZ18" s="59">
        <f t="shared" si="42"/>
        <v>327.03701004966723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65</v>
      </c>
      <c r="DM18" s="12">
        <f>VLOOKUP(A18,'Données projet'!$A$165:$I$185,9,0)</f>
        <v>4.333333333333333</v>
      </c>
      <c r="DN18" s="12">
        <f t="array" ref="DN18">INDEX(DM:DM,MIN(IF(ISNUMBER(DM18:DM214),ROW(DM18:DM214),"")))</f>
        <v>4.333333333333333</v>
      </c>
      <c r="DO18" s="12">
        <f>IF('Données projet'!$A$166&gt;35,DO17+DN18-DW17,IF(A18&lt;'Données projet'!$A$166,$DL$205^A18,IF(A18='Données projet'!$A$166,'Données projet'!$B$166,DO17+DN18-DW17)))</f>
        <v>65</v>
      </c>
      <c r="DP18" s="17">
        <f>DO18*VLOOKUP('Données projet'!$B$14,Paramètres!$A$1:$I$89,3,0)*VLOOKUP('Données projet'!$B$14,Paramètres!$A$1:$I$89,5,0)</f>
        <v>51.713999999999999</v>
      </c>
      <c r="DQ18" s="13">
        <f t="shared" si="43"/>
        <v>15.055535578337075</v>
      </c>
      <c r="DR18" s="20">
        <f t="shared" si="16"/>
        <v>116.29027446560372</v>
      </c>
      <c r="DS18" s="59">
        <f t="shared" si="17"/>
        <v>391.29027446560372</v>
      </c>
      <c r="DT18" s="59">
        <f ca="1">AVERAGE(OFFSET($DS$3,0,0,'Données projet'!$E$14+1,1))-AVERAGE(OFFSET($H$3,0,0,'Données projet'!$E$14+1,1))</f>
        <v>353.37479213497227</v>
      </c>
      <c r="DU18" s="59">
        <f t="shared" si="44"/>
        <v>345.4750813433123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32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0.13250000000000001</v>
      </c>
      <c r="DZ18" s="16">
        <f>IF(ISNA(VLOOKUP(A18,'Données projet'!$A$165:$I$185,7,0)),0%,VLOOKUP(A18,'Données projet'!$A$165:$I$185,7,0))</f>
        <v>0.25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3.7144488588845932</v>
      </c>
      <c r="EC18" s="21">
        <f>EXP(-LN(2)/2)*EC17+(1-EXP(-LN(2)/2))/(LN(2)/2)*DW18*DZ18*VLOOKUP('Données projet'!$B$14,Paramètres!$A$1:$I$89,3,0)*0.475*44/12</f>
        <v>6.0053601060803743</v>
      </c>
      <c r="ED18" s="22">
        <f t="shared" si="18"/>
        <v>9.719808964964967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18.265714285714285</v>
      </c>
      <c r="EJ18" s="12">
        <f>IF('Données projet'!$A$192&gt;35,EJ17+EI18-ER17,IF(A18&lt;'Données projet'!$A$192,$EG$205^A18,IF(A18='Données projet'!$A$192,'Données projet'!$B$192,EJ17+EI18-ER17)))</f>
        <v>273.98571428571432</v>
      </c>
      <c r="EK18" s="17">
        <f>EJ18*VLOOKUP('Données projet'!$B$15,Paramètres!$A$1:$I$89,3,0)*VLOOKUP('Données projet'!$B$15,Paramètres!$A$1:$I$89,5,0)</f>
        <v>128.22531428571432</v>
      </c>
      <c r="EL18" s="13">
        <f t="shared" si="45"/>
        <v>33.58595409042816</v>
      </c>
      <c r="EM18" s="20">
        <f t="shared" si="19"/>
        <v>281.82129242178149</v>
      </c>
      <c r="EN18" s="59">
        <f t="shared" si="20"/>
        <v>556.82129242178144</v>
      </c>
      <c r="EO18" s="59">
        <f ca="1">AVERAGE(OFFSET($EN$3,0,0,'Données projet'!$E$15+1,1))-AVERAGE(OFFSET($H$3,0,0,'Données projet'!$E$15+1,1))</f>
        <v>433.05041777893922</v>
      </c>
      <c r="EP18" s="59">
        <f t="shared" si="46"/>
        <v>591.24088611958996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20.512820512820511</v>
      </c>
      <c r="FC18" s="12">
        <f>VLOOKUP(A18,'Données projet'!$A$217:$I$237,9,0)</f>
        <v>1.3675213675213673</v>
      </c>
      <c r="FD18" s="12">
        <f t="array" ref="FD18">INDEX(FC:FC,MIN(IF(ISNUMBER(FC18:FC214),ROW(FC18:FC214),"")))</f>
        <v>1.3675213675213673</v>
      </c>
      <c r="FE18" s="12">
        <f>IF('Données projet'!$A$218&gt;35,FE17+FD18-FM17,IF(A18&lt;'Données projet'!$A$218,$FB$205^A18,IF(A18='Données projet'!$A$218,'Données projet'!$B$218,FE17+FD18-FM17)))</f>
        <v>20.512820512820511</v>
      </c>
      <c r="FF18" s="17">
        <f>FE18*VLOOKUP('Données projet'!$B$16,Paramètres!$A$1:$I$89,3,0)*VLOOKUP('Données projet'!$B$16,Paramètres!$A$1:$I$89,5,0)</f>
        <v>16.64</v>
      </c>
      <c r="FG18" s="13">
        <f t="shared" si="47"/>
        <v>5.5279377033728423</v>
      </c>
      <c r="FH18" s="20">
        <f t="shared" si="22"/>
        <v>38.609158166707701</v>
      </c>
      <c r="FI18" s="59">
        <f t="shared" si="23"/>
        <v>313.60915816670769</v>
      </c>
      <c r="FJ18" s="59">
        <f ca="1">AVERAGE(OFFSET($FI$3,0,0,'Données projet'!$E$16+1,1))-AVERAGE(OFFSET($H$3,0,0,'Données projet'!$E$16+1,1))</f>
        <v>159.4660488566085</v>
      </c>
      <c r="FK18" s="59">
        <f t="shared" si="48"/>
        <v>135.33030558297088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0.1075</v>
      </c>
      <c r="FP18" s="16">
        <f>IF(ISNA(VLOOKUP(A18,'Données projet'!$A$217:$I$237,7,0)),0%,VLOOKUP(A18,'Données projet'!$A$217:$I$237,7,0))</f>
        <v>0.25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4.0942857142857143</v>
      </c>
      <c r="N19" s="13">
        <f>IF('Données projet'!$A$36&gt;35,N18+M19-V18,IF(A19&lt;'Données projet'!$A$36,$K$205^A19,IF(A19='Données projet'!$A$36,'Données projet'!$B$36,N18+M19-V18)))</f>
        <v>65.508571428571457</v>
      </c>
      <c r="O19" s="13">
        <f>N19*VLOOKUP('Données projet'!$B$9,Paramètres!$A$1:$I$89,3,0)*VLOOKUP('Données projet'!$B$9,Paramètres!$A$1:$I$89,5,0)</f>
        <v>66.425691428571454</v>
      </c>
      <c r="P19" s="13">
        <f t="shared" si="33"/>
        <v>18.783141422895284</v>
      </c>
      <c r="Q19" s="20">
        <f t="shared" si="2"/>
        <v>148.40538388297122</v>
      </c>
      <c r="R19" s="59">
        <f t="shared" si="0"/>
        <v>424.62760610519342</v>
      </c>
      <c r="S19" s="59">
        <f ca="1">AVERAGE(OFFSET($R$3,0,0,'Données projet'!$E$9+1,1))-AVERAGE(OFFSET($H$3,0,0,'Données projet'!$E$9+1,1))</f>
        <v>706.69239849991595</v>
      </c>
      <c r="T19" s="59">
        <f t="shared" si="34"/>
        <v>310.59887275116529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5.128205128205126</v>
      </c>
      <c r="AI19" s="13">
        <f>IF('Données projet'!$A$62&gt;35,AI18+AH19-AQ18,IF(A19&lt;'Données projet'!$A$62,$AF$205^A19,IF(A19='Données projet'!$A$62,'Données projet'!$B$62,AI18+AH19-AQ18)))</f>
        <v>35.256410256410255</v>
      </c>
      <c r="AJ19" s="13">
        <f>AI19*VLOOKUP('Données projet'!$B$10,Paramètres!$A$1:$I$89,3,0)*VLOOKUP('Données projet'!$B$10,Paramètres!$A$1:$I$89,5,0)</f>
        <v>36.85</v>
      </c>
      <c r="AK19" s="13">
        <f t="shared" si="35"/>
        <v>11.159795413106259</v>
      </c>
      <c r="AL19" s="20">
        <f t="shared" si="4"/>
        <v>83.617060344493396</v>
      </c>
      <c r="AM19" s="59">
        <f t="shared" si="5"/>
        <v>359.83928256671561</v>
      </c>
      <c r="AN19" s="59">
        <f ca="1">AVERAGE(OFFSET($AM$3,0,0,'Données projet'!$E$10+1,1))-AVERAGE(OFFSET($H$3,0,0,'Données projet'!$E$10+1,1))</f>
        <v>239.26156489359892</v>
      </c>
      <c r="AO19" s="59">
        <f t="shared" si="36"/>
        <v>213.97034450798111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11.6</v>
      </c>
      <c r="BD19" s="12">
        <f>IF('Données projet'!$A$88&gt;35,BD18+BC19-BL18,IF(A19&lt;'Données projet'!$A$88,$BA$205^A19,IF(A19='Données projet'!$A$88,'Données projet'!$B$88,BD18+BC19-BL18)))</f>
        <v>33.6</v>
      </c>
      <c r="BE19" s="13">
        <f>BD19*VLOOKUP('Données projet'!$B$11,Paramètres!$A$1:$I$89,3,0)*VLOOKUP('Données projet'!$B$11,Paramètres!$A$1:$I$89,5,0)</f>
        <v>29.352960000000007</v>
      </c>
      <c r="BF19" s="13">
        <f t="shared" si="37"/>
        <v>9.1278666361046881</v>
      </c>
      <c r="BG19" s="20">
        <f t="shared" si="7"/>
        <v>67.020773057882352</v>
      </c>
      <c r="BH19" s="59">
        <f t="shared" si="8"/>
        <v>343.24299528010459</v>
      </c>
      <c r="BI19" s="59">
        <f ca="1">AVERAGE(OFFSET($BH$3,0,0,'Données projet'!$E$11+1,1))-AVERAGE(OFFSET($H$3,0,0,'Données projet'!$E$11+1,1))</f>
        <v>324.86930206492627</v>
      </c>
      <c r="BJ19" s="59">
        <f t="shared" si="38"/>
        <v>317.03005098025352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1.8595690747447151</v>
      </c>
      <c r="BR19" s="21">
        <f>EXP(-LN(2)/2)*BR18+(1-EXP(-LN(2)/2))/(LN(2)/2)*BL19*BO19*VLOOKUP('Données projet'!$B$11,Paramètres!$A$1:$I$89,3,0)*0.475*44/12</f>
        <v>2.1856629398041312</v>
      </c>
      <c r="BS19" s="22">
        <f t="shared" si="9"/>
        <v>4.0452320145488461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3.3603333333333336</v>
      </c>
      <c r="BY19" s="12">
        <f>IF('Données projet'!$A$114&gt;35,BY18+BX19-CG18,IF(A19&lt;'Données projet'!$A$114,$BV$205^A19,IF(A19='Données projet'!$A$114,'Données projet'!$B$114,BY18+BX19-CG18)))</f>
        <v>53.765333333333359</v>
      </c>
      <c r="BZ19" s="13">
        <f>BY19*VLOOKUP('Données projet'!$B$12,Paramètres!$A$1:$I$89,3,0)*VLOOKUP('Données projet'!$B$12,Paramètres!$A$1:$I$89,5,0)</f>
        <v>61.227961600000029</v>
      </c>
      <c r="CA19" s="13">
        <f t="shared" si="39"/>
        <v>17.478369214042406</v>
      </c>
      <c r="CB19" s="20">
        <f t="shared" si="10"/>
        <v>137.08019283445722</v>
      </c>
      <c r="CC19" s="59">
        <f t="shared" si="11"/>
        <v>413.30241505667948</v>
      </c>
      <c r="CD19" s="59">
        <f ca="1">AVERAGE(OFFSET($CC$3,0,0,'Données projet'!$E$12+1,1))-AVERAGE(OFFSET($H$3,0,0,'Données projet'!$E$12+1,1))</f>
        <v>593.28343396240075</v>
      </c>
      <c r="CE19" s="59">
        <f t="shared" si="40"/>
        <v>289.66477662068695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4.0942857142857143</v>
      </c>
      <c r="CT19" s="12">
        <f>IF('Données projet'!$A$140&gt;35,CT18+CS19-DB18,IF(A19&lt;'Données projet'!$A$140,$CQ$205^A19,IF(A19='Données projet'!$A$140,'Données projet'!$B$140,CT18+CS19-DB18)))</f>
        <v>65.508571428571457</v>
      </c>
      <c r="CU19" s="17">
        <f>CT19*VLOOKUP('Données projet'!$B$13,Paramètres!$A$1:$I$89,3,0)*VLOOKUP('Données projet'!$B$13,Paramètres!$A$1:$I$89,5,0)</f>
        <v>70.513426285714317</v>
      </c>
      <c r="CV19" s="13">
        <f t="shared" si="41"/>
        <v>19.800905133883287</v>
      </c>
      <c r="CW19" s="20">
        <f t="shared" si="13"/>
        <v>157.29746055579915</v>
      </c>
      <c r="CX19" s="59">
        <f t="shared" si="14"/>
        <v>433.51968277802138</v>
      </c>
      <c r="CY19" s="59">
        <f ca="1">AVERAGE(OFFSET($CX$3,0,0,'Données projet'!$E$13+1,1))-AVERAGE(OFFSET($H$3,0,0,'Données projet'!$E$13+1,1))</f>
        <v>747.18304127457918</v>
      </c>
      <c r="CZ19" s="59">
        <f t="shared" si="42"/>
        <v>327.03701004966723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13.8</v>
      </c>
      <c r="DO19" s="12">
        <f>IF('Données projet'!$A$166&gt;35,DO18+DN19-DW18,IF(A19&lt;'Données projet'!$A$166,$DL$205^A19,IF(A19='Données projet'!$A$166,'Données projet'!$B$166,DO18+DN19-DW18)))</f>
        <v>46.8</v>
      </c>
      <c r="DP19" s="17">
        <f>DO19*VLOOKUP('Données projet'!$B$14,Paramètres!$A$1:$I$89,3,0)*VLOOKUP('Données projet'!$B$14,Paramètres!$A$1:$I$89,5,0)</f>
        <v>37.234079999999999</v>
      </c>
      <c r="DQ19" s="13">
        <f t="shared" si="43"/>
        <v>11.262510356679771</v>
      </c>
      <c r="DR19" s="20">
        <f t="shared" si="16"/>
        <v>84.464894871217254</v>
      </c>
      <c r="DS19" s="59">
        <f t="shared" si="17"/>
        <v>360.6871170934395</v>
      </c>
      <c r="DT19" s="59">
        <f ca="1">AVERAGE(OFFSET($DS$3,0,0,'Données projet'!$E$14+1,1))-AVERAGE(OFFSET($H$3,0,0,'Données projet'!$E$14+1,1))</f>
        <v>353.37479213497227</v>
      </c>
      <c r="DU19" s="59">
        <f t="shared" si="44"/>
        <v>345.4750813433123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3.6128770595040178</v>
      </c>
      <c r="EC19" s="21">
        <f>EXP(-LN(2)/2)*EC18+(1-EXP(-LN(2)/2))/(LN(2)/2)*DW19*DZ19*VLOOKUP('Données projet'!$B$14,Paramètres!$A$1:$I$89,3,0)*0.475*44/12</f>
        <v>4.2464308544765972</v>
      </c>
      <c r="ED19" s="22">
        <f t="shared" si="18"/>
        <v>7.859307913980615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18.265714285714285</v>
      </c>
      <c r="EJ19" s="12">
        <f>IF('Données projet'!$A$192&gt;35,EJ18+EI19-ER18,IF(A19&lt;'Données projet'!$A$192,$EG$205^A19,IF(A19='Données projet'!$A$192,'Données projet'!$B$192,EJ18+EI19-ER18)))</f>
        <v>292.25142857142862</v>
      </c>
      <c r="EK19" s="17">
        <f>EJ19*VLOOKUP('Données projet'!$B$15,Paramètres!$A$1:$I$89,3,0)*VLOOKUP('Données projet'!$B$15,Paramètres!$A$1:$I$89,5,0)</f>
        <v>136.7736685714286</v>
      </c>
      <c r="EL19" s="13">
        <f t="shared" si="45"/>
        <v>35.556898349466657</v>
      </c>
      <c r="EM19" s="20">
        <f t="shared" si="19"/>
        <v>300.14240405389256</v>
      </c>
      <c r="EN19" s="59">
        <f t="shared" si="20"/>
        <v>576.36462627611479</v>
      </c>
      <c r="EO19" s="59">
        <f ca="1">AVERAGE(OFFSET($EN$3,0,0,'Données projet'!$E$15+1,1))-AVERAGE(OFFSET($H$3,0,0,'Données projet'!$E$15+1,1))</f>
        <v>433.05041777893922</v>
      </c>
      <c r="EP19" s="59">
        <f t="shared" si="46"/>
        <v>591.24088611958996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2.8205128205128203</v>
      </c>
      <c r="FE19" s="12">
        <f>IF('Données projet'!$A$218&gt;35,FE18+FD19-FM18,IF(A19&lt;'Données projet'!$A$218,$FB$205^A19,IF(A19='Données projet'!$A$218,'Données projet'!$B$218,FE18+FD19-FM18)))</f>
        <v>23.333333333333332</v>
      </c>
      <c r="FF19" s="17">
        <f>FE19*VLOOKUP('Données projet'!$B$16,Paramètres!$A$1:$I$89,3,0)*VLOOKUP('Données projet'!$B$16,Paramètres!$A$1:$I$89,5,0)</f>
        <v>18.928000000000001</v>
      </c>
      <c r="FG19" s="13">
        <f t="shared" si="47"/>
        <v>6.1944364515705423</v>
      </c>
      <c r="FH19" s="20">
        <f t="shared" si="22"/>
        <v>43.754910153152025</v>
      </c>
      <c r="FI19" s="59">
        <f t="shared" si="23"/>
        <v>319.97713237537425</v>
      </c>
      <c r="FJ19" s="59">
        <f ca="1">AVERAGE(OFFSET($FI$3,0,0,'Données projet'!$E$16+1,1))-AVERAGE(OFFSET($H$3,0,0,'Données projet'!$E$16+1,1))</f>
        <v>159.4660488566085</v>
      </c>
      <c r="FK19" s="59">
        <f t="shared" si="48"/>
        <v>135.33030558297088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4.0942857142857143</v>
      </c>
      <c r="N20" s="13">
        <f>IF('Données projet'!$A$36&gt;35,N19+M20-V19,IF(A20&lt;'Données projet'!$A$36,$K$205^A20,IF(A20='Données projet'!$A$36,'Données projet'!$B$36,N19+M20-V19)))</f>
        <v>69.602857142857175</v>
      </c>
      <c r="O20" s="13">
        <f>N20*VLOOKUP('Données projet'!$B$9,Paramètres!$A$1:$I$89,3,0)*VLOOKUP('Données projet'!$B$9,Paramètres!$A$1:$I$89,5,0)</f>
        <v>70.577297142857176</v>
      </c>
      <c r="P20" s="13">
        <f t="shared" si="33"/>
        <v>19.816752197053003</v>
      </c>
      <c r="Q20" s="20">
        <f t="shared" si="2"/>
        <v>157.43630260034357</v>
      </c>
      <c r="R20" s="59">
        <f t="shared" si="0"/>
        <v>434.880747044788</v>
      </c>
      <c r="S20" s="59">
        <f ca="1">AVERAGE(OFFSET($R$3,0,0,'Données projet'!$E$9+1,1))-AVERAGE(OFFSET($H$3,0,0,'Données projet'!$E$9+1,1))</f>
        <v>706.69239849991595</v>
      </c>
      <c r="T20" s="59">
        <f t="shared" si="34"/>
        <v>310.59887275116529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5.128205128205126</v>
      </c>
      <c r="AI20" s="13">
        <f>IF('Données projet'!$A$62&gt;35,AI19+AH20-AQ19,IF(A20&lt;'Données projet'!$A$62,$AF$205^A20,IF(A20='Données projet'!$A$62,'Données projet'!$B$62,AI19+AH20-AQ19)))</f>
        <v>40.38461538461538</v>
      </c>
      <c r="AJ20" s="13">
        <f>AI20*VLOOKUP('Données projet'!$B$10,Paramètres!$A$1:$I$89,3,0)*VLOOKUP('Données projet'!$B$10,Paramètres!$A$1:$I$89,5,0)</f>
        <v>42.21</v>
      </c>
      <c r="AK20" s="13">
        <f t="shared" si="35"/>
        <v>12.582561739030865</v>
      </c>
      <c r="AL20" s="20">
        <f t="shared" si="4"/>
        <v>95.430378362145419</v>
      </c>
      <c r="AM20" s="59">
        <f t="shared" si="5"/>
        <v>372.87482280658986</v>
      </c>
      <c r="AN20" s="59">
        <f ca="1">AVERAGE(OFFSET($AM$3,0,0,'Données projet'!$E$10+1,1))-AVERAGE(OFFSET($H$3,0,0,'Données projet'!$E$10+1,1))</f>
        <v>239.26156489359892</v>
      </c>
      <c r="AO20" s="59">
        <f t="shared" si="36"/>
        <v>213.97034450798111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11.6</v>
      </c>
      <c r="BD20" s="12">
        <f>IF('Données projet'!$A$88&gt;35,BD19+BC20-BL19,IF(A20&lt;'Données projet'!$A$88,$BA$205^A20,IF(A20='Données projet'!$A$88,'Données projet'!$B$88,BD19+BC20-BL19)))</f>
        <v>45.2</v>
      </c>
      <c r="BE20" s="13">
        <f>BD20*VLOOKUP('Données projet'!$B$11,Paramètres!$A$1:$I$89,3,0)*VLOOKUP('Données projet'!$B$11,Paramètres!$A$1:$I$89,5,0)</f>
        <v>39.486720000000005</v>
      </c>
      <c r="BF20" s="13">
        <f t="shared" si="37"/>
        <v>11.862499896265861</v>
      </c>
      <c r="BG20" s="20">
        <f t="shared" si="7"/>
        <v>89.433224652663043</v>
      </c>
      <c r="BH20" s="59">
        <f t="shared" si="8"/>
        <v>366.87766909710751</v>
      </c>
      <c r="BI20" s="59">
        <f ca="1">AVERAGE(OFFSET($BH$3,0,0,'Données projet'!$E$11+1,1))-AVERAGE(OFFSET($H$3,0,0,'Données projet'!$E$11+1,1))</f>
        <v>324.86930206492627</v>
      </c>
      <c r="BJ20" s="59">
        <f t="shared" si="38"/>
        <v>317.03005098025352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1.8087190606053334</v>
      </c>
      <c r="BR20" s="21">
        <f>EXP(-LN(2)/2)*BR19+(1-EXP(-LN(2)/2))/(LN(2)/2)*BL20*BO20*VLOOKUP('Données projet'!$B$11,Paramètres!$A$1:$I$89,3,0)*0.475*44/12</f>
        <v>1.5454970861236261</v>
      </c>
      <c r="BS20" s="22">
        <f t="shared" si="9"/>
        <v>3.3542161467289597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3.3603333333333336</v>
      </c>
      <c r="BY20" s="12">
        <f>IF('Données projet'!$A$114&gt;35,BY19+BX20-CG19,IF(A20&lt;'Données projet'!$A$114,$BV$205^A20,IF(A20='Données projet'!$A$114,'Données projet'!$B$114,BY19+BX20-CG19)))</f>
        <v>57.125666666666696</v>
      </c>
      <c r="BZ20" s="13">
        <f>BY20*VLOOKUP('Données projet'!$B$12,Paramètres!$A$1:$I$89,3,0)*VLOOKUP('Données projet'!$B$12,Paramètres!$A$1:$I$89,5,0)</f>
        <v>65.054709200000033</v>
      </c>
      <c r="CA20" s="13">
        <f t="shared" si="39"/>
        <v>18.440180144791182</v>
      </c>
      <c r="CB20" s="20">
        <f t="shared" si="10"/>
        <v>145.42026560884469</v>
      </c>
      <c r="CC20" s="59">
        <f t="shared" si="11"/>
        <v>422.86471005328917</v>
      </c>
      <c r="CD20" s="59">
        <f ca="1">AVERAGE(OFFSET($CC$3,0,0,'Données projet'!$E$12+1,1))-AVERAGE(OFFSET($H$3,0,0,'Données projet'!$E$12+1,1))</f>
        <v>593.28343396240075</v>
      </c>
      <c r="CE20" s="59">
        <f t="shared" si="40"/>
        <v>289.66477662068695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4.0942857142857143</v>
      </c>
      <c r="CT20" s="12">
        <f>IF('Données projet'!$A$140&gt;35,CT19+CS20-DB19,IF(A20&lt;'Données projet'!$A$140,$CQ$205^A20,IF(A20='Données projet'!$A$140,'Données projet'!$B$140,CT19+CS20-DB19)))</f>
        <v>69.602857142857175</v>
      </c>
      <c r="CU20" s="17">
        <f>CT20*VLOOKUP('Données projet'!$B$13,Paramètres!$A$1:$I$89,3,0)*VLOOKUP('Données projet'!$B$13,Paramètres!$A$1:$I$89,5,0)</f>
        <v>74.920515428571463</v>
      </c>
      <c r="CV20" s="13">
        <f t="shared" si="41"/>
        <v>20.890522063429991</v>
      </c>
      <c r="CW20" s="20">
        <f t="shared" si="13"/>
        <v>166.87089029856921</v>
      </c>
      <c r="CX20" s="59">
        <f t="shared" si="14"/>
        <v>444.31533474301364</v>
      </c>
      <c r="CY20" s="59">
        <f ca="1">AVERAGE(OFFSET($CX$3,0,0,'Données projet'!$E$13+1,1))-AVERAGE(OFFSET($H$3,0,0,'Données projet'!$E$13+1,1))</f>
        <v>747.18304127457918</v>
      </c>
      <c r="CZ20" s="59">
        <f t="shared" si="42"/>
        <v>327.03701004966723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13.8</v>
      </c>
      <c r="DO20" s="12">
        <f>IF('Données projet'!$A$166&gt;35,DO19+DN20-DW19,IF(A20&lt;'Données projet'!$A$166,$DL$205^A20,IF(A20='Données projet'!$A$166,'Données projet'!$B$166,DO19+DN20-DW19)))</f>
        <v>60.599999999999994</v>
      </c>
      <c r="DP20" s="17">
        <f>DO20*VLOOKUP('Données projet'!$B$14,Paramètres!$A$1:$I$89,3,0)*VLOOKUP('Données projet'!$B$14,Paramètres!$A$1:$I$89,5,0)</f>
        <v>48.213360000000002</v>
      </c>
      <c r="DQ20" s="13">
        <f t="shared" si="43"/>
        <v>14.151379520104694</v>
      </c>
      <c r="DR20" s="20">
        <f t="shared" si="16"/>
        <v>108.61858799751566</v>
      </c>
      <c r="DS20" s="59">
        <f t="shared" si="17"/>
        <v>386.0630324419601</v>
      </c>
      <c r="DT20" s="59">
        <f ca="1">AVERAGE(OFFSET($DS$3,0,0,'Données projet'!$E$14+1,1))-AVERAGE(OFFSET($H$3,0,0,'Données projet'!$E$14+1,1))</f>
        <v>353.37479213497227</v>
      </c>
      <c r="DU20" s="59">
        <f t="shared" si="44"/>
        <v>345.4750813433123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3.514082746318933</v>
      </c>
      <c r="EC20" s="21">
        <f>EXP(-LN(2)/2)*EC19+(1-EXP(-LN(2)/2))/(LN(2)/2)*DW20*DZ20*VLOOKUP('Données projet'!$B$14,Paramètres!$A$1:$I$89,3,0)*0.475*44/12</f>
        <v>3.0026800530401876</v>
      </c>
      <c r="ED20" s="22">
        <f t="shared" si="18"/>
        <v>6.5167627993591211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18.265714285714285</v>
      </c>
      <c r="EJ20" s="12">
        <f>IF('Données projet'!$A$192&gt;35,EJ19+EI20-ER19,IF(A20&lt;'Données projet'!$A$192,$EG$205^A20,IF(A20='Données projet'!$A$192,'Données projet'!$B$192,EJ19+EI20-ER19)))</f>
        <v>310.51714285714291</v>
      </c>
      <c r="EK20" s="17">
        <f>EJ20*VLOOKUP('Données projet'!$B$15,Paramètres!$A$1:$I$89,3,0)*VLOOKUP('Données projet'!$B$15,Paramètres!$A$1:$I$89,5,0)</f>
        <v>145.32202285714288</v>
      </c>
      <c r="EL20" s="13">
        <f t="shared" si="45"/>
        <v>37.513546196713442</v>
      </c>
      <c r="EM20" s="20">
        <f t="shared" si="19"/>
        <v>318.4386161021331</v>
      </c>
      <c r="EN20" s="59">
        <f t="shared" si="20"/>
        <v>595.88306054657755</v>
      </c>
      <c r="EO20" s="59">
        <f ca="1">AVERAGE(OFFSET($EN$3,0,0,'Données projet'!$E$15+1,1))-AVERAGE(OFFSET($H$3,0,0,'Données projet'!$E$15+1,1))</f>
        <v>433.05041777893922</v>
      </c>
      <c r="EP20" s="59">
        <f t="shared" si="46"/>
        <v>591.24088611958996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2.8205128205128203</v>
      </c>
      <c r="FE20" s="12">
        <f>IF('Données projet'!$A$218&gt;35,FE19+FD20-FM19,IF(A20&lt;'Données projet'!$A$218,$FB$205^A20,IF(A20='Données projet'!$A$218,'Données projet'!$B$218,FE19+FD20-FM19)))</f>
        <v>26.153846153846153</v>
      </c>
      <c r="FF20" s="17">
        <f>FE20*VLOOKUP('Données projet'!$B$16,Paramètres!$A$1:$I$89,3,0)*VLOOKUP('Données projet'!$B$16,Paramètres!$A$1:$I$89,5,0)</f>
        <v>21.216000000000001</v>
      </c>
      <c r="FG20" s="13">
        <f t="shared" si="47"/>
        <v>6.8515990331828363</v>
      </c>
      <c r="FH20" s="20">
        <f t="shared" si="22"/>
        <v>48.884401649460102</v>
      </c>
      <c r="FI20" s="59">
        <f t="shared" si="23"/>
        <v>326.32884609390453</v>
      </c>
      <c r="FJ20" s="59">
        <f ca="1">AVERAGE(OFFSET($FI$3,0,0,'Données projet'!$E$16+1,1))-AVERAGE(OFFSET($H$3,0,0,'Données projet'!$E$16+1,1))</f>
        <v>159.4660488566085</v>
      </c>
      <c r="FK20" s="59">
        <f t="shared" si="48"/>
        <v>135.33030558297088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4.0942857142857143</v>
      </c>
      <c r="N21" s="13">
        <f>IF('Données projet'!$A$36&gt;35,N20+M21-V20,IF(A21&lt;'Données projet'!$A$36,$K$205^A21,IF(A21='Données projet'!$A$36,'Données projet'!$B$36,N20+M21-V20)))</f>
        <v>73.697142857142893</v>
      </c>
      <c r="O21" s="13">
        <f>N21*VLOOKUP('Données projet'!$B$9,Paramètres!$A$1:$I$89,3,0)*VLOOKUP('Données projet'!$B$9,Paramètres!$A$1:$I$89,5,0)</f>
        <v>74.728902857142899</v>
      </c>
      <c r="P21" s="13">
        <f t="shared" si="33"/>
        <v>20.843305655503205</v>
      </c>
      <c r="Q21" s="20">
        <f t="shared" si="2"/>
        <v>166.45492982619194</v>
      </c>
      <c r="R21" s="59">
        <f t="shared" si="0"/>
        <v>445.12159649285866</v>
      </c>
      <c r="S21" s="59">
        <f ca="1">AVERAGE(OFFSET($R$3,0,0,'Données projet'!$E$9+1,1))-AVERAGE(OFFSET($H$3,0,0,'Données projet'!$E$9+1,1))</f>
        <v>706.69239849991595</v>
      </c>
      <c r="T21" s="59">
        <f t="shared" si="34"/>
        <v>310.59887275116529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5.128205128205126</v>
      </c>
      <c r="AI21" s="13">
        <f>IF('Données projet'!$A$62&gt;35,AI20+AH21-AQ20,IF(A21&lt;'Données projet'!$A$62,$AF$205^A21,IF(A21='Données projet'!$A$62,'Données projet'!$B$62,AI20+AH21-AQ20)))</f>
        <v>45.512820512820504</v>
      </c>
      <c r="AJ21" s="13">
        <f>AI21*VLOOKUP('Données projet'!$B$10,Paramètres!$A$1:$I$89,3,0)*VLOOKUP('Données projet'!$B$10,Paramètres!$A$1:$I$89,5,0)</f>
        <v>47.57</v>
      </c>
      <c r="AK21" s="13">
        <f t="shared" si="35"/>
        <v>13.984393551590529</v>
      </c>
      <c r="AL21" s="20">
        <f t="shared" si="4"/>
        <v>107.20723543568683</v>
      </c>
      <c r="AM21" s="59">
        <f t="shared" si="5"/>
        <v>385.8739021023535</v>
      </c>
      <c r="AN21" s="59">
        <f ca="1">AVERAGE(OFFSET($AM$3,0,0,'Données projet'!$E$10+1,1))-AVERAGE(OFFSET($H$3,0,0,'Données projet'!$E$10+1,1))</f>
        <v>239.26156489359892</v>
      </c>
      <c r="AO21" s="59">
        <f t="shared" si="36"/>
        <v>213.97034450798111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11.6</v>
      </c>
      <c r="BD21" s="12">
        <f>IF('Données projet'!$A$88&gt;35,BD20+BC21-BL20,IF(A21&lt;'Données projet'!$A$88,$BA$205^A21,IF(A21='Données projet'!$A$88,'Données projet'!$B$88,BD20+BC21-BL20)))</f>
        <v>56.800000000000004</v>
      </c>
      <c r="BE21" s="13">
        <f>BD21*VLOOKUP('Données projet'!$B$11,Paramètres!$A$1:$I$89,3,0)*VLOOKUP('Données projet'!$B$11,Paramètres!$A$1:$I$89,5,0)</f>
        <v>49.620480000000015</v>
      </c>
      <c r="BF21" s="13">
        <f t="shared" si="37"/>
        <v>14.515703547444382</v>
      </c>
      <c r="BG21" s="20">
        <f t="shared" si="7"/>
        <v>111.70385301179901</v>
      </c>
      <c r="BH21" s="59">
        <f t="shared" si="8"/>
        <v>390.37051967846571</v>
      </c>
      <c r="BI21" s="59">
        <f ca="1">AVERAGE(OFFSET($BH$3,0,0,'Données projet'!$E$11+1,1))-AVERAGE(OFFSET($H$3,0,0,'Données projet'!$E$11+1,1))</f>
        <v>324.86930206492627</v>
      </c>
      <c r="BJ21" s="59">
        <f t="shared" si="38"/>
        <v>317.03005098025352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1.7592595427766791</v>
      </c>
      <c r="BR21" s="21">
        <f>EXP(-LN(2)/2)*BR20+(1-EXP(-LN(2)/2))/(LN(2)/2)*BL21*BO21*VLOOKUP('Données projet'!$B$11,Paramètres!$A$1:$I$89,3,0)*0.475*44/12</f>
        <v>1.0928314699020658</v>
      </c>
      <c r="BS21" s="22">
        <f t="shared" si="9"/>
        <v>2.8520910126787449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3.3603333333333336</v>
      </c>
      <c r="BY21" s="12">
        <f>IF('Données projet'!$A$114&gt;35,BY20+BX21-CG20,IF(A21&lt;'Données projet'!$A$114,$BV$205^A21,IF(A21='Données projet'!$A$114,'Données projet'!$B$114,BY20+BX21-CG20)))</f>
        <v>60.486000000000033</v>
      </c>
      <c r="BZ21" s="13">
        <f>BY21*VLOOKUP('Données projet'!$B$12,Paramètres!$A$1:$I$89,3,0)*VLOOKUP('Données projet'!$B$12,Paramètres!$A$1:$I$89,5,0)</f>
        <v>68.881456800000038</v>
      </c>
      <c r="CA21" s="13">
        <f t="shared" si="39"/>
        <v>19.395423996752726</v>
      </c>
      <c r="CB21" s="20">
        <f t="shared" si="10"/>
        <v>153.74890072101104</v>
      </c>
      <c r="CC21" s="59">
        <f t="shared" si="11"/>
        <v>432.4155673876777</v>
      </c>
      <c r="CD21" s="59">
        <f ca="1">AVERAGE(OFFSET($CC$3,0,0,'Données projet'!$E$12+1,1))-AVERAGE(OFFSET($H$3,0,0,'Données projet'!$E$12+1,1))</f>
        <v>593.28343396240075</v>
      </c>
      <c r="CE21" s="59">
        <f t="shared" si="40"/>
        <v>289.66477662068695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4.0942857142857143</v>
      </c>
      <c r="CT21" s="12">
        <f>IF('Données projet'!$A$140&gt;35,CT20+CS21-DB20,IF(A21&lt;'Données projet'!$A$140,$CQ$205^A21,IF(A21='Données projet'!$A$140,'Données projet'!$B$140,CT20+CS21-DB20)))</f>
        <v>73.697142857142893</v>
      </c>
      <c r="CU21" s="17">
        <f>CT21*VLOOKUP('Données projet'!$B$13,Paramètres!$A$1:$I$89,3,0)*VLOOKUP('Données projet'!$B$13,Paramètres!$A$1:$I$89,5,0)</f>
        <v>79.327604571428608</v>
      </c>
      <c r="CV21" s="13">
        <f t="shared" si="41"/>
        <v>21.972699276920789</v>
      </c>
      <c r="CW21" s="20">
        <f t="shared" si="13"/>
        <v>176.43136253587519</v>
      </c>
      <c r="CX21" s="59">
        <f t="shared" si="14"/>
        <v>455.09802920254185</v>
      </c>
      <c r="CY21" s="59">
        <f ca="1">AVERAGE(OFFSET($CX$3,0,0,'Données projet'!$E$13+1,1))-AVERAGE(OFFSET($H$3,0,0,'Données projet'!$E$13+1,1))</f>
        <v>747.18304127457918</v>
      </c>
      <c r="CZ21" s="59">
        <f t="shared" si="42"/>
        <v>327.03701004966723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13.8</v>
      </c>
      <c r="DO21" s="12">
        <f>IF('Données projet'!$A$166&gt;35,DO20+DN21-DW20,IF(A21&lt;'Données projet'!$A$166,$DL$205^A21,IF(A21='Données projet'!$A$166,'Données projet'!$B$166,DO20+DN21-DW20)))</f>
        <v>74.399999999999991</v>
      </c>
      <c r="DP21" s="17">
        <f>DO21*VLOOKUP('Données projet'!$B$14,Paramètres!$A$1:$I$89,3,0)*VLOOKUP('Données projet'!$B$14,Paramètres!$A$1:$I$89,5,0)</f>
        <v>59.192639999999997</v>
      </c>
      <c r="DQ21" s="13">
        <f t="shared" si="43"/>
        <v>16.963982408330725</v>
      </c>
      <c r="DR21" s="20">
        <f t="shared" si="16"/>
        <v>132.63945069450935</v>
      </c>
      <c r="DS21" s="59">
        <f t="shared" si="17"/>
        <v>411.30611736117601</v>
      </c>
      <c r="DT21" s="59">
        <f ca="1">AVERAGE(OFFSET($DS$3,0,0,'Données projet'!$E$14+1,1))-AVERAGE(OFFSET($H$3,0,0,'Données projet'!$E$14+1,1))</f>
        <v>353.37479213497227</v>
      </c>
      <c r="DU21" s="59">
        <f t="shared" si="44"/>
        <v>345.4750813433123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3.4179899688232616</v>
      </c>
      <c r="EC21" s="21">
        <f>EXP(-LN(2)/2)*EC20+(1-EXP(-LN(2)/2))/(LN(2)/2)*DW21*DZ21*VLOOKUP('Données projet'!$B$14,Paramètres!$A$1:$I$89,3,0)*0.475*44/12</f>
        <v>2.123215427238299</v>
      </c>
      <c r="ED21" s="22">
        <f t="shared" si="18"/>
        <v>5.5412053960615602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18.265714285714285</v>
      </c>
      <c r="EJ21" s="12">
        <f>IF('Données projet'!$A$192&gt;35,EJ20+EI21-ER20,IF(A21&lt;'Données projet'!$A$192,$EG$205^A21,IF(A21='Données projet'!$A$192,'Données projet'!$B$192,EJ20+EI21-ER20)))</f>
        <v>328.78285714285721</v>
      </c>
      <c r="EK21" s="17">
        <f>EJ21*VLOOKUP('Données projet'!$B$15,Paramètres!$A$1:$I$89,3,0)*VLOOKUP('Données projet'!$B$15,Paramètres!$A$1:$I$89,5,0)</f>
        <v>153.87037714285717</v>
      </c>
      <c r="EL21" s="13">
        <f t="shared" si="45"/>
        <v>39.456834390663545</v>
      </c>
      <c r="EM21" s="20">
        <f t="shared" si="19"/>
        <v>336.71156008754855</v>
      </c>
      <c r="EN21" s="59">
        <f t="shared" si="20"/>
        <v>615.37822675421523</v>
      </c>
      <c r="EO21" s="59">
        <f ca="1">AVERAGE(OFFSET($EN$3,0,0,'Données projet'!$E$15+1,1))-AVERAGE(OFFSET($H$3,0,0,'Données projet'!$E$15+1,1))</f>
        <v>433.05041777893922</v>
      </c>
      <c r="EP21" s="59">
        <f t="shared" si="46"/>
        <v>591.24088611958996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2.8205128205128203</v>
      </c>
      <c r="FE21" s="12">
        <f>IF('Données projet'!$A$218&gt;35,FE20+FD21-FM20,IF(A21&lt;'Données projet'!$A$218,$FB$205^A21,IF(A21='Données projet'!$A$218,'Données projet'!$B$218,FE20+FD21-FM20)))</f>
        <v>28.974358974358974</v>
      </c>
      <c r="FF21" s="17">
        <f>FE21*VLOOKUP('Données projet'!$B$16,Paramètres!$A$1:$I$89,3,0)*VLOOKUP('Données projet'!$B$16,Paramètres!$A$1:$I$89,5,0)</f>
        <v>23.504000000000001</v>
      </c>
      <c r="FG21" s="13">
        <f t="shared" si="47"/>
        <v>7.5005470608564417</v>
      </c>
      <c r="FH21" s="20">
        <f t="shared" si="22"/>
        <v>53.999586130991638</v>
      </c>
      <c r="FI21" s="59">
        <f t="shared" si="23"/>
        <v>332.66625279765833</v>
      </c>
      <c r="FJ21" s="59">
        <f ca="1">AVERAGE(OFFSET($FI$3,0,0,'Données projet'!$E$16+1,1))-AVERAGE(OFFSET($H$3,0,0,'Données projet'!$E$16+1,1))</f>
        <v>159.4660488566085</v>
      </c>
      <c r="FK21" s="59">
        <f t="shared" si="48"/>
        <v>135.33030558297088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4.0942857142857143</v>
      </c>
      <c r="N22" s="13">
        <f>IF('Données projet'!$A$36&gt;35,N21+M22-V21,IF(A22&lt;'Données projet'!$A$36,$K$205^A22,IF(A22='Données projet'!$A$36,'Données projet'!$B$36,N21+M22-V21)))</f>
        <v>77.791428571428611</v>
      </c>
      <c r="O22" s="13">
        <f>N22*VLOOKUP('Données projet'!$B$9,Paramètres!$A$1:$I$89,3,0)*VLOOKUP('Données projet'!$B$9,Paramètres!$A$1:$I$89,5,0)</f>
        <v>78.880508571428621</v>
      </c>
      <c r="P22" s="13">
        <f t="shared" si="33"/>
        <v>21.863238557926771</v>
      </c>
      <c r="Q22" s="20">
        <f t="shared" si="2"/>
        <v>175.462026250294</v>
      </c>
      <c r="R22" s="59">
        <f t="shared" si="0"/>
        <v>455.35091513918286</v>
      </c>
      <c r="S22" s="59">
        <f ca="1">AVERAGE(OFFSET($R$3,0,0,'Données projet'!$E$9+1,1))-AVERAGE(OFFSET($H$3,0,0,'Données projet'!$E$9+1,1))</f>
        <v>706.69239849991595</v>
      </c>
      <c r="T22" s="59">
        <f t="shared" si="34"/>
        <v>310.59887275116529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5.128205128205126</v>
      </c>
      <c r="AI22" s="13">
        <f>IF('Données projet'!$A$62&gt;35,AI21+AH22-AQ21,IF(A22&lt;'Données projet'!$A$62,$AF$205^A22,IF(A22='Données projet'!$A$62,'Données projet'!$B$62,AI21+AH22-AQ21)))</f>
        <v>50.641025641025628</v>
      </c>
      <c r="AJ22" s="13">
        <f>AI22*VLOOKUP('Données projet'!$B$10,Paramètres!$A$1:$I$89,3,0)*VLOOKUP('Données projet'!$B$10,Paramètres!$A$1:$I$89,5,0)</f>
        <v>52.929999999999993</v>
      </c>
      <c r="AK22" s="13">
        <f t="shared" si="35"/>
        <v>15.3679188437793</v>
      </c>
      <c r="AL22" s="20">
        <f t="shared" si="4"/>
        <v>118.9522086529156</v>
      </c>
      <c r="AM22" s="59">
        <f t="shared" si="5"/>
        <v>398.84109754180446</v>
      </c>
      <c r="AN22" s="59">
        <f ca="1">AVERAGE(OFFSET($AM$3,0,0,'Données projet'!$E$10+1,1))-AVERAGE(OFFSET($H$3,0,0,'Données projet'!$E$10+1,1))</f>
        <v>239.26156489359892</v>
      </c>
      <c r="AO22" s="59">
        <f t="shared" si="36"/>
        <v>213.97034450798111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11.6</v>
      </c>
      <c r="BD22" s="12">
        <f>IF('Données projet'!$A$88&gt;35,BD21+BC22-BL21,IF(A22&lt;'Données projet'!$A$88,$BA$205^A22,IF(A22='Données projet'!$A$88,'Données projet'!$B$88,BD21+BC22-BL21)))</f>
        <v>68.400000000000006</v>
      </c>
      <c r="BE22" s="13">
        <f>BD22*VLOOKUP('Données projet'!$B$11,Paramètres!$A$1:$I$89,3,0)*VLOOKUP('Données projet'!$B$11,Paramètres!$A$1:$I$89,5,0)</f>
        <v>59.754240000000017</v>
      </c>
      <c r="BF22" s="13">
        <f t="shared" si="37"/>
        <v>17.106118338764027</v>
      </c>
      <c r="BG22" s="20">
        <f t="shared" si="7"/>
        <v>133.8651241066807</v>
      </c>
      <c r="BH22" s="59">
        <f t="shared" si="8"/>
        <v>413.75401299556955</v>
      </c>
      <c r="BI22" s="59">
        <f ca="1">AVERAGE(OFFSET($BH$3,0,0,'Données projet'!$E$11+1,1))-AVERAGE(OFFSET($H$3,0,0,'Données projet'!$E$11+1,1))</f>
        <v>324.86930206492627</v>
      </c>
      <c r="BJ22" s="59">
        <f t="shared" si="38"/>
        <v>317.03005098025352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1.7111524980640123</v>
      </c>
      <c r="BR22" s="21">
        <f>EXP(-LN(2)/2)*BR21+(1-EXP(-LN(2)/2))/(LN(2)/2)*BL22*BO22*VLOOKUP('Données projet'!$B$11,Paramètres!$A$1:$I$89,3,0)*0.475*44/12</f>
        <v>0.77274854306181318</v>
      </c>
      <c r="BS22" s="22">
        <f t="shared" si="9"/>
        <v>2.4839010411258253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3.3603333333333336</v>
      </c>
      <c r="BY22" s="12">
        <f>IF('Données projet'!$A$114&gt;35,BY21+BX22-CG21,IF(A22&lt;'Données projet'!$A$114,$BV$205^A22,IF(A22='Données projet'!$A$114,'Données projet'!$B$114,BY21+BX22-CG21)))</f>
        <v>63.846333333333369</v>
      </c>
      <c r="BZ22" s="13">
        <f>BY22*VLOOKUP('Données projet'!$B$12,Paramètres!$A$1:$I$89,3,0)*VLOOKUP('Données projet'!$B$12,Paramètres!$A$1:$I$89,5,0)</f>
        <v>72.708204400000042</v>
      </c>
      <c r="CA22" s="13">
        <f t="shared" si="39"/>
        <v>20.344507190066661</v>
      </c>
      <c r="CB22" s="20">
        <f t="shared" si="10"/>
        <v>162.06680601936617</v>
      </c>
      <c r="CC22" s="59">
        <f t="shared" si="11"/>
        <v>441.95569490825505</v>
      </c>
      <c r="CD22" s="59">
        <f ca="1">AVERAGE(OFFSET($CC$3,0,0,'Données projet'!$E$12+1,1))-AVERAGE(OFFSET($H$3,0,0,'Données projet'!$E$12+1,1))</f>
        <v>593.28343396240075</v>
      </c>
      <c r="CE22" s="59">
        <f t="shared" si="40"/>
        <v>289.66477662068695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4.0942857142857143</v>
      </c>
      <c r="CT22" s="12">
        <f>IF('Données projet'!$A$140&gt;35,CT21+CS22-DB21,IF(A22&lt;'Données projet'!$A$140,$CQ$205^A22,IF(A22='Données projet'!$A$140,'Données projet'!$B$140,CT21+CS22-DB21)))</f>
        <v>77.791428571428611</v>
      </c>
      <c r="CU22" s="17">
        <f>CT22*VLOOKUP('Données projet'!$B$13,Paramètres!$A$1:$I$89,3,0)*VLOOKUP('Données projet'!$B$13,Paramètres!$A$1:$I$89,5,0)</f>
        <v>83.734693714285754</v>
      </c>
      <c r="CV22" s="13">
        <f t="shared" si="41"/>
        <v>23.047897199841071</v>
      </c>
      <c r="CW22" s="20">
        <f t="shared" si="13"/>
        <v>185.97967917543755</v>
      </c>
      <c r="CX22" s="59">
        <f t="shared" si="14"/>
        <v>465.86856806432638</v>
      </c>
      <c r="CY22" s="59">
        <f ca="1">AVERAGE(OFFSET($CX$3,0,0,'Données projet'!$E$13+1,1))-AVERAGE(OFFSET($H$3,0,0,'Données projet'!$E$13+1,1))</f>
        <v>747.18304127457918</v>
      </c>
      <c r="CZ22" s="59">
        <f t="shared" si="42"/>
        <v>327.03701004966723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13.8</v>
      </c>
      <c r="DO22" s="12">
        <f>IF('Données projet'!$A$166&gt;35,DO21+DN22-DW21,IF(A22&lt;'Données projet'!$A$166,$DL$205^A22,IF(A22='Données projet'!$A$166,'Données projet'!$B$166,DO21+DN22-DW21)))</f>
        <v>88.199999999999989</v>
      </c>
      <c r="DP22" s="17">
        <f>DO22*VLOOKUP('Données projet'!$B$14,Paramètres!$A$1:$I$89,3,0)*VLOOKUP('Données projet'!$B$14,Paramètres!$A$1:$I$89,5,0)</f>
        <v>70.171919999999986</v>
      </c>
      <c r="DQ22" s="13">
        <f t="shared" si="43"/>
        <v>19.716145269554726</v>
      </c>
      <c r="DR22" s="20">
        <f t="shared" si="16"/>
        <v>156.55504701114111</v>
      </c>
      <c r="DS22" s="59">
        <f t="shared" si="17"/>
        <v>436.44393590002994</v>
      </c>
      <c r="DT22" s="59">
        <f ca="1">AVERAGE(OFFSET($DS$3,0,0,'Données projet'!$E$14+1,1))-AVERAGE(OFFSET($H$3,0,0,'Données projet'!$E$14+1,1))</f>
        <v>353.37479213497227</v>
      </c>
      <c r="DU22" s="59">
        <f t="shared" si="44"/>
        <v>345.4750813433123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3.3245248533815088</v>
      </c>
      <c r="EC22" s="21">
        <f>EXP(-LN(2)/2)*EC21+(1-EXP(-LN(2)/2))/(LN(2)/2)*DW22*DZ22*VLOOKUP('Données projet'!$B$14,Paramètres!$A$1:$I$89,3,0)*0.475*44/12</f>
        <v>1.501340026520094</v>
      </c>
      <c r="ED22" s="22">
        <f t="shared" si="18"/>
        <v>4.8258648799016033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18.265714285714285</v>
      </c>
      <c r="EJ22" s="12">
        <f>IF('Données projet'!$A$192&gt;35,EJ21+EI22-ER21,IF(A22&lt;'Données projet'!$A$192,$EG$205^A22,IF(A22='Données projet'!$A$192,'Données projet'!$B$192,EJ21+EI22-ER21)))</f>
        <v>347.04857142857151</v>
      </c>
      <c r="EK22" s="17">
        <f>EJ22*VLOOKUP('Données projet'!$B$15,Paramètres!$A$1:$I$89,3,0)*VLOOKUP('Données projet'!$B$15,Paramètres!$A$1:$I$89,5,0)</f>
        <v>162.41873142857148</v>
      </c>
      <c r="EL22" s="13">
        <f t="shared" si="45"/>
        <v>41.387589726964507</v>
      </c>
      <c r="EM22" s="20">
        <f t="shared" si="19"/>
        <v>354.96267601255846</v>
      </c>
      <c r="EN22" s="59">
        <f t="shared" si="20"/>
        <v>634.85156490144732</v>
      </c>
      <c r="EO22" s="59">
        <f ca="1">AVERAGE(OFFSET($EN$3,0,0,'Données projet'!$E$15+1,1))-AVERAGE(OFFSET($H$3,0,0,'Données projet'!$E$15+1,1))</f>
        <v>433.05041777893922</v>
      </c>
      <c r="EP22" s="59">
        <f t="shared" si="46"/>
        <v>591.24088611958996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2.8205128205128203</v>
      </c>
      <c r="FE22" s="12">
        <f>IF('Données projet'!$A$218&gt;35,FE21+FD22-FM21,IF(A22&lt;'Données projet'!$A$218,$FB$205^A22,IF(A22='Données projet'!$A$218,'Données projet'!$B$218,FE21+FD22-FM21)))</f>
        <v>31.794871794871796</v>
      </c>
      <c r="FF22" s="17">
        <f>FE22*VLOOKUP('Données projet'!$B$16,Paramètres!$A$1:$I$89,3,0)*VLOOKUP('Données projet'!$B$16,Paramètres!$A$1:$I$89,5,0)</f>
        <v>25.792000000000005</v>
      </c>
      <c r="FG22" s="13">
        <f t="shared" si="47"/>
        <v>8.1421711792342339</v>
      </c>
      <c r="FH22" s="20">
        <f t="shared" si="22"/>
        <v>59.102014803832958</v>
      </c>
      <c r="FI22" s="59">
        <f t="shared" si="23"/>
        <v>338.99090369272182</v>
      </c>
      <c r="FJ22" s="59">
        <f ca="1">AVERAGE(OFFSET($FI$3,0,0,'Données projet'!$E$16+1,1))-AVERAGE(OFFSET($H$3,0,0,'Données projet'!$E$16+1,1))</f>
        <v>159.4660488566085</v>
      </c>
      <c r="FK22" s="59">
        <f t="shared" si="48"/>
        <v>135.33030558297088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4.0942857142857143</v>
      </c>
      <c r="N23" s="13">
        <f>IF('Données projet'!$A$36&gt;35,N22+M23-V22,IF(A23&lt;'Données projet'!$A$36,$K$205^A23,IF(A23='Données projet'!$A$36,'Données projet'!$B$36,N22+M23-V22)))</f>
        <v>81.885714285714329</v>
      </c>
      <c r="O23" s="13">
        <f>N23*VLOOKUP('Données projet'!$B$9,Paramètres!$A$1:$I$89,3,0)*VLOOKUP('Données projet'!$B$9,Paramètres!$A$1:$I$89,5,0)</f>
        <v>83.032114285714343</v>
      </c>
      <c r="P23" s="13">
        <f t="shared" si="33"/>
        <v>22.876939092662138</v>
      </c>
      <c r="Q23" s="20">
        <f t="shared" si="2"/>
        <v>184.45826796733903</v>
      </c>
      <c r="R23" s="59">
        <f t="shared" si="0"/>
        <v>465.5693790784502</v>
      </c>
      <c r="S23" s="59">
        <f ca="1">AVERAGE(OFFSET($R$3,0,0,'Données projet'!$E$9+1,1))-AVERAGE(OFFSET($H$3,0,0,'Données projet'!$E$9+1,1))</f>
        <v>706.69239849991595</v>
      </c>
      <c r="T23" s="59">
        <f t="shared" si="34"/>
        <v>310.59887275116529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55.769230769230759</v>
      </c>
      <c r="AG23" s="12">
        <f>VLOOKUP(A23,'Données projet'!$A$61:$I$81,9,0)</f>
        <v>5.128205128205126</v>
      </c>
      <c r="AH23" s="12">
        <f t="array" ref="AH23">INDEX(AG:AG,MIN(IF(ISNUMBER(AG23:AG219),ROW(AG23:AG219),"")))</f>
        <v>5.128205128205126</v>
      </c>
      <c r="AI23" s="13">
        <f>IF('Données projet'!$A$62&gt;35,AI22+AH23-AQ22,IF(A23&lt;'Données projet'!$A$62,$AF$205^A23,IF(A23='Données projet'!$A$62,'Données projet'!$B$62,AI22+AH23-AQ22)))</f>
        <v>55.769230769230752</v>
      </c>
      <c r="AJ23" s="13">
        <f>AI23*VLOOKUP('Données projet'!$B$10,Paramètres!$A$1:$I$89,3,0)*VLOOKUP('Données projet'!$B$10,Paramètres!$A$1:$I$89,5,0)</f>
        <v>58.289999999999985</v>
      </c>
      <c r="AK23" s="13">
        <f t="shared" si="35"/>
        <v>16.735202513714196</v>
      </c>
      <c r="AL23" s="20">
        <f t="shared" si="4"/>
        <v>130.66889437805216</v>
      </c>
      <c r="AM23" s="59">
        <f t="shared" si="5"/>
        <v>411.78000548916327</v>
      </c>
      <c r="AN23" s="59">
        <f ca="1">AVERAGE(OFFSET($AM$3,0,0,'Données projet'!$E$10+1,1))-AVERAGE(OFFSET($H$3,0,0,'Données projet'!$E$10+1,1))</f>
        <v>239.26156489359892</v>
      </c>
      <c r="AO23" s="59">
        <f t="shared" si="36"/>
        <v>213.97034450798111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18.589743589743588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0.215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4.5998642253939837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4.5998642253939837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80</v>
      </c>
      <c r="BB23" s="12">
        <f>VLOOKUP(A23,'Données projet'!$A$87:$I$107,9,0)</f>
        <v>11.6</v>
      </c>
      <c r="BC23" s="12">
        <f t="array" ref="BC23">INDEX(BB:BB,MIN(IF(ISNUMBER(BB23:BB219),ROW(BB23:BB219),"")))</f>
        <v>11.6</v>
      </c>
      <c r="BD23" s="12">
        <f>IF('Données projet'!$A$88&gt;35,BD22+BC23-BL22,IF(A23&lt;'Données projet'!$A$88,$BA$205^A23,IF(A23='Données projet'!$A$88,'Données projet'!$B$88,BD22+BC23-BL22)))</f>
        <v>80</v>
      </c>
      <c r="BE23" s="13">
        <f>BD23*VLOOKUP('Données projet'!$B$11,Paramètres!$A$1:$I$89,3,0)*VLOOKUP('Données projet'!$B$11,Paramètres!$A$1:$I$89,5,0)</f>
        <v>69.888000000000005</v>
      </c>
      <c r="BF23" s="13">
        <f t="shared" si="37"/>
        <v>19.645641432461961</v>
      </c>
      <c r="BG23" s="20">
        <f t="shared" si="7"/>
        <v>155.93775882820458</v>
      </c>
      <c r="BH23" s="59">
        <f t="shared" si="8"/>
        <v>437.04886993931575</v>
      </c>
      <c r="BI23" s="59">
        <f ca="1">AVERAGE(OFFSET($BH$3,0,0,'Données projet'!$E$11+1,1))-AVERAGE(OFFSET($H$3,0,0,'Données projet'!$E$11+1,1))</f>
        <v>324.86930206492627</v>
      </c>
      <c r="BJ23" s="59">
        <f t="shared" si="38"/>
        <v>317.03005098025352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0.13250000000000001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5.2331451407707181</v>
      </c>
      <c r="BR23" s="21">
        <f>EXP(-LN(2)/2)*BR22+(1-EXP(-LN(2)/2))/(LN(2)/2)*BL23*BO23*VLOOKUP('Données projet'!$B$11,Paramètres!$A$1:$I$89,3,0)*0.475*44/12</f>
        <v>6.3162715231459039</v>
      </c>
      <c r="BS23" s="22">
        <f t="shared" si="9"/>
        <v>11.549416663916622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3.3603333333333336</v>
      </c>
      <c r="BY23" s="12">
        <f>IF('Données projet'!$A$114&gt;35,BY22+BX23-CG22,IF(A23&lt;'Données projet'!$A$114,$BV$205^A23,IF(A23='Données projet'!$A$114,'Données projet'!$B$114,BY22+BX23-CG22)))</f>
        <v>67.206666666666706</v>
      </c>
      <c r="BZ23" s="13">
        <f>BY23*VLOOKUP('Données projet'!$B$12,Paramètres!$A$1:$I$89,3,0)*VLOOKUP('Données projet'!$B$12,Paramètres!$A$1:$I$89,5,0)</f>
        <v>76.534952000000047</v>
      </c>
      <c r="CA23" s="13">
        <f t="shared" si="39"/>
        <v>21.287790947541872</v>
      </c>
      <c r="CB23" s="20">
        <f t="shared" si="10"/>
        <v>170.37461063363551</v>
      </c>
      <c r="CC23" s="59">
        <f t="shared" si="11"/>
        <v>451.48572174474668</v>
      </c>
      <c r="CD23" s="59">
        <f ca="1">AVERAGE(OFFSET($CC$3,0,0,'Données projet'!$E$12+1,1))-AVERAGE(OFFSET($H$3,0,0,'Données projet'!$E$12+1,1))</f>
        <v>593.28343396240075</v>
      </c>
      <c r="CE23" s="59">
        <f t="shared" si="40"/>
        <v>289.66477662068695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4.0942857142857143</v>
      </c>
      <c r="CT23" s="12">
        <f>IF('Données projet'!$A$140&gt;35,CT22+CS23-DB22,IF(A23&lt;'Données projet'!$A$140,$CQ$205^A23,IF(A23='Données projet'!$A$140,'Données projet'!$B$140,CT22+CS23-DB22)))</f>
        <v>81.885714285714329</v>
      </c>
      <c r="CU23" s="17">
        <f>CT23*VLOOKUP('Données projet'!$B$13,Paramètres!$A$1:$I$89,3,0)*VLOOKUP('Données projet'!$B$13,Paramètres!$A$1:$I$89,5,0)</f>
        <v>88.1417828571429</v>
      </c>
      <c r="CV23" s="13">
        <f t="shared" si="41"/>
        <v>24.11652505449776</v>
      </c>
      <c r="CW23" s="20">
        <f t="shared" si="13"/>
        <v>195.51655294610748</v>
      </c>
      <c r="CX23" s="59">
        <f t="shared" si="14"/>
        <v>476.62766405721862</v>
      </c>
      <c r="CY23" s="59">
        <f ca="1">AVERAGE(OFFSET($CX$3,0,0,'Données projet'!$E$13+1,1))-AVERAGE(OFFSET($H$3,0,0,'Données projet'!$E$13+1,1))</f>
        <v>747.18304127457918</v>
      </c>
      <c r="CZ23" s="59">
        <f t="shared" si="42"/>
        <v>327.03701004966723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102</v>
      </c>
      <c r="DM23" s="12">
        <f>VLOOKUP(A23,'Données projet'!$A$165:$I$185,9,0)</f>
        <v>13.8</v>
      </c>
      <c r="DN23" s="12">
        <f t="array" ref="DN23">INDEX(DM:DM,MIN(IF(ISNUMBER(DM23:DM219),ROW(DM23:DM219),"")))</f>
        <v>13.8</v>
      </c>
      <c r="DO23" s="12">
        <f>IF('Données projet'!$A$166&gt;35,DO22+DN23-DW22,IF(A23&lt;'Données projet'!$A$166,$DL$205^A23,IF(A23='Données projet'!$A$166,'Données projet'!$B$166,DO22+DN23-DW22)))</f>
        <v>101.99999999999999</v>
      </c>
      <c r="DP23" s="17">
        <f>DO23*VLOOKUP('Données projet'!$B$14,Paramètres!$A$1:$I$89,3,0)*VLOOKUP('Données projet'!$B$14,Paramètres!$A$1:$I$89,5,0)</f>
        <v>81.151200000000003</v>
      </c>
      <c r="DQ23" s="13">
        <f t="shared" si="43"/>
        <v>22.418424032002342</v>
      </c>
      <c r="DR23" s="20">
        <f t="shared" si="16"/>
        <v>180.38376185573739</v>
      </c>
      <c r="DS23" s="59">
        <f t="shared" si="17"/>
        <v>461.49487296684856</v>
      </c>
      <c r="DT23" s="59">
        <f ca="1">AVERAGE(OFFSET($DS$3,0,0,'Données projet'!$E$14+1,1))-AVERAGE(OFFSET($H$3,0,0,'Données projet'!$E$14+1,1))</f>
        <v>353.37479213497227</v>
      </c>
      <c r="DU23" s="59">
        <f t="shared" si="44"/>
        <v>345.4750813433123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35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0.13250000000000001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7.2962939858416513</v>
      </c>
      <c r="EC23" s="21">
        <f>EXP(-LN(2)/2)*EC22+(1-EXP(-LN(2)/2))/(LN(2)/2)*DW23*DZ23*VLOOKUP('Données projet'!$B$14,Paramètres!$A$1:$I$89,3,0)*0.475*44/12</f>
        <v>7.6299703296445607</v>
      </c>
      <c r="ED23" s="22">
        <f t="shared" si="18"/>
        <v>14.926264315486211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18.265714285714285</v>
      </c>
      <c r="EJ23" s="12">
        <f>IF('Données projet'!$A$192&gt;35,EJ22+EI23-ER22,IF(A23&lt;'Données projet'!$A$192,$EG$205^A23,IF(A23='Données projet'!$A$192,'Données projet'!$B$192,EJ22+EI23-ER22)))</f>
        <v>365.3142857142858</v>
      </c>
      <c r="EK23" s="17">
        <f>EJ23*VLOOKUP('Données projet'!$B$15,Paramètres!$A$1:$I$89,3,0)*VLOOKUP('Données projet'!$B$15,Paramètres!$A$1:$I$89,5,0)</f>
        <v>170.96708571428576</v>
      </c>
      <c r="EL23" s="13">
        <f t="shared" si="45"/>
        <v>43.306547054648313</v>
      </c>
      <c r="EM23" s="20">
        <f t="shared" si="19"/>
        <v>373.19324373922683</v>
      </c>
      <c r="EN23" s="59">
        <f t="shared" si="20"/>
        <v>654.30435485033797</v>
      </c>
      <c r="EO23" s="59">
        <f ca="1">AVERAGE(OFFSET($EN$3,0,0,'Données projet'!$E$15+1,1))-AVERAGE(OFFSET($H$3,0,0,'Données projet'!$E$15+1,1))</f>
        <v>433.05041777893922</v>
      </c>
      <c r="EP23" s="59">
        <f t="shared" si="46"/>
        <v>591.24088611958996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34.615384615384613</v>
      </c>
      <c r="FC23" s="12">
        <f>VLOOKUP(A23,'Données projet'!$A$217:$I$237,9,0)</f>
        <v>2.8205128205128203</v>
      </c>
      <c r="FD23" s="12">
        <f t="array" ref="FD23">INDEX(FC:FC,MIN(IF(ISNUMBER(FC23:FC219),ROW(FC23:FC219),"")))</f>
        <v>2.8205128205128203</v>
      </c>
      <c r="FE23" s="12">
        <f>IF('Données projet'!$A$218&gt;35,FE22+FD23-FM22,IF(A23&lt;'Données projet'!$A$218,$FB$205^A23,IF(A23='Données projet'!$A$218,'Données projet'!$B$218,FE22+FD23-FM22)))</f>
        <v>34.615384615384613</v>
      </c>
      <c r="FF23" s="17">
        <f>FE23*VLOOKUP('Données projet'!$B$16,Paramètres!$A$1:$I$89,3,0)*VLOOKUP('Données projet'!$B$16,Paramètres!$A$1:$I$89,5,0)</f>
        <v>28.080000000000002</v>
      </c>
      <c r="FG23" s="13">
        <f t="shared" si="47"/>
        <v>8.7771949685951878</v>
      </c>
      <c r="FH23" s="20">
        <f t="shared" si="22"/>
        <v>64.192947903636622</v>
      </c>
      <c r="FI23" s="59">
        <f t="shared" si="23"/>
        <v>345.30405901474774</v>
      </c>
      <c r="FJ23" s="59">
        <f ca="1">AVERAGE(OFFSET($FI$3,0,0,'Données projet'!$E$16+1,1))-AVERAGE(OFFSET($H$3,0,0,'Données projet'!$E$16+1,1))</f>
        <v>159.4660488566085</v>
      </c>
      <c r="FK23" s="59">
        <f t="shared" si="48"/>
        <v>135.33030558297088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5.7692307692307692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0.1075</v>
      </c>
      <c r="FP23" s="16">
        <f>IF(ISNA(VLOOKUP(A23,'Données projet'!$A$217:$I$237,7,0)),0%,VLOOKUP(A23,'Données projet'!$A$217:$I$237,7,0))</f>
        <v>0.25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0.55397232565218346</v>
      </c>
      <c r="FS23" s="21">
        <f>EXP(-LN(2)/2)*FS22+(1-EXP(-LN(2)/2))/(LN(2)/2)*FM23*FP23*VLOOKUP('Données projet'!$B$16,Paramètres!$A$1:$I$89,3,0)*0.475*44/12</f>
        <v>1.1039264900883043</v>
      </c>
      <c r="FT23" s="22">
        <f t="shared" si="24"/>
        <v>1.6578988157404879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4.0942857142857143</v>
      </c>
      <c r="N24" s="13">
        <f>IF('Données projet'!$A$36&gt;35,N23+M24-V23,IF(A24&lt;'Données projet'!$A$36,$K$205^A24,IF(A24='Données projet'!$A$36,'Données projet'!$B$36,N23+M24-V23)))</f>
        <v>85.980000000000047</v>
      </c>
      <c r="O24" s="13">
        <f>N24*VLOOKUP('Données projet'!$B$9,Paramètres!$A$1:$I$89,3,0)*VLOOKUP('Données projet'!$B$9,Paramètres!$A$1:$I$89,5,0)</f>
        <v>87.183720000000051</v>
      </c>
      <c r="P24" s="13">
        <f t="shared" si="33"/>
        <v>23.884754436357664</v>
      </c>
      <c r="Q24" s="20">
        <f t="shared" si="2"/>
        <v>193.44425964332299</v>
      </c>
      <c r="R24" s="59">
        <f t="shared" si="0"/>
        <v>475.77759297665631</v>
      </c>
      <c r="S24" s="59">
        <f ca="1">AVERAGE(OFFSET($R$3,0,0,'Données projet'!$E$9+1,1))-AVERAGE(OFFSET($H$3,0,0,'Données projet'!$E$9+1,1))</f>
        <v>706.69239849991595</v>
      </c>
      <c r="T24" s="59">
        <f t="shared" si="34"/>
        <v>310.59887275116529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5.1282051282051295</v>
      </c>
      <c r="AI24" s="13">
        <f>IF('Données projet'!$A$62&gt;35,AI23+AH24-AQ23,IF(A24&lt;'Données projet'!$A$62,$AF$205^A24,IF(A24='Données projet'!$A$62,'Données projet'!$B$62,AI23+AH24-AQ23)))</f>
        <v>42.307692307692292</v>
      </c>
      <c r="AJ24" s="13">
        <f>AI24*VLOOKUP('Données projet'!$B$10,Paramètres!$A$1:$I$89,3,0)*VLOOKUP('Données projet'!$B$10,Paramètres!$A$1:$I$89,5,0)</f>
        <v>44.219999999999985</v>
      </c>
      <c r="AK24" s="13">
        <f t="shared" si="35"/>
        <v>13.110546100999768</v>
      </c>
      <c r="AL24" s="20">
        <f t="shared" si="4"/>
        <v>99.850701125907904</v>
      </c>
      <c r="AM24" s="59">
        <f t="shared" si="5"/>
        <v>382.18403445924122</v>
      </c>
      <c r="AN24" s="59">
        <f ca="1">AVERAGE(OFFSET($AM$3,0,0,'Données projet'!$E$10+1,1))-AVERAGE(OFFSET($H$3,0,0,'Données projet'!$E$10+1,1))</f>
        <v>239.26156489359892</v>
      </c>
      <c r="AO24" s="59">
        <f t="shared" si="36"/>
        <v>213.97034450798111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4.474080696254239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4.474080696254239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12.6</v>
      </c>
      <c r="BD24" s="12">
        <f>IF('Données projet'!$A$88&gt;35,BD23+BC24-BL23,IF(A24&lt;'Données projet'!$A$88,$BA$205^A24,IF(A24='Données projet'!$A$88,'Données projet'!$B$88,BD23+BC24-BL23)))</f>
        <v>64.599999999999994</v>
      </c>
      <c r="BE24" s="13">
        <f>BD24*VLOOKUP('Données projet'!$B$11,Paramètres!$A$1:$I$89,3,0)*VLOOKUP('Données projet'!$B$11,Paramètres!$A$1:$I$89,5,0)</f>
        <v>56.434560000000005</v>
      </c>
      <c r="BF24" s="13">
        <f t="shared" si="37"/>
        <v>16.26362505907256</v>
      </c>
      <c r="BG24" s="20">
        <f t="shared" si="7"/>
        <v>126.61600564455136</v>
      </c>
      <c r="BH24" s="59">
        <f t="shared" si="8"/>
        <v>408.94933897788468</v>
      </c>
      <c r="BI24" s="59">
        <f ca="1">AVERAGE(OFFSET($BH$3,0,0,'Données projet'!$E$11+1,1))-AVERAGE(OFFSET($H$3,0,0,'Données projet'!$E$11+1,1))</f>
        <v>324.86930206492627</v>
      </c>
      <c r="BJ24" s="59">
        <f t="shared" si="38"/>
        <v>317.03005098025352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5.0900445116972008</v>
      </c>
      <c r="BR24" s="21">
        <f>EXP(-LN(2)/2)*BR23+(1-EXP(-LN(2)/2))/(LN(2)/2)*BL24*BO24*VLOOKUP('Données projet'!$B$11,Paramètres!$A$1:$I$89,3,0)*0.475*44/12</f>
        <v>4.4662784258319519</v>
      </c>
      <c r="BS24" s="22">
        <f t="shared" si="9"/>
        <v>9.5563229375291527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3.3603333333333336</v>
      </c>
      <c r="BY24" s="12">
        <f>IF('Données projet'!$A$114&gt;35,BY23+BX24-CG23,IF(A24&lt;'Données projet'!$A$114,$BV$205^A24,IF(A24='Données projet'!$A$114,'Données projet'!$B$114,BY23+BX24-CG23)))</f>
        <v>70.567000000000036</v>
      </c>
      <c r="BZ24" s="13">
        <f>BY24*VLOOKUP('Données projet'!$B$12,Paramètres!$A$1:$I$89,3,0)*VLOOKUP('Données projet'!$B$12,Paramètres!$A$1:$I$89,5,0)</f>
        <v>80.361699600000037</v>
      </c>
      <c r="CA24" s="13">
        <f t="shared" si="39"/>
        <v>22.225598329176997</v>
      </c>
      <c r="CB24" s="20">
        <f t="shared" si="10"/>
        <v>178.67287722665</v>
      </c>
      <c r="CC24" s="59">
        <f t="shared" si="11"/>
        <v>461.00621055998329</v>
      </c>
      <c r="CD24" s="59">
        <f ca="1">AVERAGE(OFFSET($CC$3,0,0,'Données projet'!$E$12+1,1))-AVERAGE(OFFSET($H$3,0,0,'Données projet'!$E$12+1,1))</f>
        <v>593.28343396240075</v>
      </c>
      <c r="CE24" s="59">
        <f t="shared" si="40"/>
        <v>289.66477662068695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4.0942857142857143</v>
      </c>
      <c r="CT24" s="12">
        <f>IF('Données projet'!$A$140&gt;35,CT23+CS24-DB23,IF(A24&lt;'Données projet'!$A$140,$CQ$205^A24,IF(A24='Données projet'!$A$140,'Données projet'!$B$140,CT23+CS24-DB23)))</f>
        <v>85.980000000000047</v>
      </c>
      <c r="CU24" s="17">
        <f>CT24*VLOOKUP('Données projet'!$B$13,Paramètres!$A$1:$I$89,3,0)*VLOOKUP('Données projet'!$B$13,Paramètres!$A$1:$I$89,5,0)</f>
        <v>92.548872000000046</v>
      </c>
      <c r="CV24" s="13">
        <f t="shared" si="41"/>
        <v>25.17894882929097</v>
      </c>
      <c r="CW24" s="20">
        <f t="shared" si="13"/>
        <v>205.04262127768183</v>
      </c>
      <c r="CX24" s="59">
        <f t="shared" si="14"/>
        <v>487.37595461101512</v>
      </c>
      <c r="CY24" s="59">
        <f ca="1">AVERAGE(OFFSET($CX$3,0,0,'Données projet'!$E$13+1,1))-AVERAGE(OFFSET($H$3,0,0,'Données projet'!$E$13+1,1))</f>
        <v>747.18304127457918</v>
      </c>
      <c r="CZ24" s="59">
        <f t="shared" si="42"/>
        <v>327.03701004966723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14.8</v>
      </c>
      <c r="DO24" s="12">
        <f>IF('Données projet'!$A$166&gt;35,DO23+DN24-DW23,IF(A24&lt;'Données projet'!$A$166,$DL$205^A24,IF(A24='Données projet'!$A$166,'Données projet'!$B$166,DO23+DN24-DW23)))</f>
        <v>81.799999999999983</v>
      </c>
      <c r="DP24" s="17">
        <f>DO24*VLOOKUP('Données projet'!$B$14,Paramètres!$A$1:$I$89,3,0)*VLOOKUP('Données projet'!$B$14,Paramètres!$A$1:$I$89,5,0)</f>
        <v>65.080079999999981</v>
      </c>
      <c r="DQ24" s="13">
        <f t="shared" si="43"/>
        <v>18.44653442602603</v>
      </c>
      <c r="DR24" s="20">
        <f t="shared" si="16"/>
        <v>145.47552012532864</v>
      </c>
      <c r="DS24" s="59">
        <f t="shared" si="17"/>
        <v>427.80885345866193</v>
      </c>
      <c r="DT24" s="59">
        <f ca="1">AVERAGE(OFFSET($DS$3,0,0,'Données projet'!$E$14+1,1))-AVERAGE(OFFSET($H$3,0,0,'Données projet'!$E$14+1,1))</f>
        <v>353.37479213497227</v>
      </c>
      <c r="DU24" s="59">
        <f t="shared" si="44"/>
        <v>345.4750813433123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7.0967764431033862</v>
      </c>
      <c r="EC24" s="21">
        <f>EXP(-LN(2)/2)*EC23+(1-EXP(-LN(2)/2))/(LN(2)/2)*DW24*DZ24*VLOOKUP('Données projet'!$B$14,Paramètres!$A$1:$I$89,3,0)*0.475*44/12</f>
        <v>5.3952037603438265</v>
      </c>
      <c r="ED24" s="22">
        <f t="shared" si="18"/>
        <v>12.491980203447213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18.265714285714285</v>
      </c>
      <c r="EJ24" s="12">
        <f>IF('Données projet'!$A$192&gt;35,EJ23+EI24-ER23,IF(A24&lt;'Données projet'!$A$192,$EG$205^A24,IF(A24='Données projet'!$A$192,'Données projet'!$B$192,EJ23+EI24-ER23)))</f>
        <v>383.5800000000001</v>
      </c>
      <c r="EK24" s="17">
        <f>EJ24*VLOOKUP('Données projet'!$B$15,Paramètres!$A$1:$I$89,3,0)*VLOOKUP('Données projet'!$B$15,Paramètres!$A$1:$I$89,5,0)</f>
        <v>179.51544000000004</v>
      </c>
      <c r="EL24" s="13">
        <f t="shared" si="45"/>
        <v>45.214363586718584</v>
      </c>
      <c r="EM24" s="20">
        <f t="shared" si="19"/>
        <v>391.4044079135349</v>
      </c>
      <c r="EN24" s="59">
        <f t="shared" si="20"/>
        <v>673.73774124686815</v>
      </c>
      <c r="EO24" s="59">
        <f ca="1">AVERAGE(OFFSET($EN$3,0,0,'Données projet'!$E$15+1,1))-AVERAGE(OFFSET($H$3,0,0,'Données projet'!$E$15+1,1))</f>
        <v>433.05041777893922</v>
      </c>
      <c r="EP24" s="59">
        <f t="shared" si="46"/>
        <v>591.24088611958996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2.9487179487179498</v>
      </c>
      <c r="FE24" s="12">
        <f>IF('Données projet'!$A$218&gt;35,FE23+FD24-FM23,IF(A24&lt;'Données projet'!$A$218,$FB$205^A24,IF(A24='Données projet'!$A$218,'Données projet'!$B$218,FE23+FD24-FM23)))</f>
        <v>31.794871794871792</v>
      </c>
      <c r="FF24" s="17">
        <f>FE24*VLOOKUP('Données projet'!$B$16,Paramètres!$A$1:$I$89,3,0)*VLOOKUP('Données projet'!$B$16,Paramètres!$A$1:$I$89,5,0)</f>
        <v>25.791999999999998</v>
      </c>
      <c r="FG24" s="13">
        <f t="shared" si="47"/>
        <v>8.1421711792342304</v>
      </c>
      <c r="FH24" s="20">
        <f t="shared" si="22"/>
        <v>59.102014803832951</v>
      </c>
      <c r="FI24" s="59">
        <f t="shared" si="23"/>
        <v>341.43534813716627</v>
      </c>
      <c r="FJ24" s="59">
        <f ca="1">AVERAGE(OFFSET($FI$3,0,0,'Données projet'!$E$16+1,1))-AVERAGE(OFFSET($H$3,0,0,'Données projet'!$E$16+1,1))</f>
        <v>159.4660488566085</v>
      </c>
      <c r="FK24" s="59">
        <f t="shared" si="48"/>
        <v>135.33030558297088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0.53882392327508599</v>
      </c>
      <c r="FS24" s="21">
        <f>EXP(-LN(2)/2)*FS23+(1-EXP(-LN(2)/2))/(LN(2)/2)*FM24*FP24*VLOOKUP('Données projet'!$B$16,Paramètres!$A$1:$I$89,3,0)*0.475*44/12</f>
        <v>0.7805939070729041</v>
      </c>
      <c r="FT24" s="22">
        <f t="shared" si="24"/>
        <v>1.31941783034799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4.0942857142857143</v>
      </c>
      <c r="N25" s="13">
        <f>IF('Données projet'!$A$36&gt;35,N24+M25-V24,IF(A25&lt;'Données projet'!$A$36,$K$205^A25,IF(A25='Données projet'!$A$36,'Données projet'!$B$36,N24+M25-V24)))</f>
        <v>90.074285714285764</v>
      </c>
      <c r="O25" s="13">
        <f>N25*VLOOKUP('Données projet'!$B$9,Paramètres!$A$1:$I$89,3,0)*VLOOKUP('Données projet'!$B$9,Paramètres!$A$1:$I$89,5,0)</f>
        <v>91.335325714285773</v>
      </c>
      <c r="P25" s="13">
        <f t="shared" si="33"/>
        <v>24.886996832891736</v>
      </c>
      <c r="Q25" s="20">
        <f t="shared" si="2"/>
        <v>202.42054510300082</v>
      </c>
      <c r="R25" s="59">
        <f t="shared" si="0"/>
        <v>485.97610065855633</v>
      </c>
      <c r="S25" s="59">
        <f ca="1">AVERAGE(OFFSET($R$3,0,0,'Données projet'!$E$9+1,1))-AVERAGE(OFFSET($H$3,0,0,'Données projet'!$E$9+1,1))</f>
        <v>706.69239849991595</v>
      </c>
      <c r="T25" s="59">
        <f t="shared" si="34"/>
        <v>310.59887275116529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5.1282051282051295</v>
      </c>
      <c r="AI25" s="13">
        <f>IF('Données projet'!$A$62&gt;35,AI24+AH25-AQ24,IF(A25&lt;'Données projet'!$A$62,$AF$205^A25,IF(A25='Données projet'!$A$62,'Données projet'!$B$62,AI24+AH25-AQ24)))</f>
        <v>47.435897435897424</v>
      </c>
      <c r="AJ25" s="13">
        <f>AI25*VLOOKUP('Données projet'!$B$10,Paramètres!$A$1:$I$89,3,0)*VLOOKUP('Données projet'!$B$10,Paramètres!$A$1:$I$89,5,0)</f>
        <v>49.579999999999991</v>
      </c>
      <c r="AK25" s="13">
        <f t="shared" si="35"/>
        <v>14.505239638165149</v>
      </c>
      <c r="AL25" s="20">
        <f t="shared" si="4"/>
        <v>111.61512570313761</v>
      </c>
      <c r="AM25" s="59">
        <f t="shared" si="5"/>
        <v>395.17068125869315</v>
      </c>
      <c r="AN25" s="59">
        <f ca="1">AVERAGE(OFFSET($AM$3,0,0,'Données projet'!$E$10+1,1))-AVERAGE(OFFSET($H$3,0,0,'Données projet'!$E$10+1,1))</f>
        <v>239.26156489359892</v>
      </c>
      <c r="AO25" s="59">
        <f t="shared" si="36"/>
        <v>213.97034450798111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4.351736724333489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4.351736724333489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12.6</v>
      </c>
      <c r="BD25" s="12">
        <f>IF('Données projet'!$A$88&gt;35,BD24+BC25-BL24,IF(A25&lt;'Données projet'!$A$88,$BA$205^A25,IF(A25='Données projet'!$A$88,'Données projet'!$B$88,BD24+BC25-BL24)))</f>
        <v>77.199999999999989</v>
      </c>
      <c r="BE25" s="13">
        <f>BD25*VLOOKUP('Données projet'!$B$11,Paramètres!$A$1:$I$89,3,0)*VLOOKUP('Données projet'!$B$11,Paramètres!$A$1:$I$89,5,0)</f>
        <v>67.441919999999996</v>
      </c>
      <c r="BF25" s="13">
        <f t="shared" si="37"/>
        <v>19.036826299015036</v>
      </c>
      <c r="BG25" s="20">
        <f t="shared" si="7"/>
        <v>150.61714980411784</v>
      </c>
      <c r="BH25" s="59">
        <f t="shared" si="8"/>
        <v>434.17270535967339</v>
      </c>
      <c r="BI25" s="59">
        <f ca="1">AVERAGE(OFFSET($BH$3,0,0,'Données projet'!$E$11+1,1))-AVERAGE(OFFSET($H$3,0,0,'Données projet'!$E$11+1,1))</f>
        <v>324.86930206492627</v>
      </c>
      <c r="BJ25" s="59">
        <f t="shared" si="38"/>
        <v>317.03005098025352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4.9508569768510338</v>
      </c>
      <c r="BR25" s="21">
        <f>EXP(-LN(2)/2)*BR24+(1-EXP(-LN(2)/2))/(LN(2)/2)*BL25*BO25*VLOOKUP('Données projet'!$B$11,Paramètres!$A$1:$I$89,3,0)*0.475*44/12</f>
        <v>3.1581357615729519</v>
      </c>
      <c r="BS25" s="22">
        <f t="shared" si="9"/>
        <v>8.1089927384239857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3.3603333333333336</v>
      </c>
      <c r="BY25" s="12">
        <f>IF('Données projet'!$A$114&gt;35,BY24+BX25-CG24,IF(A25&lt;'Données projet'!$A$114,$BV$205^A25,IF(A25='Données projet'!$A$114,'Données projet'!$B$114,BY24+BX25-CG24)))</f>
        <v>73.927333333333365</v>
      </c>
      <c r="BZ25" s="13">
        <f>BY25*VLOOKUP('Données projet'!$B$12,Paramètres!$A$1:$I$89,3,0)*VLOOKUP('Données projet'!$B$12,Paramètres!$A$1:$I$89,5,0)</f>
        <v>84.188447200000041</v>
      </c>
      <c r="CA25" s="13">
        <f t="shared" si="39"/>
        <v>23.158219888807942</v>
      </c>
      <c r="CB25" s="20">
        <f t="shared" si="10"/>
        <v>186.96211184634055</v>
      </c>
      <c r="CC25" s="59">
        <f t="shared" si="11"/>
        <v>470.51766740189612</v>
      </c>
      <c r="CD25" s="59">
        <f ca="1">AVERAGE(OFFSET($CC$3,0,0,'Données projet'!$E$12+1,1))-AVERAGE(OFFSET($H$3,0,0,'Données projet'!$E$12+1,1))</f>
        <v>593.28343396240075</v>
      </c>
      <c r="CE25" s="59">
        <f t="shared" si="40"/>
        <v>289.66477662068695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4.0942857142857143</v>
      </c>
      <c r="CT25" s="12">
        <f>IF('Données projet'!$A$140&gt;35,CT24+CS25-DB24,IF(A25&lt;'Données projet'!$A$140,$CQ$205^A25,IF(A25='Données projet'!$A$140,'Données projet'!$B$140,CT24+CS25-DB24)))</f>
        <v>90.074285714285764</v>
      </c>
      <c r="CU25" s="17">
        <f>CT25*VLOOKUP('Données projet'!$B$13,Paramètres!$A$1:$I$89,3,0)*VLOOKUP('Données projet'!$B$13,Paramètres!$A$1:$I$89,5,0)</f>
        <v>96.955961142857191</v>
      </c>
      <c r="CV25" s="13">
        <f t="shared" si="41"/>
        <v>26.235497687020231</v>
      </c>
      <c r="CW25" s="20">
        <f t="shared" si="13"/>
        <v>214.5584574620365</v>
      </c>
      <c r="CX25" s="59">
        <f t="shared" si="14"/>
        <v>498.11401301759201</v>
      </c>
      <c r="CY25" s="59">
        <f ca="1">AVERAGE(OFFSET($CX$3,0,0,'Données projet'!$E$13+1,1))-AVERAGE(OFFSET($H$3,0,0,'Données projet'!$E$13+1,1))</f>
        <v>747.18304127457918</v>
      </c>
      <c r="CZ25" s="59">
        <f t="shared" si="42"/>
        <v>327.03701004966723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14.8</v>
      </c>
      <c r="DO25" s="12">
        <f>IF('Données projet'!$A$166&gt;35,DO24+DN25-DW24,IF(A25&lt;'Données projet'!$A$166,$DL$205^A25,IF(A25='Données projet'!$A$166,'Données projet'!$B$166,DO24+DN25-DW24)))</f>
        <v>96.59999999999998</v>
      </c>
      <c r="DP25" s="17">
        <f>DO25*VLOOKUP('Données projet'!$B$14,Paramètres!$A$1:$I$89,3,0)*VLOOKUP('Données projet'!$B$14,Paramètres!$A$1:$I$89,5,0)</f>
        <v>76.854959999999991</v>
      </c>
      <c r="DQ25" s="13">
        <f t="shared" si="43"/>
        <v>21.366419773799993</v>
      </c>
      <c r="DR25" s="20">
        <f t="shared" si="16"/>
        <v>171.06890310603498</v>
      </c>
      <c r="DS25" s="59">
        <f t="shared" si="17"/>
        <v>454.62445866159055</v>
      </c>
      <c r="DT25" s="59">
        <f ca="1">AVERAGE(OFFSET($DS$3,0,0,'Données projet'!$E$14+1,1))-AVERAGE(OFFSET($H$3,0,0,'Données projet'!$E$14+1,1))</f>
        <v>353.37479213497227</v>
      </c>
      <c r="DU25" s="59">
        <f t="shared" si="44"/>
        <v>345.4750813433123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6.9027147180634705</v>
      </c>
      <c r="EC25" s="21">
        <f>EXP(-LN(2)/2)*EC24+(1-EXP(-LN(2)/2))/(LN(2)/2)*DW25*DZ25*VLOOKUP('Données projet'!$B$14,Paramètres!$A$1:$I$89,3,0)*0.475*44/12</f>
        <v>3.8149851648222808</v>
      </c>
      <c r="ED25" s="22">
        <f t="shared" si="18"/>
        <v>10.717699882885752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18.265714285714285</v>
      </c>
      <c r="EJ25" s="12">
        <f>IF('Données projet'!$A$192&gt;35,EJ24+EI25-ER24,IF(A25&lt;'Données projet'!$A$192,$EG$205^A25,IF(A25='Données projet'!$A$192,'Données projet'!$B$192,EJ24+EI25-ER24)))</f>
        <v>401.84571428571439</v>
      </c>
      <c r="EK25" s="17">
        <f>EJ25*VLOOKUP('Données projet'!$B$15,Paramètres!$A$1:$I$89,3,0)*VLOOKUP('Données projet'!$B$15,Paramètres!$A$1:$I$89,5,0)</f>
        <v>188.06379428571432</v>
      </c>
      <c r="EL25" s="13">
        <f t="shared" si="45"/>
        <v>47.111630407680202</v>
      </c>
      <c r="EM25" s="20">
        <f t="shared" si="19"/>
        <v>409.59719800766214</v>
      </c>
      <c r="EN25" s="59">
        <f t="shared" si="20"/>
        <v>693.15275356321763</v>
      </c>
      <c r="EO25" s="59">
        <f ca="1">AVERAGE(OFFSET($EN$3,0,0,'Données projet'!$E$15+1,1))-AVERAGE(OFFSET($H$3,0,0,'Données projet'!$E$15+1,1))</f>
        <v>433.05041777893922</v>
      </c>
      <c r="EP25" s="59">
        <f t="shared" si="46"/>
        <v>591.24088611958996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2.9487179487179498</v>
      </c>
      <c r="FE25" s="12">
        <f>IF('Données projet'!$A$218&gt;35,FE24+FD25-FM24,IF(A25&lt;'Données projet'!$A$218,$FB$205^A25,IF(A25='Données projet'!$A$218,'Données projet'!$B$218,FE24+FD25-FM24)))</f>
        <v>34.743589743589745</v>
      </c>
      <c r="FF25" s="17">
        <f>FE25*VLOOKUP('Données projet'!$B$16,Paramètres!$A$1:$I$89,3,0)*VLOOKUP('Données projet'!$B$16,Paramètres!$A$1:$I$89,5,0)</f>
        <v>28.184000000000001</v>
      </c>
      <c r="FG25" s="13">
        <f t="shared" si="47"/>
        <v>8.8059129686929793</v>
      </c>
      <c r="FH25" s="20">
        <f t="shared" si="22"/>
        <v>64.424098420473612</v>
      </c>
      <c r="FI25" s="59">
        <f t="shared" si="23"/>
        <v>347.97965397602917</v>
      </c>
      <c r="FJ25" s="59">
        <f ca="1">AVERAGE(OFFSET($FI$3,0,0,'Données projet'!$E$16+1,1))-AVERAGE(OFFSET($H$3,0,0,'Données projet'!$E$16+1,1))</f>
        <v>159.4660488566085</v>
      </c>
      <c r="FK25" s="59">
        <f t="shared" si="48"/>
        <v>135.33030558297088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0.5240897547576101</v>
      </c>
      <c r="FS25" s="21">
        <f>EXP(-LN(2)/2)*FS24+(1-EXP(-LN(2)/2))/(LN(2)/2)*FM25*FP25*VLOOKUP('Données projet'!$B$16,Paramètres!$A$1:$I$89,3,0)*0.475*44/12</f>
        <v>0.55196324504415228</v>
      </c>
      <c r="FT25" s="22">
        <f t="shared" si="24"/>
        <v>1.0760529998017625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4.0942857142857143</v>
      </c>
      <c r="N26" s="13">
        <f>IF('Données projet'!$A$36&gt;35,N25+M26-V25,IF(A26&lt;'Données projet'!$A$36,$K$205^A26,IF(A26='Données projet'!$A$36,'Données projet'!$B$36,N25+M26-V25)))</f>
        <v>94.168571428571482</v>
      </c>
      <c r="O26" s="13">
        <f>N26*VLOOKUP('Données projet'!$B$9,Paramètres!$A$1:$I$89,3,0)*VLOOKUP('Données projet'!$B$9,Paramètres!$A$1:$I$89,5,0)</f>
        <v>95.486931428571495</v>
      </c>
      <c r="P26" s="13">
        <f t="shared" si="33"/>
        <v>25.883948535791781</v>
      </c>
      <c r="Q26" s="20">
        <f t="shared" si="2"/>
        <v>211.38761593793268</v>
      </c>
      <c r="R26" s="59">
        <f t="shared" si="0"/>
        <v>496.16539371571048</v>
      </c>
      <c r="S26" s="59">
        <f ca="1">AVERAGE(OFFSET($R$3,0,0,'Données projet'!$E$9+1,1))-AVERAGE(OFFSET($H$3,0,0,'Données projet'!$E$9+1,1))</f>
        <v>706.69239849991595</v>
      </c>
      <c r="T26" s="59">
        <f t="shared" si="34"/>
        <v>310.59887275116529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5.1282051282051295</v>
      </c>
      <c r="AI26" s="13">
        <f>IF('Données projet'!$A$62&gt;35,AI25+AH26-AQ25,IF(A26&lt;'Données projet'!$A$62,$AF$205^A26,IF(A26='Données projet'!$A$62,'Données projet'!$B$62,AI25+AH26-AQ25)))</f>
        <v>52.564102564102555</v>
      </c>
      <c r="AJ26" s="13">
        <f>AI26*VLOOKUP('Données projet'!$B$10,Paramètres!$A$1:$I$89,3,0)*VLOOKUP('Données projet'!$B$10,Paramètres!$A$1:$I$89,5,0)</f>
        <v>54.94</v>
      </c>
      <c r="AK26" s="13">
        <f t="shared" si="35"/>
        <v>15.88245671832347</v>
      </c>
      <c r="AL26" s="20">
        <f t="shared" si="4"/>
        <v>123.3491121177467</v>
      </c>
      <c r="AM26" s="59">
        <f t="shared" si="5"/>
        <v>408.12688989552447</v>
      </c>
      <c r="AN26" s="59">
        <f ca="1">AVERAGE(OFFSET($AM$3,0,0,'Données projet'!$E$10+1,1))-AVERAGE(OFFSET($H$3,0,0,'Données projet'!$E$10+1,1))</f>
        <v>239.26156489359892</v>
      </c>
      <c r="AO26" s="59">
        <f t="shared" si="36"/>
        <v>213.97034450798111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4.2327382547587016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4.2327382547587016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12.6</v>
      </c>
      <c r="BD26" s="12">
        <f>IF('Données projet'!$A$88&gt;35,BD25+BC26-BL25,IF(A26&lt;'Données projet'!$A$88,$BA$205^A26,IF(A26='Données projet'!$A$88,'Données projet'!$B$88,BD25+BC26-BL25)))</f>
        <v>89.799999999999983</v>
      </c>
      <c r="BE26" s="13">
        <f>BD26*VLOOKUP('Données projet'!$B$11,Paramètres!$A$1:$I$89,3,0)*VLOOKUP('Données projet'!$B$11,Paramètres!$A$1:$I$89,5,0)</f>
        <v>78.449280000000002</v>
      </c>
      <c r="BF26" s="13">
        <f t="shared" si="37"/>
        <v>21.757594161482565</v>
      </c>
      <c r="BG26" s="20">
        <f t="shared" si="7"/>
        <v>174.52697249791549</v>
      </c>
      <c r="BH26" s="59">
        <f t="shared" si="8"/>
        <v>459.30475027569327</v>
      </c>
      <c r="BI26" s="59">
        <f ca="1">AVERAGE(OFFSET($BH$3,0,0,'Données projet'!$E$11+1,1))-AVERAGE(OFFSET($H$3,0,0,'Données projet'!$E$11+1,1))</f>
        <v>324.86930206492627</v>
      </c>
      <c r="BJ26" s="59">
        <f t="shared" si="38"/>
        <v>317.03005098025352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4.8154755324647889</v>
      </c>
      <c r="BR26" s="21">
        <f>EXP(-LN(2)/2)*BR25+(1-EXP(-LN(2)/2))/(LN(2)/2)*BL26*BO26*VLOOKUP('Données projet'!$B$11,Paramètres!$A$1:$I$89,3,0)*0.475*44/12</f>
        <v>2.2331392129159759</v>
      </c>
      <c r="BS26" s="22">
        <f t="shared" si="9"/>
        <v>7.0486147453807648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3.3603333333333336</v>
      </c>
      <c r="BY26" s="12">
        <f>IF('Données projet'!$A$114&gt;35,BY25+BX26-CG25,IF(A26&lt;'Données projet'!$A$114,$BV$205^A26,IF(A26='Données projet'!$A$114,'Données projet'!$B$114,BY25+BX26-CG25)))</f>
        <v>77.287666666666695</v>
      </c>
      <c r="BZ26" s="13">
        <f>BY26*VLOOKUP('Données projet'!$B$12,Paramètres!$A$1:$I$89,3,0)*VLOOKUP('Données projet'!$B$12,Paramètres!$A$1:$I$89,5,0)</f>
        <v>88.015194800000032</v>
      </c>
      <c r="CA26" s="13">
        <f t="shared" si="39"/>
        <v>24.085918273201479</v>
      </c>
      <c r="CB26" s="20">
        <f t="shared" si="10"/>
        <v>195.24277193582597</v>
      </c>
      <c r="CC26" s="59">
        <f t="shared" si="11"/>
        <v>480.02054971360371</v>
      </c>
      <c r="CD26" s="59">
        <f ca="1">AVERAGE(OFFSET($CC$3,0,0,'Données projet'!$E$12+1,1))-AVERAGE(OFFSET($H$3,0,0,'Données projet'!$E$12+1,1))</f>
        <v>593.28343396240075</v>
      </c>
      <c r="CE26" s="59">
        <f t="shared" si="40"/>
        <v>289.66477662068695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4.0942857142857143</v>
      </c>
      <c r="CT26" s="12">
        <f>IF('Données projet'!$A$140&gt;35,CT25+CS26-DB25,IF(A26&lt;'Données projet'!$A$140,$CQ$205^A26,IF(A26='Données projet'!$A$140,'Données projet'!$B$140,CT25+CS26-DB25)))</f>
        <v>94.168571428571482</v>
      </c>
      <c r="CU26" s="17">
        <f>CT26*VLOOKUP('Données projet'!$B$13,Paramètres!$A$1:$I$89,3,0)*VLOOKUP('Données projet'!$B$13,Paramètres!$A$1:$I$89,5,0)</f>
        <v>101.36305028571435</v>
      </c>
      <c r="CV26" s="13">
        <f t="shared" si="41"/>
        <v>27.286469175108234</v>
      </c>
      <c r="CW26" s="20">
        <f t="shared" si="13"/>
        <v>224.06457972759929</v>
      </c>
      <c r="CX26" s="59">
        <f t="shared" si="14"/>
        <v>508.84235750537709</v>
      </c>
      <c r="CY26" s="59">
        <f ca="1">AVERAGE(OFFSET($CX$3,0,0,'Données projet'!$E$13+1,1))-AVERAGE(OFFSET($H$3,0,0,'Données projet'!$E$13+1,1))</f>
        <v>747.18304127457918</v>
      </c>
      <c r="CZ26" s="59">
        <f t="shared" si="42"/>
        <v>327.03701004966723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14.8</v>
      </c>
      <c r="DO26" s="12">
        <f>IF('Données projet'!$A$166&gt;35,DO25+DN26-DW25,IF(A26&lt;'Données projet'!$A$166,$DL$205^A26,IF(A26='Données projet'!$A$166,'Données projet'!$B$166,DO25+DN26-DW25)))</f>
        <v>111.39999999999998</v>
      </c>
      <c r="DP26" s="17">
        <f>DO26*VLOOKUP('Données projet'!$B$14,Paramètres!$A$1:$I$89,3,0)*VLOOKUP('Données projet'!$B$14,Paramètres!$A$1:$I$89,5,0)</f>
        <v>88.629839999999987</v>
      </c>
      <c r="DQ26" s="13">
        <f t="shared" si="43"/>
        <v>24.23448093253452</v>
      </c>
      <c r="DR26" s="20">
        <f t="shared" si="16"/>
        <v>196.57202562416424</v>
      </c>
      <c r="DS26" s="59">
        <f t="shared" si="17"/>
        <v>481.34980340194204</v>
      </c>
      <c r="DT26" s="59">
        <f ca="1">AVERAGE(OFFSET($DS$3,0,0,'Données projet'!$E$14+1,1))-AVERAGE(OFFSET($H$3,0,0,'Données projet'!$E$14+1,1))</f>
        <v>353.37479213497227</v>
      </c>
      <c r="DU26" s="59">
        <f t="shared" si="44"/>
        <v>345.4750813433123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6.7139596211000345</v>
      </c>
      <c r="EC26" s="21">
        <f>EXP(-LN(2)/2)*EC25+(1-EXP(-LN(2)/2))/(LN(2)/2)*DW26*DZ26*VLOOKUP('Données projet'!$B$14,Paramètres!$A$1:$I$89,3,0)*0.475*44/12</f>
        <v>2.6976018801719137</v>
      </c>
      <c r="ED26" s="22">
        <f t="shared" si="18"/>
        <v>9.4115615012719473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18.265714285714285</v>
      </c>
      <c r="EJ26" s="12">
        <f>IF('Données projet'!$A$192&gt;35,EJ25+EI26-ER25,IF(A26&lt;'Données projet'!$A$192,$EG$205^A26,IF(A26='Données projet'!$A$192,'Données projet'!$B$192,EJ25+EI26-ER25)))</f>
        <v>420.11142857142869</v>
      </c>
      <c r="EK26" s="17">
        <f>EJ26*VLOOKUP('Données projet'!$B$15,Paramètres!$A$1:$I$89,3,0)*VLOOKUP('Données projet'!$B$15,Paramètres!$A$1:$I$89,5,0)</f>
        <v>196.61214857142863</v>
      </c>
      <c r="EL26" s="13">
        <f t="shared" si="45"/>
        <v>48.998881829646045</v>
      </c>
      <c r="EM26" s="20">
        <f t="shared" si="19"/>
        <v>427.77254461520511</v>
      </c>
      <c r="EN26" s="59">
        <f t="shared" si="20"/>
        <v>712.55032239298293</v>
      </c>
      <c r="EO26" s="59">
        <f ca="1">AVERAGE(OFFSET($EN$3,0,0,'Données projet'!$E$15+1,1))-AVERAGE(OFFSET($H$3,0,0,'Données projet'!$E$15+1,1))</f>
        <v>433.05041777893922</v>
      </c>
      <c r="EP26" s="59">
        <f t="shared" si="46"/>
        <v>591.24088611958996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2.9487179487179498</v>
      </c>
      <c r="FE26" s="12">
        <f>IF('Données projet'!$A$218&gt;35,FE25+FD26-FM25,IF(A26&lt;'Données projet'!$A$218,$FB$205^A26,IF(A26='Données projet'!$A$218,'Données projet'!$B$218,FE25+FD26-FM25)))</f>
        <v>37.692307692307693</v>
      </c>
      <c r="FF26" s="17">
        <f>FE26*VLOOKUP('Données projet'!$B$16,Paramètres!$A$1:$I$89,3,0)*VLOOKUP('Données projet'!$B$16,Paramètres!$A$1:$I$89,5,0)</f>
        <v>30.576000000000004</v>
      </c>
      <c r="FG26" s="13">
        <f t="shared" si="47"/>
        <v>9.4631216842413863</v>
      </c>
      <c r="FH26" s="20">
        <f t="shared" si="22"/>
        <v>69.734803600053766</v>
      </c>
      <c r="FI26" s="59">
        <f t="shared" si="23"/>
        <v>354.51258137783157</v>
      </c>
      <c r="FJ26" s="59">
        <f ca="1">AVERAGE(OFFSET($FI$3,0,0,'Données projet'!$E$16+1,1))-AVERAGE(OFFSET($H$3,0,0,'Données projet'!$E$16+1,1))</f>
        <v>159.4660488566085</v>
      </c>
      <c r="FK26" s="59">
        <f t="shared" si="48"/>
        <v>135.33030558297088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0.50975849285308084</v>
      </c>
      <c r="FS26" s="21">
        <f>EXP(-LN(2)/2)*FS25+(1-EXP(-LN(2)/2))/(LN(2)/2)*FM26*FP26*VLOOKUP('Données projet'!$B$16,Paramètres!$A$1:$I$89,3,0)*0.475*44/12</f>
        <v>0.39029695353645211</v>
      </c>
      <c r="FT26" s="22">
        <f t="shared" si="24"/>
        <v>0.90005544638953294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4.0942857142857143</v>
      </c>
      <c r="N27" s="13">
        <f>IF('Données projet'!$A$36&gt;35,N26+M27-V26,IF(A27&lt;'Données projet'!$A$36,$K$205^A27,IF(A27='Données projet'!$A$36,'Données projet'!$B$36,N26+M27-V26)))</f>
        <v>98.2628571428572</v>
      </c>
      <c r="O27" s="13">
        <f>N27*VLOOKUP('Données projet'!$B$9,Paramètres!$A$1:$I$89,3,0)*VLOOKUP('Données projet'!$B$9,Paramètres!$A$1:$I$89,5,0)</f>
        <v>99.638537142857203</v>
      </c>
      <c r="P27" s="13">
        <f t="shared" si="33"/>
        <v>26.875865866848134</v>
      </c>
      <c r="Q27" s="20">
        <f t="shared" si="2"/>
        <v>220.34591857523677</v>
      </c>
      <c r="R27" s="59">
        <f t="shared" si="0"/>
        <v>506.34591857523674</v>
      </c>
      <c r="S27" s="59">
        <f ca="1">AVERAGE(OFFSET($R$3,0,0,'Données projet'!$E$9+1,1))-AVERAGE(OFFSET($H$3,0,0,'Données projet'!$E$9+1,1))</f>
        <v>706.69239849991595</v>
      </c>
      <c r="T27" s="59">
        <f t="shared" si="34"/>
        <v>310.59887275116529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5.1282051282051295</v>
      </c>
      <c r="AI27" s="13">
        <f>IF('Données projet'!$A$62&gt;35,AI26+AH27-AQ26,IF(A27&lt;'Données projet'!$A$62,$AF$205^A27,IF(A27='Données projet'!$A$62,'Données projet'!$B$62,AI26+AH27-AQ26)))</f>
        <v>57.692307692307686</v>
      </c>
      <c r="AJ27" s="13">
        <f>AI27*VLOOKUP('Données projet'!$B$10,Paramètres!$A$1:$I$89,3,0)*VLOOKUP('Données projet'!$B$10,Paramètres!$A$1:$I$89,5,0)</f>
        <v>60.300000000000004</v>
      </c>
      <c r="AK27" s="13">
        <f t="shared" si="35"/>
        <v>17.24409639377615</v>
      </c>
      <c r="AL27" s="20">
        <f t="shared" si="4"/>
        <v>135.05596788582679</v>
      </c>
      <c r="AM27" s="59">
        <f t="shared" si="5"/>
        <v>421.05596788582682</v>
      </c>
      <c r="AN27" s="59">
        <f ca="1">AVERAGE(OFFSET($AM$3,0,0,'Données projet'!$E$10+1,1))-AVERAGE(OFFSET($H$3,0,0,'Données projet'!$E$10+1,1))</f>
        <v>239.26156489359892</v>
      </c>
      <c r="AO27" s="59">
        <f t="shared" si="36"/>
        <v>213.97034450798111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4.116993804592294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4.116993804592294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12.6</v>
      </c>
      <c r="BD27" s="12">
        <f>IF('Données projet'!$A$88&gt;35,BD26+BC27-BL26,IF(A27&lt;'Données projet'!$A$88,$BA$205^A27,IF(A27='Données projet'!$A$88,'Données projet'!$B$88,BD26+BC27-BL26)))</f>
        <v>102.39999999999998</v>
      </c>
      <c r="BE27" s="13">
        <f>BD27*VLOOKUP('Données projet'!$B$11,Paramètres!$A$1:$I$89,3,0)*VLOOKUP('Données projet'!$B$11,Paramètres!$A$1:$I$89,5,0)</f>
        <v>89.456639999999993</v>
      </c>
      <c r="BF27" s="13">
        <f t="shared" si="37"/>
        <v>24.434133496437113</v>
      </c>
      <c r="BG27" s="20">
        <f t="shared" si="7"/>
        <v>198.35976383962796</v>
      </c>
      <c r="BH27" s="59">
        <f t="shared" si="8"/>
        <v>484.35976383962793</v>
      </c>
      <c r="BI27" s="59">
        <f ca="1">AVERAGE(OFFSET($BH$3,0,0,'Données projet'!$E$11+1,1))-AVERAGE(OFFSET($H$3,0,0,'Données projet'!$E$11+1,1))</f>
        <v>324.86930206492627</v>
      </c>
      <c r="BJ27" s="59">
        <f t="shared" si="38"/>
        <v>317.03005098025352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4.6837961007946873</v>
      </c>
      <c r="BR27" s="21">
        <f>EXP(-LN(2)/2)*BR26+(1-EXP(-LN(2)/2))/(LN(2)/2)*BL27*BO27*VLOOKUP('Données projet'!$B$11,Paramètres!$A$1:$I$89,3,0)*0.475*44/12</f>
        <v>1.579067880786476</v>
      </c>
      <c r="BS27" s="22">
        <f t="shared" si="9"/>
        <v>6.2628639815811633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3.3603333333333336</v>
      </c>
      <c r="BY27" s="12">
        <f>IF('Données projet'!$A$114&gt;35,BY26+BX27-CG26,IF(A27&lt;'Données projet'!$A$114,$BV$205^A27,IF(A27='Données projet'!$A$114,'Données projet'!$B$114,BY26+BX27-CG26)))</f>
        <v>80.648000000000025</v>
      </c>
      <c r="BZ27" s="13">
        <f>BY27*VLOOKUP('Données projet'!$B$12,Paramètres!$A$1:$I$89,3,0)*VLOOKUP('Données projet'!$B$12,Paramètres!$A$1:$I$89,5,0)</f>
        <v>91.841942400000036</v>
      </c>
      <c r="CA27" s="13">
        <f t="shared" si="39"/>
        <v>25.008931998737175</v>
      </c>
      <c r="CB27" s="20">
        <f t="shared" si="10"/>
        <v>203.51527291113393</v>
      </c>
      <c r="CC27" s="59">
        <f t="shared" si="11"/>
        <v>489.51527291113393</v>
      </c>
      <c r="CD27" s="59">
        <f ca="1">AVERAGE(OFFSET($CC$3,0,0,'Données projet'!$E$12+1,1))-AVERAGE(OFFSET($H$3,0,0,'Données projet'!$E$12+1,1))</f>
        <v>593.28343396240075</v>
      </c>
      <c r="CE27" s="59">
        <f t="shared" si="40"/>
        <v>289.66477662068695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4.0942857142857143</v>
      </c>
      <c r="CT27" s="12">
        <f>IF('Données projet'!$A$140&gt;35,CT26+CS27-DB26,IF(A27&lt;'Données projet'!$A$140,$CQ$205^A27,IF(A27='Données projet'!$A$140,'Données projet'!$B$140,CT26+CS27-DB26)))</f>
        <v>98.2628571428572</v>
      </c>
      <c r="CU27" s="17">
        <f>CT27*VLOOKUP('Données projet'!$B$13,Paramètres!$A$1:$I$89,3,0)*VLOOKUP('Données projet'!$B$13,Paramètres!$A$1:$I$89,5,0)</f>
        <v>105.77013942857148</v>
      </c>
      <c r="CV27" s="13">
        <f t="shared" si="41"/>
        <v>28.332133504130443</v>
      </c>
      <c r="CW27" s="20">
        <f t="shared" si="13"/>
        <v>233.56145869112254</v>
      </c>
      <c r="CX27" s="59">
        <f t="shared" si="14"/>
        <v>519.56145869112254</v>
      </c>
      <c r="CY27" s="59">
        <f ca="1">AVERAGE(OFFSET($CX$3,0,0,'Données projet'!$E$13+1,1))-AVERAGE(OFFSET($H$3,0,0,'Données projet'!$E$13+1,1))</f>
        <v>747.18304127457918</v>
      </c>
      <c r="CZ27" s="59">
        <f t="shared" si="42"/>
        <v>327.03701004966723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14.8</v>
      </c>
      <c r="DO27" s="12">
        <f>IF('Données projet'!$A$166&gt;35,DO26+DN27-DW26,IF(A27&lt;'Données projet'!$A$166,$DL$205^A27,IF(A27='Données projet'!$A$166,'Données projet'!$B$166,DO26+DN27-DW26)))</f>
        <v>126.19999999999997</v>
      </c>
      <c r="DP27" s="17">
        <f>DO27*VLOOKUP('Données projet'!$B$14,Paramètres!$A$1:$I$89,3,0)*VLOOKUP('Données projet'!$B$14,Paramètres!$A$1:$I$89,5,0)</f>
        <v>100.40472</v>
      </c>
      <c r="DQ27" s="13">
        <f t="shared" si="43"/>
        <v>27.058393830330502</v>
      </c>
      <c r="DR27" s="20">
        <f t="shared" si="16"/>
        <v>221.99825658782561</v>
      </c>
      <c r="DS27" s="59">
        <f t="shared" si="17"/>
        <v>507.99825658782561</v>
      </c>
      <c r="DT27" s="59">
        <f ca="1">AVERAGE(OFFSET($DS$3,0,0,'Données projet'!$E$14+1,1))-AVERAGE(OFFSET($H$3,0,0,'Données projet'!$E$14+1,1))</f>
        <v>353.37479213497227</v>
      </c>
      <c r="DU27" s="59">
        <f t="shared" si="44"/>
        <v>345.4750813433123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6.5303660421892626</v>
      </c>
      <c r="EC27" s="21">
        <f>EXP(-LN(2)/2)*EC26+(1-EXP(-LN(2)/2))/(LN(2)/2)*DW27*DZ27*VLOOKUP('Données projet'!$B$14,Paramètres!$A$1:$I$89,3,0)*0.475*44/12</f>
        <v>1.9074925824111406</v>
      </c>
      <c r="ED27" s="22">
        <f t="shared" si="18"/>
        <v>8.4378586246004037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18.265714285714285</v>
      </c>
      <c r="EJ27" s="12">
        <f>IF('Données projet'!$A$192&gt;35,EJ26+EI27-ER26,IF(A27&lt;'Données projet'!$A$192,$EG$205^A27,IF(A27='Données projet'!$A$192,'Données projet'!$B$192,EJ26+EI27-ER26)))</f>
        <v>438.37714285714299</v>
      </c>
      <c r="EK27" s="17">
        <f>EJ27*VLOOKUP('Données projet'!$B$15,Paramètres!$A$1:$I$89,3,0)*VLOOKUP('Données projet'!$B$15,Paramètres!$A$1:$I$89,5,0)</f>
        <v>205.16050285714294</v>
      </c>
      <c r="EL27" s="13">
        <f t="shared" si="45"/>
        <v>50.876603075382562</v>
      </c>
      <c r="EM27" s="20">
        <f t="shared" si="19"/>
        <v>445.93129283248186</v>
      </c>
      <c r="EN27" s="59">
        <f t="shared" si="20"/>
        <v>731.93129283248186</v>
      </c>
      <c r="EO27" s="59">
        <f ca="1">AVERAGE(OFFSET($EN$3,0,0,'Données projet'!$E$15+1,1))-AVERAGE(OFFSET($H$3,0,0,'Données projet'!$E$15+1,1))</f>
        <v>433.05041777893922</v>
      </c>
      <c r="EP27" s="59">
        <f t="shared" si="46"/>
        <v>591.24088611958996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2.9487179487179498</v>
      </c>
      <c r="FE27" s="12">
        <f>IF('Données projet'!$A$218&gt;35,FE26+FD27-FM26,IF(A27&lt;'Données projet'!$A$218,$FB$205^A27,IF(A27='Données projet'!$A$218,'Données projet'!$B$218,FE26+FD27-FM26)))</f>
        <v>40.641025641025642</v>
      </c>
      <c r="FF27" s="17">
        <f>FE27*VLOOKUP('Données projet'!$B$16,Paramètres!$A$1:$I$89,3,0)*VLOOKUP('Données projet'!$B$16,Paramètres!$A$1:$I$89,5,0)</f>
        <v>32.968000000000004</v>
      </c>
      <c r="FG27" s="13">
        <f t="shared" si="47"/>
        <v>10.114366524983168</v>
      </c>
      <c r="FH27" s="20">
        <f t="shared" si="22"/>
        <v>75.035121697679017</v>
      </c>
      <c r="FI27" s="59">
        <f t="shared" si="23"/>
        <v>361.03512169767902</v>
      </c>
      <c r="FJ27" s="59">
        <f ca="1">AVERAGE(OFFSET($FI$3,0,0,'Données projet'!$E$16+1,1))-AVERAGE(OFFSET($H$3,0,0,'Données projet'!$E$16+1,1))</f>
        <v>159.4660488566085</v>
      </c>
      <c r="FK27" s="59">
        <f t="shared" si="48"/>
        <v>135.33030558297088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0.49581912005897927</v>
      </c>
      <c r="FS27" s="21">
        <f>EXP(-LN(2)/2)*FS26+(1-EXP(-LN(2)/2))/(LN(2)/2)*FM27*FP27*VLOOKUP('Données projet'!$B$16,Paramètres!$A$1:$I$89,3,0)*0.475*44/12</f>
        <v>0.27598162252207614</v>
      </c>
      <c r="FT27" s="22">
        <f t="shared" si="24"/>
        <v>0.77180074258105535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4.0942857142857143</v>
      </c>
      <c r="N28" s="13">
        <f>IF('Données projet'!$A$36&gt;35,N27+M28-V27,IF(A28&lt;'Données projet'!$A$36,$K$205^A28,IF(A28='Données projet'!$A$36,'Données projet'!$B$36,N27+M28-V27)))</f>
        <v>102.35714285714292</v>
      </c>
      <c r="O28" s="13">
        <f>N28*VLOOKUP('Données projet'!$B$9,Paramètres!$A$1:$I$89,3,0)*VLOOKUP('Données projet'!$B$9,Paramètres!$A$1:$I$89,5,0)</f>
        <v>103.79014285714292</v>
      </c>
      <c r="P28" s="13">
        <f t="shared" si="33"/>
        <v>27.862982579231517</v>
      </c>
      <c r="Q28" s="20">
        <f t="shared" si="2"/>
        <v>229.29586013501878</v>
      </c>
      <c r="R28" s="59">
        <f t="shared" si="0"/>
        <v>516.51808235724104</v>
      </c>
      <c r="S28" s="59">
        <f ca="1">AVERAGE(OFFSET($R$3,0,0,'Données projet'!$E$9+1,1))-AVERAGE(OFFSET($H$3,0,0,'Données projet'!$E$9+1,1))</f>
        <v>706.69239849991595</v>
      </c>
      <c r="T28" s="59">
        <f t="shared" si="34"/>
        <v>310.59887275116529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62.820512820512818</v>
      </c>
      <c r="AG28" s="12">
        <f>VLOOKUP(A28,'Données projet'!$A$61:$I$81,9,0)</f>
        <v>5.1282051282051295</v>
      </c>
      <c r="AH28" s="12">
        <f t="array" ref="AH28">INDEX(AG:AG,MIN(IF(ISNUMBER(AG28:AG224),ROW(AG28:AG224),"")))</f>
        <v>5.1282051282051295</v>
      </c>
      <c r="AI28" s="13">
        <f>IF('Données projet'!$A$62&gt;35,AI27+AH28-AQ27,IF(A28&lt;'Données projet'!$A$62,$AF$205^A28,IF(A28='Données projet'!$A$62,'Données projet'!$B$62,AI27+AH28-AQ27)))</f>
        <v>62.820512820512818</v>
      </c>
      <c r="AJ28" s="13">
        <f>AI28*VLOOKUP('Données projet'!$B$10,Paramètres!$A$1:$I$89,3,0)*VLOOKUP('Données projet'!$B$10,Paramètres!$A$1:$I$89,5,0)</f>
        <v>65.660000000000011</v>
      </c>
      <c r="AK28" s="13">
        <f t="shared" si="35"/>
        <v>18.591700776040714</v>
      </c>
      <c r="AL28" s="20">
        <f t="shared" si="4"/>
        <v>146.73837885160424</v>
      </c>
      <c r="AM28" s="59">
        <f t="shared" si="5"/>
        <v>433.96060107382647</v>
      </c>
      <c r="AN28" s="59">
        <f ca="1">AVERAGE(OFFSET($AM$3,0,0,'Données projet'!$E$10+1,1))-AVERAGE(OFFSET($H$3,0,0,'Données projet'!$E$10+1,1))</f>
        <v>239.26156489359892</v>
      </c>
      <c r="AO28" s="59">
        <f t="shared" si="36"/>
        <v>213.97034450798111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12.179487179487179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0.215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7.0181185401743438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7.0181185401743438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115</v>
      </c>
      <c r="BB28" s="12">
        <f>VLOOKUP(A28,'Données projet'!$A$87:$I$107,9,0)</f>
        <v>12.6</v>
      </c>
      <c r="BC28" s="12">
        <f t="array" ref="BC28">INDEX(BB:BB,MIN(IF(ISNUMBER(BB28:BB224),ROW(BB28:BB224),"")))</f>
        <v>12.6</v>
      </c>
      <c r="BD28" s="12">
        <f>IF('Données projet'!$A$88&gt;35,BD27+BC28-BL27,IF(A28&lt;'Données projet'!$A$88,$BA$205^A28,IF(A28='Données projet'!$A$88,'Données projet'!$B$88,BD27+BC28-BL27)))</f>
        <v>114.99999999999997</v>
      </c>
      <c r="BE28" s="13">
        <f>BD28*VLOOKUP('Données projet'!$B$11,Paramètres!$A$1:$I$89,3,0)*VLOOKUP('Données projet'!$B$11,Paramètres!$A$1:$I$89,5,0)</f>
        <v>100.46399999999998</v>
      </c>
      <c r="BF28" s="13">
        <f t="shared" si="37"/>
        <v>27.072509349827456</v>
      </c>
      <c r="BG28" s="20">
        <f t="shared" si="7"/>
        <v>222.12608711761615</v>
      </c>
      <c r="BH28" s="59">
        <f t="shared" si="8"/>
        <v>509.34830933983835</v>
      </c>
      <c r="BI28" s="59">
        <f ca="1">AVERAGE(OFFSET($BH$3,0,0,'Données projet'!$E$11+1,1))-AVERAGE(OFFSET($H$3,0,0,'Données projet'!$E$11+1,1))</f>
        <v>324.86930206492627</v>
      </c>
      <c r="BJ28" s="59">
        <f t="shared" si="38"/>
        <v>317.03005098025352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0.13250000000000001</v>
      </c>
      <c r="BO28" s="16">
        <f>IF(ISNA(VLOOKUP(A28,'Données projet'!$A$87:$I$107,7,0)),0%,VLOOKUP(A28,'Données projet'!$A$87:$I$107,7,0))</f>
        <v>0.25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8.124501647860189</v>
      </c>
      <c r="BR28" s="21">
        <f>EXP(-LN(2)/2)*BR27+(1-EXP(-LN(2)/2))/(LN(2)/2)*BL28*BO28*VLOOKUP('Données projet'!$B$11,Paramètres!$A$1:$I$89,3,0)*0.475*44/12</f>
        <v>6.8864253946528589</v>
      </c>
      <c r="BS28" s="22">
        <f t="shared" si="9"/>
        <v>15.010927042513048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3.3603333333333336</v>
      </c>
      <c r="BY28" s="12">
        <f>IF('Données projet'!$A$114&gt;35,BY27+BX28-CG27,IF(A28&lt;'Données projet'!$A$114,$BV$205^A28,IF(A28='Données projet'!$A$114,'Données projet'!$B$114,BY27+BX28-CG27)))</f>
        <v>84.008333333333354</v>
      </c>
      <c r="BZ28" s="13">
        <f>BY28*VLOOKUP('Données projet'!$B$12,Paramètres!$A$1:$I$89,3,0)*VLOOKUP('Données projet'!$B$12,Paramètres!$A$1:$I$89,5,0)</f>
        <v>95.668690000000026</v>
      </c>
      <c r="CA28" s="13">
        <f t="shared" si="39"/>
        <v>25.927478580905699</v>
      </c>
      <c r="CB28" s="20">
        <f t="shared" si="10"/>
        <v>211.77999361174412</v>
      </c>
      <c r="CC28" s="59">
        <f t="shared" si="11"/>
        <v>499.00221583396637</v>
      </c>
      <c r="CD28" s="59">
        <f ca="1">AVERAGE(OFFSET($CC$3,0,0,'Données projet'!$E$12+1,1))-AVERAGE(OFFSET($H$3,0,0,'Données projet'!$E$12+1,1))</f>
        <v>593.28343396240075</v>
      </c>
      <c r="CE28" s="59">
        <f t="shared" si="40"/>
        <v>289.66477662068695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4.0942857142857143</v>
      </c>
      <c r="CT28" s="12">
        <f>IF('Données projet'!$A$140&gt;35,CT27+CS28-DB27,IF(A28&lt;'Données projet'!$A$140,$CQ$205^A28,IF(A28='Données projet'!$A$140,'Données projet'!$B$140,CT27+CS28-DB27)))</f>
        <v>102.35714285714292</v>
      </c>
      <c r="CU28" s="17">
        <f>CT28*VLOOKUP('Données projet'!$B$13,Paramètres!$A$1:$I$89,3,0)*VLOOKUP('Données projet'!$B$13,Paramètres!$A$1:$I$89,5,0)</f>
        <v>110.17722857142863</v>
      </c>
      <c r="CV28" s="13">
        <f t="shared" si="41"/>
        <v>29.37273709316317</v>
      </c>
      <c r="CW28" s="20">
        <f t="shared" si="13"/>
        <v>243.04952353249737</v>
      </c>
      <c r="CX28" s="59">
        <f t="shared" si="14"/>
        <v>530.27174575471963</v>
      </c>
      <c r="CY28" s="59">
        <f ca="1">AVERAGE(OFFSET($CX$3,0,0,'Données projet'!$E$13+1,1))-AVERAGE(OFFSET($H$3,0,0,'Données projet'!$E$13+1,1))</f>
        <v>747.18304127457918</v>
      </c>
      <c r="CZ28" s="59">
        <f t="shared" si="42"/>
        <v>327.03701004966723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141</v>
      </c>
      <c r="DM28" s="12">
        <f>VLOOKUP(A28,'Données projet'!$A$165:$I$185,9,0)</f>
        <v>14.8</v>
      </c>
      <c r="DN28" s="12">
        <f t="array" ref="DN28">INDEX(DM:DM,MIN(IF(ISNUMBER(DM28:DM224),ROW(DM28:DM224),"")))</f>
        <v>14.8</v>
      </c>
      <c r="DO28" s="12">
        <f>IF('Données projet'!$A$166&gt;35,DO27+DN28-DW27,IF(A28&lt;'Données projet'!$A$166,$DL$205^A28,IF(A28='Données projet'!$A$166,'Données projet'!$B$166,DO27+DN28-DW27)))</f>
        <v>140.99999999999997</v>
      </c>
      <c r="DP28" s="17">
        <f>DO28*VLOOKUP('Données projet'!$B$14,Paramètres!$A$1:$I$89,3,0)*VLOOKUP('Données projet'!$B$14,Paramètres!$A$1:$I$89,5,0)</f>
        <v>112.17959999999998</v>
      </c>
      <c r="DQ28" s="13">
        <f t="shared" si="43"/>
        <v>29.8439274472838</v>
      </c>
      <c r="DR28" s="20">
        <f t="shared" si="16"/>
        <v>247.35764363735257</v>
      </c>
      <c r="DS28" s="59">
        <f t="shared" si="17"/>
        <v>534.57986585957474</v>
      </c>
      <c r="DT28" s="59">
        <f ca="1">AVERAGE(OFFSET($DS$3,0,0,'Données projet'!$E$14+1,1))-AVERAGE(OFFSET($H$3,0,0,'Données projet'!$E$14+1,1))</f>
        <v>353.37479213497227</v>
      </c>
      <c r="DU28" s="59">
        <f t="shared" si="44"/>
        <v>345.4750813433123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35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0.13250000000000001</v>
      </c>
      <c r="DZ28" s="16">
        <f>IF(ISNA(VLOOKUP(A28,'Données projet'!$A$165:$I$185,7,0)),0%,VLOOKUP(A28,'Données projet'!$A$165:$I$185,7,0))</f>
        <v>0.25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10.414471278753595</v>
      </c>
      <c r="EC28" s="21">
        <f>EXP(-LN(2)/2)*EC27+(1-EXP(-LN(2)/2))/(LN(2)/2)*DW28*DZ28*VLOOKUP('Données projet'!$B$14,Paramètres!$A$1:$I$89,3,0)*0.475*44/12</f>
        <v>7.917163556111368</v>
      </c>
      <c r="ED28" s="22">
        <f t="shared" si="18"/>
        <v>18.331634834864964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18.265714285714285</v>
      </c>
      <c r="EJ28" s="12">
        <f>IF('Données projet'!$A$192&gt;35,EJ27+EI28-ER27,IF(A28&lt;'Données projet'!$A$192,$EG$205^A28,IF(A28='Données projet'!$A$192,'Données projet'!$B$192,EJ27+EI28-ER27)))</f>
        <v>456.64285714285728</v>
      </c>
      <c r="EK28" s="17">
        <f>EJ28*VLOOKUP('Données projet'!$B$15,Paramètres!$A$1:$I$89,3,0)*VLOOKUP('Données projet'!$B$15,Paramètres!$A$1:$I$89,5,0)</f>
        <v>213.7088571428572</v>
      </c>
      <c r="EL28" s="13">
        <f t="shared" si="45"/>
        <v>52.745236644764773</v>
      </c>
      <c r="EM28" s="20">
        <f t="shared" si="19"/>
        <v>464.07421334677491</v>
      </c>
      <c r="EN28" s="59">
        <f t="shared" si="20"/>
        <v>751.29643556899714</v>
      </c>
      <c r="EO28" s="59">
        <f ca="1">AVERAGE(OFFSET($EN$3,0,0,'Données projet'!$E$15+1,1))-AVERAGE(OFFSET($H$3,0,0,'Données projet'!$E$15+1,1))</f>
        <v>433.05041777893922</v>
      </c>
      <c r="EP28" s="59">
        <f t="shared" si="46"/>
        <v>591.24088611958996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43.589743589743591</v>
      </c>
      <c r="FC28" s="12">
        <f>VLOOKUP(A28,'Données projet'!$A$217:$I$237,9,0)</f>
        <v>2.9487179487179498</v>
      </c>
      <c r="FD28" s="12">
        <f t="array" ref="FD28">INDEX(FC:FC,MIN(IF(ISNUMBER(FC28:FC224),ROW(FC28:FC224),"")))</f>
        <v>2.9487179487179498</v>
      </c>
      <c r="FE28" s="12">
        <f>IF('Données projet'!$A$218&gt;35,FE27+FD28-FM27,IF(A28&lt;'Données projet'!$A$218,$FB$205^A28,IF(A28='Données projet'!$A$218,'Données projet'!$B$218,FE27+FD28-FM27)))</f>
        <v>43.589743589743591</v>
      </c>
      <c r="FF28" s="17">
        <f>FE28*VLOOKUP('Données projet'!$B$16,Paramètres!$A$1:$I$89,3,0)*VLOOKUP('Données projet'!$B$16,Paramètres!$A$1:$I$89,5,0)</f>
        <v>35.360000000000007</v>
      </c>
      <c r="FG28" s="13">
        <f t="shared" si="47"/>
        <v>10.760129410861797</v>
      </c>
      <c r="FH28" s="20">
        <f t="shared" si="22"/>
        <v>80.325892057250982</v>
      </c>
      <c r="FI28" s="59">
        <f t="shared" si="23"/>
        <v>367.54811427947322</v>
      </c>
      <c r="FJ28" s="59">
        <f ca="1">AVERAGE(OFFSET($FI$3,0,0,'Données projet'!$E$16+1,1))-AVERAGE(OFFSET($H$3,0,0,'Données projet'!$E$16+1,1))</f>
        <v>159.4660488566085</v>
      </c>
      <c r="FK28" s="59">
        <f t="shared" si="48"/>
        <v>135.33030558297088</v>
      </c>
      <c r="FL28" s="15">
        <f>IF(ISNA(VLOOKUP(A28,'Données projet'!$A$217:$I$237,3,0)),0,VLOOKUP(A28,'Données projet'!$A$217:$I$237,3,0))</f>
        <v>3</v>
      </c>
      <c r="FM28" s="15">
        <f>IF(ISNA(VLOOKUP(A28,'Données projet'!$A$217:$I$237,4,0)),0,VLOOKUP(A28,'Données projet'!$A$217:$I$237,4,0))</f>
        <v>5.1282051282051277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0.1075</v>
      </c>
      <c r="FP28" s="16">
        <f>IF(ISNA(VLOOKUP(A28,'Données projet'!$A$217:$I$237,7,0)),0%,VLOOKUP(A28,'Données projet'!$A$217:$I$237,7,0))</f>
        <v>0.25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0.97468076517113511</v>
      </c>
      <c r="FS28" s="21">
        <f>EXP(-LN(2)/2)*FS27+(1-EXP(-LN(2)/2))/(LN(2)/2)*FM28*FP28*VLOOKUP('Données projet'!$B$16,Paramètres!$A$1:$I$89,3,0)*0.475*44/12</f>
        <v>1.1764164679578297</v>
      </c>
      <c r="FT28" s="22">
        <f t="shared" si="24"/>
        <v>2.1510972331289651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4.0942857142857143</v>
      </c>
      <c r="N29" s="13">
        <f>IF('Données projet'!$A$36&gt;35,N28+M29-V28,IF(A29&lt;'Données projet'!$A$36,$K$205^A29,IF(A29='Données projet'!$A$36,'Données projet'!$B$36,N28+M29-V28)))</f>
        <v>106.45142857142864</v>
      </c>
      <c r="O29" s="13">
        <f>N29*VLOOKUP('Données projet'!$B$9,Paramètres!$A$1:$I$89,3,0)*VLOOKUP('Données projet'!$B$9,Paramètres!$A$1:$I$89,5,0)</f>
        <v>107.94174857142863</v>
      </c>
      <c r="P29" s="13">
        <f t="shared" si="33"/>
        <v>28.845512667364968</v>
      </c>
      <c r="Q29" s="20">
        <f t="shared" si="2"/>
        <v>238.23781332423221</v>
      </c>
      <c r="R29" s="59">
        <f t="shared" si="0"/>
        <v>526.68225776867666</v>
      </c>
      <c r="S29" s="59">
        <f ca="1">AVERAGE(OFFSET($R$3,0,0,'Données projet'!$E$9+1,1))-AVERAGE(OFFSET($H$3,0,0,'Données projet'!$E$9+1,1))</f>
        <v>706.69239849991595</v>
      </c>
      <c r="T29" s="59">
        <f t="shared" si="34"/>
        <v>310.59887275116529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5.1282051282051295</v>
      </c>
      <c r="AI29" s="13">
        <f>IF('Données projet'!$A$62&gt;35,AI28+AH29-AQ28,IF(A29&lt;'Données projet'!$A$62,$AF$205^A29,IF(A29='Données projet'!$A$62,'Données projet'!$B$62,AI28+AH29-AQ28)))</f>
        <v>55.769230769230759</v>
      </c>
      <c r="AJ29" s="13">
        <f>AI29*VLOOKUP('Données projet'!$B$10,Paramètres!$A$1:$I$89,3,0)*VLOOKUP('Données projet'!$B$10,Paramètres!$A$1:$I$89,5,0)</f>
        <v>58.29</v>
      </c>
      <c r="AK29" s="13">
        <f t="shared" si="35"/>
        <v>16.735202513714196</v>
      </c>
      <c r="AL29" s="20">
        <f t="shared" si="4"/>
        <v>130.66889437805222</v>
      </c>
      <c r="AM29" s="59">
        <f t="shared" si="5"/>
        <v>419.11333882249664</v>
      </c>
      <c r="AN29" s="59">
        <f ca="1">AVERAGE(OFFSET($AM$3,0,0,'Données projet'!$E$10+1,1))-AVERAGE(OFFSET($H$3,0,0,'Données projet'!$E$10+1,1))</f>
        <v>239.26156489359892</v>
      </c>
      <c r="AO29" s="59">
        <f t="shared" si="36"/>
        <v>213.97034450798111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6.8262077196264626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6.8262077196264626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11.8</v>
      </c>
      <c r="BD29" s="12">
        <f>IF('Données projet'!$A$88&gt;35,BD28+BC29-BL28,IF(A29&lt;'Données projet'!$A$88,$BA$205^A29,IF(A29='Données projet'!$A$88,'Données projet'!$B$88,BD28+BC29-BL28)))</f>
        <v>98.799999999999969</v>
      </c>
      <c r="BE29" s="13">
        <f>BD29*VLOOKUP('Données projet'!$B$11,Paramètres!$A$1:$I$89,3,0)*VLOOKUP('Données projet'!$B$11,Paramètres!$A$1:$I$89,5,0)</f>
        <v>86.311679999999981</v>
      </c>
      <c r="BF29" s="13">
        <f t="shared" si="37"/>
        <v>23.673536308765939</v>
      </c>
      <c r="BG29" s="20">
        <f t="shared" si="7"/>
        <v>191.55758507110065</v>
      </c>
      <c r="BH29" s="59">
        <f t="shared" si="8"/>
        <v>480.00202951554513</v>
      </c>
      <c r="BI29" s="59">
        <f ca="1">AVERAGE(OFFSET($BH$3,0,0,'Données projet'!$E$11+1,1))-AVERAGE(OFFSET($H$3,0,0,'Données projet'!$E$11+1,1))</f>
        <v>324.86930206492627</v>
      </c>
      <c r="BJ29" s="59">
        <f t="shared" si="38"/>
        <v>317.03005098025352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7.9023367230504791</v>
      </c>
      <c r="BR29" s="21">
        <f>EXP(-LN(2)/2)*BR28+(1-EXP(-LN(2)/2))/(LN(2)/2)*BL29*BO29*VLOOKUP('Données projet'!$B$11,Paramètres!$A$1:$I$89,3,0)*0.475*44/12</f>
        <v>4.8694380946942832</v>
      </c>
      <c r="BS29" s="22">
        <f t="shared" si="9"/>
        <v>12.771774817744763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3.3603333333333336</v>
      </c>
      <c r="BY29" s="12">
        <f>IF('Données projet'!$A$114&gt;35,BY28+BX29-CG28,IF(A29&lt;'Données projet'!$A$114,$BV$205^A29,IF(A29='Données projet'!$A$114,'Données projet'!$B$114,BY28+BX29-CG28)))</f>
        <v>87.368666666666684</v>
      </c>
      <c r="BZ29" s="13">
        <f>BY29*VLOOKUP('Données projet'!$B$12,Paramètres!$A$1:$I$89,3,0)*VLOOKUP('Données projet'!$B$12,Paramètres!$A$1:$I$89,5,0)</f>
        <v>99.495437600000017</v>
      </c>
      <c r="CA29" s="13">
        <f t="shared" si="39"/>
        <v>26.84175714899277</v>
      </c>
      <c r="CB29" s="20">
        <f t="shared" si="10"/>
        <v>220.03728085449575</v>
      </c>
      <c r="CC29" s="59">
        <f t="shared" si="11"/>
        <v>508.4817252989402</v>
      </c>
      <c r="CD29" s="59">
        <f ca="1">AVERAGE(OFFSET($CC$3,0,0,'Données projet'!$E$12+1,1))-AVERAGE(OFFSET($H$3,0,0,'Données projet'!$E$12+1,1))</f>
        <v>593.28343396240075</v>
      </c>
      <c r="CE29" s="59">
        <f t="shared" si="40"/>
        <v>289.66477662068695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4.0942857142857143</v>
      </c>
      <c r="CT29" s="12">
        <f>IF('Données projet'!$A$140&gt;35,CT28+CS29-DB28,IF(A29&lt;'Données projet'!$A$140,$CQ$205^A29,IF(A29='Données projet'!$A$140,'Données projet'!$B$140,CT28+CS29-DB28)))</f>
        <v>106.45142857142864</v>
      </c>
      <c r="CU29" s="17">
        <f>CT29*VLOOKUP('Données projet'!$B$13,Paramètres!$A$1:$I$89,3,0)*VLOOKUP('Données projet'!$B$13,Paramètres!$A$1:$I$89,5,0)</f>
        <v>114.58431771428577</v>
      </c>
      <c r="CV29" s="13">
        <f t="shared" si="41"/>
        <v>30.408505531908048</v>
      </c>
      <c r="CW29" s="20">
        <f t="shared" si="13"/>
        <v>252.5291671537876</v>
      </c>
      <c r="CX29" s="59">
        <f t="shared" si="14"/>
        <v>540.97361159823208</v>
      </c>
      <c r="CY29" s="59">
        <f ca="1">AVERAGE(OFFSET($CX$3,0,0,'Données projet'!$E$13+1,1))-AVERAGE(OFFSET($H$3,0,0,'Données projet'!$E$13+1,1))</f>
        <v>747.18304127457918</v>
      </c>
      <c r="CZ29" s="59">
        <f t="shared" si="42"/>
        <v>327.03701004966723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14.2</v>
      </c>
      <c r="DO29" s="12">
        <f>IF('Données projet'!$A$166&gt;35,DO28+DN29-DW28,IF(A29&lt;'Données projet'!$A$166,$DL$205^A29,IF(A29='Données projet'!$A$166,'Données projet'!$B$166,DO28+DN29-DW28)))</f>
        <v>120.19999999999996</v>
      </c>
      <c r="DP29" s="17">
        <f>DO29*VLOOKUP('Données projet'!$B$14,Paramètres!$A$1:$I$89,3,0)*VLOOKUP('Données projet'!$B$14,Paramètres!$A$1:$I$89,5,0)</f>
        <v>95.631119999999967</v>
      </c>
      <c r="DQ29" s="13">
        <f t="shared" si="43"/>
        <v>25.918481589892234</v>
      </c>
      <c r="DR29" s="20">
        <f t="shared" si="16"/>
        <v>211.69888943572892</v>
      </c>
      <c r="DS29" s="59">
        <f t="shared" si="17"/>
        <v>500.14333388017337</v>
      </c>
      <c r="DT29" s="59">
        <f ca="1">AVERAGE(OFFSET($DS$3,0,0,'Données projet'!$E$14+1,1))-AVERAGE(OFFSET($H$3,0,0,'Données projet'!$E$14+1,1))</f>
        <v>353.37479213497227</v>
      </c>
      <c r="DU29" s="59">
        <f t="shared" si="44"/>
        <v>345.4750813433123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10.129687013962837</v>
      </c>
      <c r="EC29" s="21">
        <f>EXP(-LN(2)/2)*EC28+(1-EXP(-LN(2)/2))/(LN(2)/2)*DW29*DZ29*VLOOKUP('Données projet'!$B$14,Paramètres!$A$1:$I$89,3,0)*0.475*44/12</f>
        <v>5.5982800382893503</v>
      </c>
      <c r="ED29" s="22">
        <f t="shared" si="18"/>
        <v>15.727967052252186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18.265714285714285</v>
      </c>
      <c r="EJ29" s="12">
        <f>IF('Données projet'!$A$192&gt;35,EJ28+EI29-ER28,IF(A29&lt;'Données projet'!$A$192,$EG$205^A29,IF(A29='Données projet'!$A$192,'Données projet'!$B$192,EJ28+EI29-ER28)))</f>
        <v>474.90857142857158</v>
      </c>
      <c r="EK29" s="17">
        <f>EJ29*VLOOKUP('Données projet'!$B$15,Paramètres!$A$1:$I$89,3,0)*VLOOKUP('Données projet'!$B$15,Paramètres!$A$1:$I$89,5,0)</f>
        <v>222.25721142857148</v>
      </c>
      <c r="EL29" s="13">
        <f t="shared" si="45"/>
        <v>54.605187633925169</v>
      </c>
      <c r="EM29" s="20">
        <f t="shared" si="19"/>
        <v>482.20201170051496</v>
      </c>
      <c r="EN29" s="59">
        <f t="shared" si="20"/>
        <v>770.64645614495942</v>
      </c>
      <c r="EO29" s="59">
        <f ca="1">AVERAGE(OFFSET($EN$3,0,0,'Données projet'!$E$15+1,1))-AVERAGE(OFFSET($H$3,0,0,'Données projet'!$E$15+1,1))</f>
        <v>433.05041777893922</v>
      </c>
      <c r="EP29" s="59">
        <f t="shared" si="46"/>
        <v>591.24088611958996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3.0769230769230744</v>
      </c>
      <c r="FE29" s="12">
        <f>IF('Données projet'!$A$218&gt;35,FE28+FD29-FM28,IF(A29&lt;'Données projet'!$A$218,$FB$205^A29,IF(A29='Données projet'!$A$218,'Données projet'!$B$218,FE28+FD29-FM28)))</f>
        <v>41.538461538461533</v>
      </c>
      <c r="FF29" s="17">
        <f>FE29*VLOOKUP('Données projet'!$B$16,Paramètres!$A$1:$I$89,3,0)*VLOOKUP('Données projet'!$B$16,Paramètres!$A$1:$I$89,5,0)</f>
        <v>33.695999999999998</v>
      </c>
      <c r="FG29" s="13">
        <f t="shared" si="47"/>
        <v>10.311463159807191</v>
      </c>
      <c r="FH29" s="20">
        <f t="shared" si="22"/>
        <v>76.646331669997508</v>
      </c>
      <c r="FI29" s="59">
        <f t="shared" si="23"/>
        <v>365.09077611444195</v>
      </c>
      <c r="FJ29" s="59">
        <f ca="1">AVERAGE(OFFSET($FI$3,0,0,'Données projet'!$E$16+1,1))-AVERAGE(OFFSET($H$3,0,0,'Données projet'!$E$16+1,1))</f>
        <v>159.4660488566085</v>
      </c>
      <c r="FK29" s="59">
        <f t="shared" si="48"/>
        <v>135.33030558297088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0.94802806839129661</v>
      </c>
      <c r="FS29" s="21">
        <f>EXP(-LN(2)/2)*FS28+(1-EXP(-LN(2)/2))/(LN(2)/2)*FM29*FP29*VLOOKUP('Données projet'!$B$16,Paramètres!$A$1:$I$89,3,0)*0.475*44/12</f>
        <v>0.83185206199250827</v>
      </c>
      <c r="FT29" s="22">
        <f t="shared" si="24"/>
        <v>1.779880130383805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4.0942857142857143</v>
      </c>
      <c r="N30" s="13">
        <f>IF('Données projet'!$A$36&gt;35,N29+M30-V29,IF(A30&lt;'Données projet'!$A$36,$K$205^A30,IF(A30='Données projet'!$A$36,'Données projet'!$B$36,N29+M30-V29)))</f>
        <v>110.54571428571435</v>
      </c>
      <c r="O30" s="13">
        <f>N30*VLOOKUP('Données projet'!$B$9,Paramètres!$A$1:$I$89,3,0)*VLOOKUP('Données projet'!$B$9,Paramètres!$A$1:$I$89,5,0)</f>
        <v>112.09335428571437</v>
      </c>
      <c r="P30" s="13">
        <f t="shared" si="33"/>
        <v>29.823652732348606</v>
      </c>
      <c r="Q30" s="20">
        <f t="shared" si="2"/>
        <v>247.17212055645965</v>
      </c>
      <c r="R30" s="59">
        <f t="shared" si="0"/>
        <v>536.83878722312636</v>
      </c>
      <c r="S30" s="59">
        <f ca="1">AVERAGE(OFFSET($R$3,0,0,'Données projet'!$E$9+1,1))-AVERAGE(OFFSET($H$3,0,0,'Données projet'!$E$9+1,1))</f>
        <v>706.69239849991595</v>
      </c>
      <c r="T30" s="59">
        <f t="shared" si="34"/>
        <v>310.59887275116529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5.1282051282051295</v>
      </c>
      <c r="AI30" s="13">
        <f>IF('Données projet'!$A$62&gt;35,AI29+AH30-AQ29,IF(A30&lt;'Données projet'!$A$62,$AF$205^A30,IF(A30='Données projet'!$A$62,'Données projet'!$B$62,AI29+AH30-AQ29)))</f>
        <v>60.897435897435891</v>
      </c>
      <c r="AJ30" s="13">
        <f>AI30*VLOOKUP('Données projet'!$B$10,Paramètres!$A$1:$I$89,3,0)*VLOOKUP('Données projet'!$B$10,Paramètres!$A$1:$I$89,5,0)</f>
        <v>63.65</v>
      </c>
      <c r="AK30" s="13">
        <f t="shared" si="35"/>
        <v>18.0879079069433</v>
      </c>
      <c r="AL30" s="20">
        <f t="shared" si="4"/>
        <v>142.36018960459288</v>
      </c>
      <c r="AM30" s="59">
        <f t="shared" si="5"/>
        <v>432.02685627125959</v>
      </c>
      <c r="AN30" s="59">
        <f ca="1">AVERAGE(OFFSET($AM$3,0,0,'Données projet'!$E$10+1,1))-AVERAGE(OFFSET($H$3,0,0,'Données projet'!$E$10+1,1))</f>
        <v>239.26156489359892</v>
      </c>
      <c r="AO30" s="59">
        <f t="shared" si="36"/>
        <v>213.97034450798111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6.6395447105586145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6.6395447105586145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11.8</v>
      </c>
      <c r="BD30" s="12">
        <f>IF('Données projet'!$A$88&gt;35,BD29+BC30-BL29,IF(A30&lt;'Données projet'!$A$88,$BA$205^A30,IF(A30='Données projet'!$A$88,'Données projet'!$B$88,BD29+BC30-BL29)))</f>
        <v>110.59999999999997</v>
      </c>
      <c r="BE30" s="13">
        <f>BD30*VLOOKUP('Données projet'!$B$11,Paramètres!$A$1:$I$89,3,0)*VLOOKUP('Données projet'!$B$11,Paramètres!$A$1:$I$89,5,0)</f>
        <v>96.620159999999984</v>
      </c>
      <c r="BF30" s="13">
        <f t="shared" si="37"/>
        <v>26.155193107181663</v>
      </c>
      <c r="BG30" s="20">
        <f t="shared" si="7"/>
        <v>213.83373999500802</v>
      </c>
      <c r="BH30" s="59">
        <f t="shared" si="8"/>
        <v>503.50040666167467</v>
      </c>
      <c r="BI30" s="59">
        <f ca="1">AVERAGE(OFFSET($BH$3,0,0,'Données projet'!$E$11+1,1))-AVERAGE(OFFSET($H$3,0,0,'Données projet'!$E$11+1,1))</f>
        <v>324.86930206492627</v>
      </c>
      <c r="BJ30" s="59">
        <f t="shared" si="38"/>
        <v>317.03005098025352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7.6862469097928363</v>
      </c>
      <c r="BR30" s="21">
        <f>EXP(-LN(2)/2)*BR29+(1-EXP(-LN(2)/2))/(LN(2)/2)*BL30*BO30*VLOOKUP('Données projet'!$B$11,Paramètres!$A$1:$I$89,3,0)*0.475*44/12</f>
        <v>3.4432126973264299</v>
      </c>
      <c r="BS30" s="22">
        <f t="shared" si="9"/>
        <v>11.129459607119266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3.3603333333333336</v>
      </c>
      <c r="BY30" s="12">
        <f>IF('Données projet'!$A$114&gt;35,BY29+BX30-CG29,IF(A30&lt;'Données projet'!$A$114,$BV$205^A30,IF(A30='Données projet'!$A$114,'Données projet'!$B$114,BY29+BX30-CG29)))</f>
        <v>90.729000000000013</v>
      </c>
      <c r="BZ30" s="13">
        <f>BY30*VLOOKUP('Données projet'!$B$12,Paramètres!$A$1:$I$89,3,0)*VLOOKUP('Données projet'!$B$12,Paramètres!$A$1:$I$89,5,0)</f>
        <v>103.32218520000002</v>
      </c>
      <c r="CA30" s="13">
        <f t="shared" si="39"/>
        <v>27.751950647189656</v>
      </c>
      <c r="CB30" s="20">
        <f t="shared" si="10"/>
        <v>228.28745326718865</v>
      </c>
      <c r="CC30" s="59">
        <f t="shared" si="11"/>
        <v>517.95411993385528</v>
      </c>
      <c r="CD30" s="59">
        <f ca="1">AVERAGE(OFFSET($CC$3,0,0,'Données projet'!$E$12+1,1))-AVERAGE(OFFSET($H$3,0,0,'Données projet'!$E$12+1,1))</f>
        <v>593.28343396240075</v>
      </c>
      <c r="CE30" s="59">
        <f t="shared" si="40"/>
        <v>289.66477662068695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4.0942857142857143</v>
      </c>
      <c r="CT30" s="12">
        <f>IF('Données projet'!$A$140&gt;35,CT29+CS30-DB29,IF(A30&lt;'Données projet'!$A$140,$CQ$205^A30,IF(A30='Données projet'!$A$140,'Données projet'!$B$140,CT29+CS30-DB29)))</f>
        <v>110.54571428571435</v>
      </c>
      <c r="CU30" s="17">
        <f>CT30*VLOOKUP('Données projet'!$B$13,Paramètres!$A$1:$I$89,3,0)*VLOOKUP('Données projet'!$B$13,Paramètres!$A$1:$I$89,5,0)</f>
        <v>118.99140685714293</v>
      </c>
      <c r="CV30" s="13">
        <f t="shared" si="41"/>
        <v>31.439646074287381</v>
      </c>
      <c r="CW30" s="20">
        <f t="shared" si="13"/>
        <v>262.00075052224111</v>
      </c>
      <c r="CX30" s="59">
        <f t="shared" si="14"/>
        <v>551.66741718890785</v>
      </c>
      <c r="CY30" s="59">
        <f ca="1">AVERAGE(OFFSET($CX$3,0,0,'Données projet'!$E$13+1,1))-AVERAGE(OFFSET($H$3,0,0,'Données projet'!$E$13+1,1))</f>
        <v>747.18304127457918</v>
      </c>
      <c r="CZ30" s="59">
        <f t="shared" si="42"/>
        <v>327.03701004966723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14.2</v>
      </c>
      <c r="DO30" s="12">
        <f>IF('Données projet'!$A$166&gt;35,DO29+DN30-DW29,IF(A30&lt;'Données projet'!$A$166,$DL$205^A30,IF(A30='Données projet'!$A$166,'Données projet'!$B$166,DO29+DN30-DW29)))</f>
        <v>134.39999999999995</v>
      </c>
      <c r="DP30" s="17">
        <f>DO30*VLOOKUP('Données projet'!$B$14,Paramètres!$A$1:$I$89,3,0)*VLOOKUP('Données projet'!$B$14,Paramètres!$A$1:$I$89,5,0)</f>
        <v>106.92863999999996</v>
      </c>
      <c r="DQ30" s="13">
        <f t="shared" si="43"/>
        <v>28.606159868782917</v>
      </c>
      <c r="DR30" s="20">
        <f t="shared" si="16"/>
        <v>236.05644310479681</v>
      </c>
      <c r="DS30" s="59">
        <f t="shared" si="17"/>
        <v>525.72310977146344</v>
      </c>
      <c r="DT30" s="59">
        <f ca="1">AVERAGE(OFFSET($DS$3,0,0,'Données projet'!$E$14+1,1))-AVERAGE(OFFSET($H$3,0,0,'Données projet'!$E$14+1,1))</f>
        <v>353.37479213497227</v>
      </c>
      <c r="DU30" s="59">
        <f t="shared" si="44"/>
        <v>345.4750813433123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9.8526901898689339</v>
      </c>
      <c r="EC30" s="21">
        <f>EXP(-LN(2)/2)*EC29+(1-EXP(-LN(2)/2))/(LN(2)/2)*DW30*DZ30*VLOOKUP('Données projet'!$B$14,Paramètres!$A$1:$I$89,3,0)*0.475*44/12</f>
        <v>3.9585817780556849</v>
      </c>
      <c r="ED30" s="22">
        <f t="shared" si="18"/>
        <v>13.811271967924618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18.265714285714285</v>
      </c>
      <c r="EJ30" s="12">
        <f>IF('Données projet'!$A$192&gt;35,EJ29+EI30-ER29,IF(A30&lt;'Données projet'!$A$192,$EG$205^A30,IF(A30='Données projet'!$A$192,'Données projet'!$B$192,EJ29+EI30-ER29)))</f>
        <v>493.17428571428587</v>
      </c>
      <c r="EK30" s="17">
        <f>EJ30*VLOOKUP('Données projet'!$B$15,Paramètres!$A$1:$I$89,3,0)*VLOOKUP('Données projet'!$B$15,Paramètres!$A$1:$I$89,5,0)</f>
        <v>230.80556571428579</v>
      </c>
      <c r="EL30" s="13">
        <f t="shared" si="45"/>
        <v>56.45682821305482</v>
      </c>
      <c r="EM30" s="20">
        <f t="shared" si="19"/>
        <v>500.31533609011814</v>
      </c>
      <c r="EN30" s="59">
        <f t="shared" si="20"/>
        <v>789.98200275678482</v>
      </c>
      <c r="EO30" s="59">
        <f ca="1">AVERAGE(OFFSET($EN$3,0,0,'Données projet'!$E$15+1,1))-AVERAGE(OFFSET($H$3,0,0,'Données projet'!$E$15+1,1))</f>
        <v>433.05041777893922</v>
      </c>
      <c r="EP30" s="59">
        <f t="shared" si="46"/>
        <v>591.24088611958996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3.0769230769230744</v>
      </c>
      <c r="FE30" s="12">
        <f>IF('Données projet'!$A$218&gt;35,FE29+FD30-FM29,IF(A30&lt;'Données projet'!$A$218,$FB$205^A30,IF(A30='Données projet'!$A$218,'Données projet'!$B$218,FE29+FD30-FM29)))</f>
        <v>44.615384615384606</v>
      </c>
      <c r="FF30" s="17">
        <f>FE30*VLOOKUP('Données projet'!$B$16,Paramètres!$A$1:$I$89,3,0)*VLOOKUP('Données projet'!$B$16,Paramètres!$A$1:$I$89,5,0)</f>
        <v>36.191999999999993</v>
      </c>
      <c r="FG30" s="13">
        <f t="shared" si="47"/>
        <v>10.983535130004645</v>
      </c>
      <c r="FH30" s="20">
        <f t="shared" si="22"/>
        <v>82.164057018091412</v>
      </c>
      <c r="FI30" s="59">
        <f t="shared" si="23"/>
        <v>371.83072368475808</v>
      </c>
      <c r="FJ30" s="59">
        <f ca="1">AVERAGE(OFFSET($FI$3,0,0,'Données projet'!$E$16+1,1))-AVERAGE(OFFSET($H$3,0,0,'Données projet'!$E$16+1,1))</f>
        <v>159.4660488566085</v>
      </c>
      <c r="FK30" s="59">
        <f t="shared" si="48"/>
        <v>135.33030558297088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0.9221041910065072</v>
      </c>
      <c r="FS30" s="21">
        <f>EXP(-LN(2)/2)*FS29+(1-EXP(-LN(2)/2))/(LN(2)/2)*FM30*FP30*VLOOKUP('Données projet'!$B$16,Paramètres!$A$1:$I$89,3,0)*0.475*44/12</f>
        <v>0.58820823397891497</v>
      </c>
      <c r="FT30" s="22">
        <f t="shared" si="24"/>
        <v>1.5103124249854223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4.0942857142857143</v>
      </c>
      <c r="N31" s="13">
        <f>IF('Données projet'!$A$36&gt;35,N30+M31-V30,IF(A31&lt;'Données projet'!$A$36,$K$205^A31,IF(A31='Données projet'!$A$36,'Données projet'!$B$36,N30+M31-V30)))</f>
        <v>114.64000000000007</v>
      </c>
      <c r="O31" s="13">
        <f>N31*VLOOKUP('Données projet'!$B$9,Paramètres!$A$1:$I$89,3,0)*VLOOKUP('Données projet'!$B$9,Paramètres!$A$1:$I$89,5,0)</f>
        <v>116.24496000000008</v>
      </c>
      <c r="P31" s="13">
        <f t="shared" si="33"/>
        <v>30.797583987099902</v>
      </c>
      <c r="Q31" s="20">
        <f t="shared" si="2"/>
        <v>256.09909744419912</v>
      </c>
      <c r="R31" s="59">
        <f t="shared" si="0"/>
        <v>546.98798633308797</v>
      </c>
      <c r="S31" s="59">
        <f ca="1">AVERAGE(OFFSET($R$3,0,0,'Données projet'!$E$9+1,1))-AVERAGE(OFFSET($H$3,0,0,'Données projet'!$E$9+1,1))</f>
        <v>706.69239849991595</v>
      </c>
      <c r="T31" s="59">
        <f t="shared" si="34"/>
        <v>310.59887275116529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5.1282051282051295</v>
      </c>
      <c r="AI31" s="13">
        <f>IF('Données projet'!$A$62&gt;35,AI30+AH31-AQ30,IF(A31&lt;'Données projet'!$A$62,$AF$205^A31,IF(A31='Données projet'!$A$62,'Données projet'!$B$62,AI30+AH31-AQ30)))</f>
        <v>66.025641025641022</v>
      </c>
      <c r="AJ31" s="13">
        <f>AI31*VLOOKUP('Données projet'!$B$10,Paramètres!$A$1:$I$89,3,0)*VLOOKUP('Données projet'!$B$10,Paramètres!$A$1:$I$89,5,0)</f>
        <v>69.010000000000005</v>
      </c>
      <c r="AK31" s="13">
        <f t="shared" si="35"/>
        <v>19.427402242100008</v>
      </c>
      <c r="AL31" s="20">
        <f t="shared" si="4"/>
        <v>154.02847557165751</v>
      </c>
      <c r="AM31" s="59">
        <f t="shared" si="5"/>
        <v>444.91736446054637</v>
      </c>
      <c r="AN31" s="59">
        <f ca="1">AVERAGE(OFFSET($AM$3,0,0,'Données projet'!$E$10+1,1))-AVERAGE(OFFSET($H$3,0,0,'Données projet'!$E$10+1,1))</f>
        <v>239.26156489359892</v>
      </c>
      <c r="AO31" s="59">
        <f t="shared" si="36"/>
        <v>213.97034450798111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6.4579860112899077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6.4579860112899077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11.8</v>
      </c>
      <c r="BD31" s="12">
        <f>IF('Données projet'!$A$88&gt;35,BD30+BC31-BL30,IF(A31&lt;'Données projet'!$A$88,$BA$205^A31,IF(A31='Données projet'!$A$88,'Données projet'!$B$88,BD30+BC31-BL30)))</f>
        <v>122.39999999999996</v>
      </c>
      <c r="BE31" s="13">
        <f>BD31*VLOOKUP('Données projet'!$B$11,Paramètres!$A$1:$I$89,3,0)*VLOOKUP('Données projet'!$B$11,Paramètres!$A$1:$I$89,5,0)</f>
        <v>106.92863999999997</v>
      </c>
      <c r="BF31" s="13">
        <f t="shared" si="37"/>
        <v>28.606159868782917</v>
      </c>
      <c r="BG31" s="20">
        <f t="shared" si="7"/>
        <v>236.05644310479684</v>
      </c>
      <c r="BH31" s="59">
        <f t="shared" si="8"/>
        <v>526.94533199368573</v>
      </c>
      <c r="BI31" s="59">
        <f ca="1">AVERAGE(OFFSET($BH$3,0,0,'Données projet'!$E$11+1,1))-AVERAGE(OFFSET($H$3,0,0,'Données projet'!$E$11+1,1))</f>
        <v>324.86930206492627</v>
      </c>
      <c r="BJ31" s="59">
        <f t="shared" si="38"/>
        <v>317.03005098025352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7.4760660838423938</v>
      </c>
      <c r="BR31" s="21">
        <f>EXP(-LN(2)/2)*BR30+(1-EXP(-LN(2)/2))/(LN(2)/2)*BL31*BO31*VLOOKUP('Données projet'!$B$11,Paramètres!$A$1:$I$89,3,0)*0.475*44/12</f>
        <v>2.4347190473471421</v>
      </c>
      <c r="BS31" s="22">
        <f t="shared" si="9"/>
        <v>9.9107851311895363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3.3603333333333336</v>
      </c>
      <c r="BY31" s="12">
        <f>IF('Données projet'!$A$114&gt;35,BY30+BX31-CG30,IF(A31&lt;'Données projet'!$A$114,$BV$205^A31,IF(A31='Données projet'!$A$114,'Données projet'!$B$114,BY30+BX31-CG30)))</f>
        <v>94.089333333333343</v>
      </c>
      <c r="BZ31" s="13">
        <f>BY31*VLOOKUP('Données projet'!$B$12,Paramètres!$A$1:$I$89,3,0)*VLOOKUP('Données projet'!$B$12,Paramètres!$A$1:$I$89,5,0)</f>
        <v>107.14893280000001</v>
      </c>
      <c r="CA31" s="13">
        <f t="shared" si="39"/>
        <v>28.658227700445973</v>
      </c>
      <c r="CB31" s="20">
        <f t="shared" si="10"/>
        <v>236.53080453827673</v>
      </c>
      <c r="CC31" s="59">
        <f t="shared" si="11"/>
        <v>527.41969342716561</v>
      </c>
      <c r="CD31" s="59">
        <f ca="1">AVERAGE(OFFSET($CC$3,0,0,'Données projet'!$E$12+1,1))-AVERAGE(OFFSET($H$3,0,0,'Données projet'!$E$12+1,1))</f>
        <v>593.28343396240075</v>
      </c>
      <c r="CE31" s="59">
        <f t="shared" si="40"/>
        <v>289.66477662068695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4.0942857142857143</v>
      </c>
      <c r="CT31" s="12">
        <f>IF('Données projet'!$A$140&gt;35,CT30+CS31-DB30,IF(A31&lt;'Données projet'!$A$140,$CQ$205^A31,IF(A31='Données projet'!$A$140,'Données projet'!$B$140,CT30+CS31-DB30)))</f>
        <v>114.64000000000007</v>
      </c>
      <c r="CU31" s="17">
        <f>CT31*VLOOKUP('Données projet'!$B$13,Paramètres!$A$1:$I$89,3,0)*VLOOKUP('Données projet'!$B$13,Paramètres!$A$1:$I$89,5,0)</f>
        <v>123.39849600000008</v>
      </c>
      <c r="CV31" s="13">
        <f t="shared" si="41"/>
        <v>32.466349752232674</v>
      </c>
      <c r="CW31" s="20">
        <f t="shared" si="13"/>
        <v>271.4646063518054</v>
      </c>
      <c r="CX31" s="59">
        <f t="shared" si="14"/>
        <v>562.3534952406942</v>
      </c>
      <c r="CY31" s="59">
        <f ca="1">AVERAGE(OFFSET($CX$3,0,0,'Données projet'!$E$13+1,1))-AVERAGE(OFFSET($H$3,0,0,'Données projet'!$E$13+1,1))</f>
        <v>747.18304127457918</v>
      </c>
      <c r="CZ31" s="59">
        <f t="shared" si="42"/>
        <v>327.03701004966723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14.2</v>
      </c>
      <c r="DO31" s="12">
        <f>IF('Données projet'!$A$166&gt;35,DO30+DN31-DW30,IF(A31&lt;'Données projet'!$A$166,$DL$205^A31,IF(A31='Données projet'!$A$166,'Données projet'!$B$166,DO30+DN31-DW30)))</f>
        <v>148.59999999999994</v>
      </c>
      <c r="DP31" s="17">
        <f>DO31*VLOOKUP('Données projet'!$B$14,Paramètres!$A$1:$I$89,3,0)*VLOOKUP('Données projet'!$B$14,Paramètres!$A$1:$I$89,5,0)</f>
        <v>118.22615999999996</v>
      </c>
      <c r="DQ31" s="13">
        <f t="shared" si="43"/>
        <v>31.260922342884676</v>
      </c>
      <c r="DR31" s="20">
        <f t="shared" si="16"/>
        <v>260.35666841385739</v>
      </c>
      <c r="DS31" s="59">
        <f t="shared" si="17"/>
        <v>551.24555730274619</v>
      </c>
      <c r="DT31" s="59">
        <f ca="1">AVERAGE(OFFSET($DS$3,0,0,'Données projet'!$E$14+1,1))-AVERAGE(OFFSET($H$3,0,0,'Données projet'!$E$14+1,1))</f>
        <v>353.37479213497227</v>
      </c>
      <c r="DU31" s="59">
        <f t="shared" si="44"/>
        <v>345.4750813433123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9.5832678584965088</v>
      </c>
      <c r="EC31" s="21">
        <f>EXP(-LN(2)/2)*EC30+(1-EXP(-LN(2)/2))/(LN(2)/2)*DW31*DZ31*VLOOKUP('Données projet'!$B$14,Paramètres!$A$1:$I$89,3,0)*0.475*44/12</f>
        <v>2.7991400191446756</v>
      </c>
      <c r="ED31" s="22">
        <f t="shared" si="18"/>
        <v>12.382407877641185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18.265714285714285</v>
      </c>
      <c r="EJ31" s="12">
        <f>IF('Données projet'!$A$192&gt;35,EJ30+EI31-ER30,IF(A31&lt;'Données projet'!$A$192,$EG$205^A31,IF(A31='Données projet'!$A$192,'Données projet'!$B$192,EJ30+EI31-ER30)))</f>
        <v>511.44000000000017</v>
      </c>
      <c r="EK31" s="17">
        <f>EJ31*VLOOKUP('Données projet'!$B$15,Paramètres!$A$1:$I$89,3,0)*VLOOKUP('Données projet'!$B$15,Paramètres!$A$1:$I$89,5,0)</f>
        <v>239.3539200000001</v>
      </c>
      <c r="EL31" s="13">
        <f t="shared" si="45"/>
        <v>58.300501422177803</v>
      </c>
      <c r="EM31" s="20">
        <f t="shared" si="19"/>
        <v>518.41478397695982</v>
      </c>
      <c r="EN31" s="59">
        <f t="shared" si="20"/>
        <v>809.30367286584874</v>
      </c>
      <c r="EO31" s="59">
        <f ca="1">AVERAGE(OFFSET($EN$3,0,0,'Données projet'!$E$15+1,1))-AVERAGE(OFFSET($H$3,0,0,'Données projet'!$E$15+1,1))</f>
        <v>433.05041777893922</v>
      </c>
      <c r="EP31" s="59">
        <f t="shared" si="46"/>
        <v>591.24088611958996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3.0769230769230744</v>
      </c>
      <c r="FE31" s="12">
        <f>IF('Données projet'!$A$218&gt;35,FE30+FD31-FM30,IF(A31&lt;'Données projet'!$A$218,$FB$205^A31,IF(A31='Données projet'!$A$218,'Données projet'!$B$218,FE30+FD31-FM30)))</f>
        <v>47.692307692307679</v>
      </c>
      <c r="FF31" s="17">
        <f>FE31*VLOOKUP('Données projet'!$B$16,Paramètres!$A$1:$I$89,3,0)*VLOOKUP('Données projet'!$B$16,Paramètres!$A$1:$I$89,5,0)</f>
        <v>38.687999999999988</v>
      </c>
      <c r="FG31" s="13">
        <f t="shared" si="47"/>
        <v>11.650229083154349</v>
      </c>
      <c r="FH31" s="20">
        <f t="shared" si="22"/>
        <v>87.672415653160456</v>
      </c>
      <c r="FI31" s="59">
        <f t="shared" si="23"/>
        <v>378.5613045420493</v>
      </c>
      <c r="FJ31" s="59">
        <f ca="1">AVERAGE(OFFSET($FI$3,0,0,'Données projet'!$E$16+1,1))-AVERAGE(OFFSET($H$3,0,0,'Données projet'!$E$16+1,1))</f>
        <v>159.4660488566085</v>
      </c>
      <c r="FK31" s="59">
        <f t="shared" si="48"/>
        <v>135.33030558297088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0.89688920341208234</v>
      </c>
      <c r="FS31" s="21">
        <f>EXP(-LN(2)/2)*FS30+(1-EXP(-LN(2)/2))/(LN(2)/2)*FM31*FP31*VLOOKUP('Données projet'!$B$16,Paramètres!$A$1:$I$89,3,0)*0.475*44/12</f>
        <v>0.41592603099625419</v>
      </c>
      <c r="FT31" s="22">
        <f t="shared" si="24"/>
        <v>1.3128152344083366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4.0942857142857143</v>
      </c>
      <c r="N32" s="13">
        <f>IF('Données projet'!$A$36&gt;35,N31+M32-V31,IF(A32&lt;'Données projet'!$A$36,$K$205^A32,IF(A32='Données projet'!$A$36,'Données projet'!$B$36,N31+M32-V31)))</f>
        <v>118.73428571428579</v>
      </c>
      <c r="O32" s="13">
        <f>N32*VLOOKUP('Données projet'!$B$9,Paramètres!$A$1:$I$89,3,0)*VLOOKUP('Données projet'!$B$9,Paramètres!$A$1:$I$89,5,0)</f>
        <v>120.39656571428579</v>
      </c>
      <c r="P32" s="13">
        <f t="shared" si="33"/>
        <v>31.767473966995706</v>
      </c>
      <c r="Q32" s="20">
        <f t="shared" si="2"/>
        <v>265.01903577823191</v>
      </c>
      <c r="R32" s="59">
        <f t="shared" si="0"/>
        <v>557.130146889343</v>
      </c>
      <c r="S32" s="59">
        <f ca="1">AVERAGE(OFFSET($R$3,0,0,'Données projet'!$E$9+1,1))-AVERAGE(OFFSET($H$3,0,0,'Données projet'!$E$9+1,1))</f>
        <v>706.69239849991595</v>
      </c>
      <c r="T32" s="59">
        <f t="shared" si="34"/>
        <v>310.59887275116529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5.1282051282051295</v>
      </c>
      <c r="AI32" s="13">
        <f>IF('Données projet'!$A$62&gt;35,AI31+AH32-AQ31,IF(A32&lt;'Données projet'!$A$62,$AF$205^A32,IF(A32='Données projet'!$A$62,'Données projet'!$B$62,AI31+AH32-AQ31)))</f>
        <v>71.153846153846146</v>
      </c>
      <c r="AJ32" s="13">
        <f>AI32*VLOOKUP('Données projet'!$B$10,Paramètres!$A$1:$I$89,3,0)*VLOOKUP('Données projet'!$B$10,Paramètres!$A$1:$I$89,5,0)</f>
        <v>74.36999999999999</v>
      </c>
      <c r="AK32" s="13">
        <f t="shared" si="35"/>
        <v>20.754828284827131</v>
      </c>
      <c r="AL32" s="20">
        <f t="shared" si="4"/>
        <v>165.67574259607389</v>
      </c>
      <c r="AM32" s="59">
        <f t="shared" si="5"/>
        <v>457.78685370718506</v>
      </c>
      <c r="AN32" s="59">
        <f ca="1">AVERAGE(OFFSET($AM$3,0,0,'Données projet'!$E$10+1,1))-AVERAGE(OFFSET($H$3,0,0,'Données projet'!$E$10+1,1))</f>
        <v>239.26156489359892</v>
      </c>
      <c r="AO32" s="59">
        <f t="shared" si="36"/>
        <v>213.97034450798111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6.2813920442004605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6.2813920442004605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11.8</v>
      </c>
      <c r="BD32" s="12">
        <f>IF('Données projet'!$A$88&gt;35,BD31+BC32-BL31,IF(A32&lt;'Données projet'!$A$88,$BA$205^A32,IF(A32='Données projet'!$A$88,'Données projet'!$B$88,BD31+BC32-BL31)))</f>
        <v>134.19999999999996</v>
      </c>
      <c r="BE32" s="13">
        <f>BD32*VLOOKUP('Données projet'!$B$11,Paramètres!$A$1:$I$89,3,0)*VLOOKUP('Données projet'!$B$11,Paramètres!$A$1:$I$89,5,0)</f>
        <v>117.23711999999999</v>
      </c>
      <c r="BF32" s="13">
        <f t="shared" si="37"/>
        <v>31.029731926851227</v>
      </c>
      <c r="BG32" s="20">
        <f t="shared" si="7"/>
        <v>258.23143377259919</v>
      </c>
      <c r="BH32" s="59">
        <f t="shared" si="8"/>
        <v>550.34254488371039</v>
      </c>
      <c r="BI32" s="59">
        <f ca="1">AVERAGE(OFFSET($BH$3,0,0,'Données projet'!$E$11+1,1))-AVERAGE(OFFSET($H$3,0,0,'Données projet'!$E$11+1,1))</f>
        <v>324.86930206492627</v>
      </c>
      <c r="BJ32" s="59">
        <f t="shared" si="38"/>
        <v>317.03005098025352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7.2716326636304949</v>
      </c>
      <c r="BR32" s="21">
        <f>EXP(-LN(2)/2)*BR31+(1-EXP(-LN(2)/2))/(LN(2)/2)*BL32*BO32*VLOOKUP('Données projet'!$B$11,Paramètres!$A$1:$I$89,3,0)*0.475*44/12</f>
        <v>1.7216063486632152</v>
      </c>
      <c r="BS32" s="22">
        <f t="shared" si="9"/>
        <v>8.99323901229371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3.3603333333333336</v>
      </c>
      <c r="BY32" s="12">
        <f>IF('Données projet'!$A$114&gt;35,BY31+BX32-CG31,IF(A32&lt;'Données projet'!$A$114,$BV$205^A32,IF(A32='Données projet'!$A$114,'Données projet'!$B$114,BY31+BX32-CG31)))</f>
        <v>97.449666666666673</v>
      </c>
      <c r="BZ32" s="13">
        <f>BY32*VLOOKUP('Données projet'!$B$12,Paramètres!$A$1:$I$89,3,0)*VLOOKUP('Données projet'!$B$12,Paramètres!$A$1:$I$89,5,0)</f>
        <v>110.9756804</v>
      </c>
      <c r="CA32" s="13">
        <f t="shared" si="39"/>
        <v>29.560744206282198</v>
      </c>
      <c r="CB32" s="20">
        <f t="shared" si="10"/>
        <v>244.76760618927483</v>
      </c>
      <c r="CC32" s="59">
        <f t="shared" si="11"/>
        <v>536.87871730038592</v>
      </c>
      <c r="CD32" s="59">
        <f ca="1">AVERAGE(OFFSET($CC$3,0,0,'Données projet'!$E$12+1,1))-AVERAGE(OFFSET($H$3,0,0,'Données projet'!$E$12+1,1))</f>
        <v>593.28343396240075</v>
      </c>
      <c r="CE32" s="59">
        <f t="shared" si="40"/>
        <v>289.66477662068695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4.0942857142857143</v>
      </c>
      <c r="CT32" s="12">
        <f>IF('Données projet'!$A$140&gt;35,CT31+CS32-DB31,IF(A32&lt;'Données projet'!$A$140,$CQ$205^A32,IF(A32='Données projet'!$A$140,'Données projet'!$B$140,CT31+CS32-DB31)))</f>
        <v>118.73428571428579</v>
      </c>
      <c r="CU32" s="17">
        <f>CT32*VLOOKUP('Données projet'!$B$13,Paramètres!$A$1:$I$89,3,0)*VLOOKUP('Données projet'!$B$13,Paramètres!$A$1:$I$89,5,0)</f>
        <v>127.80558514285723</v>
      </c>
      <c r="CV32" s="13">
        <f t="shared" si="41"/>
        <v>33.48879317901816</v>
      </c>
      <c r="CW32" s="20">
        <f t="shared" si="13"/>
        <v>280.92104224393296</v>
      </c>
      <c r="CX32" s="59">
        <f t="shared" si="14"/>
        <v>573.0321533550441</v>
      </c>
      <c r="CY32" s="59">
        <f ca="1">AVERAGE(OFFSET($CX$3,0,0,'Données projet'!$E$13+1,1))-AVERAGE(OFFSET($H$3,0,0,'Données projet'!$E$13+1,1))</f>
        <v>747.18304127457918</v>
      </c>
      <c r="CZ32" s="59">
        <f t="shared" si="42"/>
        <v>327.03701004966723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14.2</v>
      </c>
      <c r="DO32" s="12">
        <f>IF('Données projet'!$A$166&gt;35,DO31+DN32-DW31,IF(A32&lt;'Données projet'!$A$166,$DL$205^A32,IF(A32='Données projet'!$A$166,'Données projet'!$B$166,DO31+DN32-DW31)))</f>
        <v>162.79999999999993</v>
      </c>
      <c r="DP32" s="17">
        <f>DO32*VLOOKUP('Données projet'!$B$14,Paramètres!$A$1:$I$89,3,0)*VLOOKUP('Données projet'!$B$14,Paramètres!$A$1:$I$89,5,0)</f>
        <v>129.52367999999996</v>
      </c>
      <c r="DQ32" s="13">
        <f t="shared" si="43"/>
        <v>33.886272262901727</v>
      </c>
      <c r="DR32" s="20">
        <f t="shared" si="16"/>
        <v>284.60566685788712</v>
      </c>
      <c r="DS32" s="59">
        <f t="shared" si="17"/>
        <v>576.71677796899826</v>
      </c>
      <c r="DT32" s="59">
        <f ca="1">AVERAGE(OFFSET($DS$3,0,0,'Données projet'!$E$14+1,1))-AVERAGE(OFFSET($H$3,0,0,'Données projet'!$E$14+1,1))</f>
        <v>353.37479213497227</v>
      </c>
      <c r="DU32" s="59">
        <f t="shared" si="44"/>
        <v>345.4750813433123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9.321212894943768</v>
      </c>
      <c r="EC32" s="21">
        <f>EXP(-LN(2)/2)*EC31+(1-EXP(-LN(2)/2))/(LN(2)/2)*DW32*DZ32*VLOOKUP('Données projet'!$B$14,Paramètres!$A$1:$I$89,3,0)*0.475*44/12</f>
        <v>1.9792908890278427</v>
      </c>
      <c r="ED32" s="22">
        <f t="shared" si="18"/>
        <v>11.30050378397161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18.265714285714285</v>
      </c>
      <c r="EJ32" s="12">
        <f>IF('Données projet'!$A$192&gt;35,EJ31+EI32-ER31,IF(A32&lt;'Données projet'!$A$192,$EG$205^A32,IF(A32='Données projet'!$A$192,'Données projet'!$B$192,EJ31+EI32-ER31)))</f>
        <v>529.70571428571441</v>
      </c>
      <c r="EK32" s="17">
        <f>EJ32*VLOOKUP('Données projet'!$B$15,Paramètres!$A$1:$I$89,3,0)*VLOOKUP('Données projet'!$B$15,Paramètres!$A$1:$I$89,5,0)</f>
        <v>247.90227428571436</v>
      </c>
      <c r="EL32" s="13">
        <f t="shared" si="45"/>
        <v>60.136524409434038</v>
      </c>
      <c r="EM32" s="20">
        <f t="shared" si="19"/>
        <v>536.50090772738338</v>
      </c>
      <c r="EN32" s="59">
        <f t="shared" si="20"/>
        <v>828.61201883849458</v>
      </c>
      <c r="EO32" s="59">
        <f ca="1">AVERAGE(OFFSET($EN$3,0,0,'Données projet'!$E$15+1,1))-AVERAGE(OFFSET($H$3,0,0,'Données projet'!$E$15+1,1))</f>
        <v>433.05041777893922</v>
      </c>
      <c r="EP32" s="59">
        <f t="shared" si="46"/>
        <v>591.24088611958996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3.0769230769230744</v>
      </c>
      <c r="FE32" s="12">
        <f>IF('Données projet'!$A$218&gt;35,FE31+FD32-FM31,IF(A32&lt;'Données projet'!$A$218,$FB$205^A32,IF(A32='Données projet'!$A$218,'Données projet'!$B$218,FE31+FD32-FM31)))</f>
        <v>50.769230769230752</v>
      </c>
      <c r="FF32" s="17">
        <f>FE32*VLOOKUP('Données projet'!$B$16,Paramètres!$A$1:$I$89,3,0)*VLOOKUP('Données projet'!$B$16,Paramètres!$A$1:$I$89,5,0)</f>
        <v>41.18399999999999</v>
      </c>
      <c r="FG32" s="13">
        <f t="shared" si="47"/>
        <v>12.311931477761835</v>
      </c>
      <c r="FH32" s="20">
        <f t="shared" si="22"/>
        <v>93.172080657101844</v>
      </c>
      <c r="FI32" s="59">
        <f t="shared" si="23"/>
        <v>385.28319176821299</v>
      </c>
      <c r="FJ32" s="59">
        <f ca="1">AVERAGE(OFFSET($FI$3,0,0,'Données projet'!$E$16+1,1))-AVERAGE(OFFSET($H$3,0,0,'Données projet'!$E$16+1,1))</f>
        <v>159.4660488566085</v>
      </c>
      <c r="FK32" s="59">
        <f t="shared" si="48"/>
        <v>135.33030558297088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0.87236372097942561</v>
      </c>
      <c r="FS32" s="21">
        <f>EXP(-LN(2)/2)*FS31+(1-EXP(-LN(2)/2))/(LN(2)/2)*FM32*FP32*VLOOKUP('Données projet'!$B$16,Paramètres!$A$1:$I$89,3,0)*0.475*44/12</f>
        <v>0.29410411698945754</v>
      </c>
      <c r="FT32" s="22">
        <f t="shared" si="24"/>
        <v>1.1664678379688831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4.0942857142857143</v>
      </c>
      <c r="N33" s="13">
        <f>IF('Données projet'!$A$36&gt;35,N32+M33-V32,IF(A33&lt;'Données projet'!$A$36,$K$205^A33,IF(A33='Données projet'!$A$36,'Données projet'!$B$36,N32+M33-V32)))</f>
        <v>122.82857142857151</v>
      </c>
      <c r="O33" s="13">
        <f>N33*VLOOKUP('Données projet'!$B$9,Paramètres!$A$1:$I$89,3,0)*VLOOKUP('Données projet'!$B$9,Paramètres!$A$1:$I$89,5,0)</f>
        <v>124.54817142857152</v>
      </c>
      <c r="P33" s="13">
        <f t="shared" si="33"/>
        <v>32.733477997934884</v>
      </c>
      <c r="Q33" s="20">
        <f t="shared" si="2"/>
        <v>273.93220608449866</v>
      </c>
      <c r="R33" s="59">
        <f t="shared" si="0"/>
        <v>567.26553941783197</v>
      </c>
      <c r="S33" s="59">
        <f ca="1">AVERAGE(OFFSET($R$3,0,0,'Données projet'!$E$9+1,1))-AVERAGE(OFFSET($H$3,0,0,'Données projet'!$E$9+1,1))</f>
        <v>706.69239849991595</v>
      </c>
      <c r="T33" s="59">
        <f t="shared" si="34"/>
        <v>310.59887275116529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76.282051282051285</v>
      </c>
      <c r="AG33" s="12">
        <f>VLOOKUP(A33,'Données projet'!$A$61:$I$81,9,0)</f>
        <v>5.1282051282051295</v>
      </c>
      <c r="AH33" s="12">
        <f t="array" ref="AH33">INDEX(AG:AG,MIN(IF(ISNUMBER(AG33:AG229),ROW(AG33:AG229),"")))</f>
        <v>5.1282051282051295</v>
      </c>
      <c r="AI33" s="13">
        <f>IF('Données projet'!$A$62&gt;35,AI32+AH33-AQ32,IF(A33&lt;'Données projet'!$A$62,$AF$205^A33,IF(A33='Données projet'!$A$62,'Données projet'!$B$62,AI32+AH33-AQ32)))</f>
        <v>76.28205128205127</v>
      </c>
      <c r="AJ33" s="13">
        <f>AI33*VLOOKUP('Données projet'!$B$10,Paramètres!$A$1:$I$89,3,0)*VLOOKUP('Données projet'!$B$10,Paramètres!$A$1:$I$89,5,0)</f>
        <v>79.73</v>
      </c>
      <c r="AK33" s="13">
        <f t="shared" si="35"/>
        <v>22.071154741424582</v>
      </c>
      <c r="AL33" s="20">
        <f t="shared" si="4"/>
        <v>177.30367784131445</v>
      </c>
      <c r="AM33" s="59">
        <f t="shared" si="5"/>
        <v>470.6370111746478</v>
      </c>
      <c r="AN33" s="59">
        <f ca="1">AVERAGE(OFFSET($AM$3,0,0,'Données projet'!$E$10+1,1))-AVERAGE(OFFSET($H$3,0,0,'Données projet'!$E$10+1,1))</f>
        <v>239.26156489359892</v>
      </c>
      <c r="AO33" s="59">
        <f t="shared" si="36"/>
        <v>213.97034450798111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12.820512820512819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0.215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9.2819472038718747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9.2819472038718747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146</v>
      </c>
      <c r="BB33" s="12">
        <f>VLOOKUP(A33,'Données projet'!$A$87:$I$107,9,0)</f>
        <v>11.8</v>
      </c>
      <c r="BC33" s="12">
        <f t="array" ref="BC33">INDEX(BB:BB,MIN(IF(ISNUMBER(BB33:BB229),ROW(BB33:BB229),"")))</f>
        <v>11.8</v>
      </c>
      <c r="BD33" s="12">
        <f>IF('Données projet'!$A$88&gt;35,BD32+BC33-BL32,IF(A33&lt;'Données projet'!$A$88,$BA$205^A33,IF(A33='Données projet'!$A$88,'Données projet'!$B$88,BD32+BC33-BL32)))</f>
        <v>145.99999999999997</v>
      </c>
      <c r="BE33" s="13">
        <f>BD33*VLOOKUP('Données projet'!$B$11,Paramètres!$A$1:$I$89,3,0)*VLOOKUP('Données projet'!$B$11,Paramètres!$A$1:$I$89,5,0)</f>
        <v>127.54559999999999</v>
      </c>
      <c r="BF33" s="13">
        <f t="shared" si="37"/>
        <v>33.428591950384806</v>
      </c>
      <c r="BG33" s="20">
        <f t="shared" si="7"/>
        <v>280.36338431358689</v>
      </c>
      <c r="BH33" s="59">
        <f t="shared" si="8"/>
        <v>573.69671764692021</v>
      </c>
      <c r="BI33" s="59">
        <f ca="1">AVERAGE(OFFSET($BH$3,0,0,'Données projet'!$E$11+1,1))-AVERAGE(OFFSET($H$3,0,0,'Données projet'!$E$11+1,1))</f>
        <v>324.86930206492627</v>
      </c>
      <c r="BJ33" s="59">
        <f t="shared" si="38"/>
        <v>317.03005098025352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0.13250000000000001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10.641573683796842</v>
      </c>
      <c r="BR33" s="21">
        <f>EXP(-LN(2)/2)*BR32+(1-EXP(-LN(2)/2))/(LN(2)/2)*BL33*BO33*VLOOKUP('Données projet'!$B$11,Paramètres!$A$1:$I$89,3,0)*0.475*44/12</f>
        <v>6.9872153118684421</v>
      </c>
      <c r="BS33" s="22">
        <f t="shared" si="9"/>
        <v>17.628788995665285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3.3603333333333336</v>
      </c>
      <c r="BY33" s="12">
        <f>IF('Données projet'!$A$114&gt;35,BY32+BX33-CG32,IF(A33&lt;'Données projet'!$A$114,$BV$205^A33,IF(A33='Données projet'!$A$114,'Données projet'!$B$114,BY32+BX33-CG32)))</f>
        <v>100.81</v>
      </c>
      <c r="BZ33" s="13">
        <f>BY33*VLOOKUP('Données projet'!$B$12,Paramètres!$A$1:$I$89,3,0)*VLOOKUP('Données projet'!$B$12,Paramètres!$A$1:$I$89,5,0)</f>
        <v>114.80242800000001</v>
      </c>
      <c r="CA33" s="13">
        <f t="shared" si="39"/>
        <v>30.459644700872925</v>
      </c>
      <c r="CB33" s="20">
        <f t="shared" si="10"/>
        <v>252.99810995402035</v>
      </c>
      <c r="CC33" s="59">
        <f t="shared" si="11"/>
        <v>546.33144328735364</v>
      </c>
      <c r="CD33" s="59">
        <f ca="1">AVERAGE(OFFSET($CC$3,0,0,'Données projet'!$E$12+1,1))-AVERAGE(OFFSET($H$3,0,0,'Données projet'!$E$12+1,1))</f>
        <v>593.28343396240075</v>
      </c>
      <c r="CE33" s="59">
        <f t="shared" si="40"/>
        <v>289.66477662068695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4.0942857142857143</v>
      </c>
      <c r="CT33" s="12">
        <f>IF('Données projet'!$A$140&gt;35,CT32+CS33-DB32,IF(A33&lt;'Données projet'!$A$140,$CQ$205^A33,IF(A33='Données projet'!$A$140,'Données projet'!$B$140,CT32+CS33-DB32)))</f>
        <v>122.82857142857151</v>
      </c>
      <c r="CU33" s="17">
        <f>CT33*VLOOKUP('Données projet'!$B$13,Paramètres!$A$1:$I$89,3,0)*VLOOKUP('Données projet'!$B$13,Paramètres!$A$1:$I$89,5,0)</f>
        <v>132.21267428571434</v>
      </c>
      <c r="CV33" s="13">
        <f t="shared" si="41"/>
        <v>34.507140096869726</v>
      </c>
      <c r="CW33" s="20">
        <f t="shared" si="13"/>
        <v>290.3703433830006</v>
      </c>
      <c r="CX33" s="59">
        <f t="shared" si="14"/>
        <v>583.70367671633392</v>
      </c>
      <c r="CY33" s="59">
        <f ca="1">AVERAGE(OFFSET($CX$3,0,0,'Données projet'!$E$13+1,1))-AVERAGE(OFFSET($H$3,0,0,'Données projet'!$E$13+1,1))</f>
        <v>747.18304127457918</v>
      </c>
      <c r="CZ33" s="59">
        <f t="shared" si="42"/>
        <v>327.03701004966723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177</v>
      </c>
      <c r="DM33" s="12">
        <f>VLOOKUP(A33,'Données projet'!$A$165:$I$185,9,0)</f>
        <v>14.2</v>
      </c>
      <c r="DN33" s="12">
        <f t="array" ref="DN33">INDEX(DM:DM,MIN(IF(ISNUMBER(DM33:DM229),ROW(DM33:DM229),"")))</f>
        <v>14.2</v>
      </c>
      <c r="DO33" s="12">
        <f>IF('Données projet'!$A$166&gt;35,DO32+DN33-DW32,IF(A33&lt;'Données projet'!$A$166,$DL$205^A33,IF(A33='Données projet'!$A$166,'Données projet'!$B$166,DO32+DN33-DW32)))</f>
        <v>176.99999999999991</v>
      </c>
      <c r="DP33" s="17">
        <f>DO33*VLOOKUP('Données projet'!$B$14,Paramètres!$A$1:$I$89,3,0)*VLOOKUP('Données projet'!$B$14,Paramètres!$A$1:$I$89,5,0)</f>
        <v>140.82119999999992</v>
      </c>
      <c r="DQ33" s="13">
        <f t="shared" si="43"/>
        <v>36.485066799987997</v>
      </c>
      <c r="DR33" s="20">
        <f t="shared" si="16"/>
        <v>308.80841467664561</v>
      </c>
      <c r="DS33" s="59">
        <f t="shared" si="17"/>
        <v>602.14174800997898</v>
      </c>
      <c r="DT33" s="59">
        <f ca="1">AVERAGE(OFFSET($DS$3,0,0,'Données projet'!$E$14+1,1))-AVERAGE(OFFSET($H$3,0,0,'Données projet'!$E$14+1,1))</f>
        <v>353.37479213497227</v>
      </c>
      <c r="DU33" s="59">
        <f t="shared" si="44"/>
        <v>345.4750813433123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35</v>
      </c>
      <c r="DX33" s="16">
        <f>IF(ISNA(VLOOKUP(A33,'Données projet'!$A$165:$I$185,5,0)),0%,VLOOKUP(A33,'Données projet'!$A$165:$I$185,5,0)*VLOOKUP('Données projet'!$B$14,Paramètres!$A$1:$I$89,7,0))</f>
        <v>0.13250000000000001</v>
      </c>
      <c r="DY33" s="16">
        <f>IF(ISNA(VLOOKUP(A33,'Données projet'!$A$165:$I$185,6,0)),0%,VLOOKUP(A33,'Données projet'!$A$165:$I$185,6,0)*VLOOKUP('Données projet'!$B$14,Paramètres!$A$1:$I$89,7,0))</f>
        <v>0.13250000000000001</v>
      </c>
      <c r="DZ33" s="16">
        <f>IF(ISNA(VLOOKUP(A33,'Données projet'!$A$165:$I$185,7,0)),0%,VLOOKUP(A33,'Données projet'!$A$165:$I$185,7,0))</f>
        <v>0.25</v>
      </c>
      <c r="EA33" s="21">
        <f>EXP(-LN(2)/35)*EA32+(1-EXP(-LN(2)/35))/(LN(2)/35)*DW33*DX33*VLOOKUP('Données projet'!$B$14,Paramètres!$A$1:$I$89,3,0)*0.475*44/12</f>
        <v>4.078737984972876</v>
      </c>
      <c r="EB33" s="21">
        <f>EXP(-LN(2)/25)*EB32+(1-EXP(-LN(2)/25))/(LN(2)/25)*Calculateur!DW33*Calculateur!DY33*VLOOKUP('Données projet'!$B$14,Paramètres!$A$1:$I$89,3,0)*0.475*44/12</f>
        <v>13.129002277555273</v>
      </c>
      <c r="EC33" s="21">
        <f>EXP(-LN(2)/2)*EC32+(1-EXP(-LN(2)/2))/(LN(2)/2)*DW33*DZ33*VLOOKUP('Données projet'!$B$14,Paramètres!$A$1:$I$89,3,0)*0.475*44/12</f>
        <v>7.967932625597749</v>
      </c>
      <c r="ED33" s="22">
        <f t="shared" si="18"/>
        <v>25.175672888125895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18.265714285714285</v>
      </c>
      <c r="EJ33" s="12">
        <f>IF('Données projet'!$A$192&gt;35,EJ32+EI33-ER32,IF(A33&lt;'Données projet'!$A$192,$EG$205^A33,IF(A33='Données projet'!$A$192,'Données projet'!$B$192,EJ32+EI33-ER32)))</f>
        <v>547.97142857142865</v>
      </c>
      <c r="EK33" s="17">
        <f>EJ33*VLOOKUP('Données projet'!$B$15,Paramètres!$A$1:$I$89,3,0)*VLOOKUP('Données projet'!$B$15,Paramètres!$A$1:$I$89,5,0)</f>
        <v>256.45062857142864</v>
      </c>
      <c r="EL33" s="13">
        <f t="shared" si="45"/>
        <v>61.965191210154202</v>
      </c>
      <c r="EM33" s="20">
        <f t="shared" si="19"/>
        <v>554.57421945292344</v>
      </c>
      <c r="EN33" s="59">
        <f t="shared" si="20"/>
        <v>847.9075527862567</v>
      </c>
      <c r="EO33" s="59">
        <f ca="1">AVERAGE(OFFSET($EN$3,0,0,'Données projet'!$E$15+1,1))-AVERAGE(OFFSET($H$3,0,0,'Données projet'!$E$15+1,1))</f>
        <v>433.05041777893922</v>
      </c>
      <c r="EP33" s="59">
        <f t="shared" si="46"/>
        <v>591.24088611958996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53.84615384615384</v>
      </c>
      <c r="FC33" s="12">
        <f>VLOOKUP(A33,'Données projet'!$A$217:$I$237,9,0)</f>
        <v>3.0769230769230744</v>
      </c>
      <c r="FD33" s="12">
        <f t="array" ref="FD33">INDEX(FC:FC,MIN(IF(ISNUMBER(FC33:FC229),ROW(FC33:FC229),"")))</f>
        <v>3.0769230769230744</v>
      </c>
      <c r="FE33" s="12">
        <f>IF('Données projet'!$A$218&gt;35,FE32+FD33-FM32,IF(A33&lt;'Données projet'!$A$218,$FB$205^A33,IF(A33='Données projet'!$A$218,'Données projet'!$B$218,FE32+FD33-FM32)))</f>
        <v>53.846153846153825</v>
      </c>
      <c r="FF33" s="17">
        <f>FE33*VLOOKUP('Données projet'!$B$16,Paramètres!$A$1:$I$89,3,0)*VLOOKUP('Données projet'!$B$16,Paramètres!$A$1:$I$89,5,0)</f>
        <v>43.679999999999986</v>
      </c>
      <c r="FG33" s="13">
        <f t="shared" si="47"/>
        <v>12.968979282088572</v>
      </c>
      <c r="FH33" s="20">
        <f t="shared" si="22"/>
        <v>98.663638916304237</v>
      </c>
      <c r="FI33" s="59">
        <f t="shared" si="23"/>
        <v>391.99697224963757</v>
      </c>
      <c r="FJ33" s="59">
        <f ca="1">AVERAGE(OFFSET($FI$3,0,0,'Données projet'!$E$16+1,1))-AVERAGE(OFFSET($H$3,0,0,'Données projet'!$E$16+1,1))</f>
        <v>159.4660488566085</v>
      </c>
      <c r="FK33" s="59">
        <f t="shared" si="48"/>
        <v>135.33030558297088</v>
      </c>
      <c r="FL33" s="15">
        <f>IF(ISNA(VLOOKUP(A33,'Données projet'!$A$217:$I$237,3,0)),0,VLOOKUP(A33,'Données projet'!$A$217:$I$237,3,0))</f>
        <v>4</v>
      </c>
      <c r="FM33" s="15">
        <f>IF(ISNA(VLOOKUP(A33,'Données projet'!$A$217:$I$237,4,0)),0,VLOOKUP(A33,'Données projet'!$A$217:$I$237,4,0))</f>
        <v>5.7692307692307692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0.1075</v>
      </c>
      <c r="FP33" s="16">
        <f>IF(ISNA(VLOOKUP(A33,'Données projet'!$A$217:$I$237,7,0)),0%,VLOOKUP(A33,'Données projet'!$A$217:$I$237,7,0))</f>
        <v>0.25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1.4024812148058126</v>
      </c>
      <c r="FS33" s="21">
        <f>EXP(-LN(2)/2)*FS32+(1-EXP(-LN(2)/2))/(LN(2)/2)*FM33*FP33*VLOOKUP('Données projet'!$B$16,Paramètres!$A$1:$I$89,3,0)*0.475*44/12</f>
        <v>1.3118895055864315</v>
      </c>
      <c r="FT33" s="22">
        <f t="shared" si="24"/>
        <v>2.7143707203922443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4.0942857142857143</v>
      </c>
      <c r="N34" s="13">
        <f>IF('Données projet'!$A$36&gt;35,N33+M34-V33,IF(A34&lt;'Données projet'!$A$36,$K$205^A34,IF(A34='Données projet'!$A$36,'Données projet'!$B$36,N33+M34-V33)))</f>
        <v>126.92285714285723</v>
      </c>
      <c r="O34" s="13">
        <f>N34*VLOOKUP('Données projet'!$B$9,Paramètres!$A$1:$I$89,3,0)*VLOOKUP('Données projet'!$B$9,Paramètres!$A$1:$I$89,5,0)</f>
        <v>128.69977714285722</v>
      </c>
      <c r="P34" s="13">
        <f t="shared" si="33"/>
        <v>33.69574046316044</v>
      </c>
      <c r="Q34" s="20">
        <f t="shared" si="2"/>
        <v>282.83885983048071</v>
      </c>
      <c r="R34" s="59">
        <f t="shared" si="0"/>
        <v>576.17219316381397</v>
      </c>
      <c r="S34" s="59">
        <f ca="1">AVERAGE(OFFSET($R$3,0,0,'Données projet'!$E$9+1,1))-AVERAGE(OFFSET($H$3,0,0,'Données projet'!$E$9+1,1))</f>
        <v>706.69239849991595</v>
      </c>
      <c r="T34" s="59">
        <f t="shared" si="34"/>
        <v>310.59887275116529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4.6153846153846132</v>
      </c>
      <c r="AI34" s="13">
        <f>IF('Données projet'!$A$62&gt;35,AI33+AH34-AQ33,IF(A34&lt;'Données projet'!$A$62,$AF$205^A34,IF(A34='Données projet'!$A$62,'Données projet'!$B$62,AI33+AH34-AQ33)))</f>
        <v>68.076923076923066</v>
      </c>
      <c r="AJ34" s="13">
        <f>AI34*VLOOKUP('Données projet'!$B$10,Paramètres!$A$1:$I$89,3,0)*VLOOKUP('Données projet'!$B$10,Paramètres!$A$1:$I$89,5,0)</f>
        <v>71.153999999999996</v>
      </c>
      <c r="AK34" s="13">
        <f t="shared" si="35"/>
        <v>19.959763152334045</v>
      </c>
      <c r="AL34" s="20">
        <f t="shared" si="4"/>
        <v>158.68980415698181</v>
      </c>
      <c r="AM34" s="59">
        <f t="shared" si="5"/>
        <v>452.02313749031509</v>
      </c>
      <c r="AN34" s="59">
        <f ca="1">AVERAGE(OFFSET($AM$3,0,0,'Données projet'!$E$10+1,1))-AVERAGE(OFFSET($H$3,0,0,'Données projet'!$E$10+1,1))</f>
        <v>239.26156489359892</v>
      </c>
      <c r="AO34" s="59">
        <f t="shared" si="36"/>
        <v>213.97034450798111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9.028131869465609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9.028131869465609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128.79999999999998</v>
      </c>
      <c r="BE34" s="13">
        <f>BD34*VLOOKUP('Données projet'!$B$11,Paramètres!$A$1:$I$89,3,0)*VLOOKUP('Données projet'!$B$11,Paramètres!$A$1:$I$89,5,0)</f>
        <v>112.51968000000001</v>
      </c>
      <c r="BF34" s="13">
        <f t="shared" si="37"/>
        <v>29.923856072189899</v>
      </c>
      <c r="BG34" s="20">
        <f t="shared" si="7"/>
        <v>248.08915865906408</v>
      </c>
      <c r="BH34" s="59">
        <f t="shared" si="8"/>
        <v>541.42249199239745</v>
      </c>
      <c r="BI34" s="59">
        <f ca="1">AVERAGE(OFFSET($BH$3,0,0,'Données projet'!$E$11+1,1))-AVERAGE(OFFSET($H$3,0,0,'Données projet'!$E$11+1,1))</f>
        <v>324.86930206492627</v>
      </c>
      <c r="BJ34" s="59">
        <f t="shared" si="38"/>
        <v>317.03005098025352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10.350579291797379</v>
      </c>
      <c r="BR34" s="21">
        <f>EXP(-LN(2)/2)*BR33+(1-EXP(-LN(2)/2))/(LN(2)/2)*BL34*BO34*VLOOKUP('Données projet'!$B$11,Paramètres!$A$1:$I$89,3,0)*0.475*44/12</f>
        <v>4.9407073286326533</v>
      </c>
      <c r="BS34" s="22">
        <f t="shared" si="9"/>
        <v>15.291286620430032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3.3603333333333336</v>
      </c>
      <c r="BY34" s="12">
        <f>IF('Données projet'!$A$114&gt;35,BY33+BX34-CG33,IF(A34&lt;'Données projet'!$A$114,$BV$205^A34,IF(A34='Données projet'!$A$114,'Données projet'!$B$114,BY33+BX34-CG33)))</f>
        <v>104.17033333333333</v>
      </c>
      <c r="BZ34" s="13">
        <f>BY34*VLOOKUP('Données projet'!$B$12,Paramètres!$A$1:$I$89,3,0)*VLOOKUP('Données projet'!$B$12,Paramètres!$A$1:$I$89,5,0)</f>
        <v>118.6291756</v>
      </c>
      <c r="CA34" s="13">
        <f t="shared" si="39"/>
        <v>31.355063537869306</v>
      </c>
      <c r="CB34" s="20">
        <f t="shared" si="10"/>
        <v>261.22254983178902</v>
      </c>
      <c r="CC34" s="59">
        <f t="shared" si="11"/>
        <v>554.5558831651224</v>
      </c>
      <c r="CD34" s="59">
        <f ca="1">AVERAGE(OFFSET($CC$3,0,0,'Données projet'!$E$12+1,1))-AVERAGE(OFFSET($H$3,0,0,'Données projet'!$E$12+1,1))</f>
        <v>593.28343396240075</v>
      </c>
      <c r="CE34" s="59">
        <f t="shared" si="40"/>
        <v>289.66477662068695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4.0942857142857143</v>
      </c>
      <c r="CT34" s="12">
        <f>IF('Données projet'!$A$140&gt;35,CT33+CS34-DB33,IF(A34&lt;'Données projet'!$A$140,$CQ$205^A34,IF(A34='Données projet'!$A$140,'Données projet'!$B$140,CT33+CS34-DB33)))</f>
        <v>126.92285714285723</v>
      </c>
      <c r="CU34" s="17">
        <f>CT34*VLOOKUP('Données projet'!$B$13,Paramètres!$A$1:$I$89,3,0)*VLOOKUP('Données projet'!$B$13,Paramètres!$A$1:$I$89,5,0)</f>
        <v>136.6197634285715</v>
      </c>
      <c r="CV34" s="13">
        <f t="shared" si="41"/>
        <v>35.521542712430268</v>
      </c>
      <c r="CW34" s="20">
        <f t="shared" si="13"/>
        <v>299.81277486224468</v>
      </c>
      <c r="CX34" s="59">
        <f t="shared" si="14"/>
        <v>593.14610819557799</v>
      </c>
      <c r="CY34" s="59">
        <f ca="1">AVERAGE(OFFSET($CX$3,0,0,'Données projet'!$E$13+1,1))-AVERAGE(OFFSET($H$3,0,0,'Données projet'!$E$13+1,1))</f>
        <v>747.18304127457918</v>
      </c>
      <c r="CZ34" s="59">
        <f t="shared" si="42"/>
        <v>327.03701004966723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12.8</v>
      </c>
      <c r="DO34" s="12">
        <f>IF('Données projet'!$A$166&gt;35,DO33+DN34-DW33,IF(A34&lt;'Données projet'!$A$166,$DL$205^A34,IF(A34='Données projet'!$A$166,'Données projet'!$B$166,DO33+DN34-DW33)))</f>
        <v>154.79999999999993</v>
      </c>
      <c r="DP34" s="17">
        <f>DO34*VLOOKUP('Données projet'!$B$14,Paramètres!$A$1:$I$89,3,0)*VLOOKUP('Données projet'!$B$14,Paramètres!$A$1:$I$89,5,0)</f>
        <v>123.15887999999995</v>
      </c>
      <c r="DQ34" s="13">
        <f t="shared" si="43"/>
        <v>32.410638331814873</v>
      </c>
      <c r="DR34" s="20">
        <f t="shared" si="16"/>
        <v>270.95024442791083</v>
      </c>
      <c r="DS34" s="59">
        <f t="shared" si="17"/>
        <v>564.28357776124415</v>
      </c>
      <c r="DT34" s="59">
        <f ca="1">AVERAGE(OFFSET($DS$3,0,0,'Données projet'!$E$14+1,1))-AVERAGE(OFFSET($H$3,0,0,'Données projet'!$E$14+1,1))</f>
        <v>353.37479213497227</v>
      </c>
      <c r="DU34" s="59">
        <f t="shared" si="44"/>
        <v>345.4750813433123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3.9987564208720805</v>
      </c>
      <c r="EB34" s="21">
        <f>EXP(-LN(2)/25)*EB33+(1-EXP(-LN(2)/25))/(LN(2)/25)*Calculateur!DW34*Calculateur!DY34*VLOOKUP('Données projet'!$B$14,Paramètres!$A$1:$I$89,3,0)*0.475*44/12</f>
        <v>12.7699890198513</v>
      </c>
      <c r="EC34" s="21">
        <f>EXP(-LN(2)/2)*EC33+(1-EXP(-LN(2)/2))/(LN(2)/2)*DW34*DZ34*VLOOKUP('Données projet'!$B$14,Paramètres!$A$1:$I$89,3,0)*0.475*44/12</f>
        <v>5.6341791915977009</v>
      </c>
      <c r="ED34" s="22">
        <f t="shared" si="18"/>
        <v>22.402924632321081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18.265714285714285</v>
      </c>
      <c r="EJ34" s="12">
        <f>IF('Données projet'!$A$192&gt;35,EJ33+EI34-ER33,IF(A34&lt;'Données projet'!$A$192,$EG$205^A34,IF(A34='Données projet'!$A$192,'Données projet'!$B$192,EJ33+EI34-ER33)))</f>
        <v>566.23714285714289</v>
      </c>
      <c r="EK34" s="17">
        <f>EJ34*VLOOKUP('Données projet'!$B$15,Paramètres!$A$1:$I$89,3,0)*VLOOKUP('Données projet'!$B$15,Paramètres!$A$1:$I$89,5,0)</f>
        <v>264.99898285714289</v>
      </c>
      <c r="EL34" s="13">
        <f t="shared" si="45"/>
        <v>63.786775144981405</v>
      </c>
      <c r="EM34" s="20">
        <f t="shared" si="19"/>
        <v>572.63519518703299</v>
      </c>
      <c r="EN34" s="59">
        <f t="shared" si="20"/>
        <v>865.96852852036636</v>
      </c>
      <c r="EO34" s="59">
        <f ca="1">AVERAGE(OFFSET($EN$3,0,0,'Données projet'!$E$15+1,1))-AVERAGE(OFFSET($H$3,0,0,'Données projet'!$E$15+1,1))</f>
        <v>433.05041777893922</v>
      </c>
      <c r="EP34" s="59">
        <f t="shared" si="46"/>
        <v>591.24088611958996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3.0769230769230775</v>
      </c>
      <c r="FE34" s="12">
        <f>IF('Données projet'!$A$218&gt;35,FE33+FD34-FM33,IF(A34&lt;'Données projet'!$A$218,$FB$205^A34,IF(A34='Données projet'!$A$218,'Données projet'!$B$218,FE33+FD34-FM33)))</f>
        <v>51.153846153846139</v>
      </c>
      <c r="FF34" s="17">
        <f>FE34*VLOOKUP('Données projet'!$B$16,Paramètres!$A$1:$I$89,3,0)*VLOOKUP('Données projet'!$B$16,Paramètres!$A$1:$I$89,5,0)</f>
        <v>41.495999999999995</v>
      </c>
      <c r="FG34" s="13">
        <f t="shared" si="47"/>
        <v>12.394310565265267</v>
      </c>
      <c r="FH34" s="20">
        <f t="shared" si="22"/>
        <v>93.858957567836981</v>
      </c>
      <c r="FI34" s="59">
        <f t="shared" si="23"/>
        <v>387.19229090117028</v>
      </c>
      <c r="FJ34" s="59">
        <f ca="1">AVERAGE(OFFSET($FI$3,0,0,'Données projet'!$E$16+1,1))-AVERAGE(OFFSET($H$3,0,0,'Données projet'!$E$16+1,1))</f>
        <v>159.4660488566085</v>
      </c>
      <c r="FK34" s="59">
        <f t="shared" si="48"/>
        <v>135.33030558297088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1.364130292233666</v>
      </c>
      <c r="FS34" s="21">
        <f>EXP(-LN(2)/2)*FS33+(1-EXP(-LN(2)/2))/(LN(2)/2)*FM34*FP34*VLOOKUP('Données projet'!$B$16,Paramètres!$A$1:$I$89,3,0)*0.475*44/12</f>
        <v>0.9276459655676329</v>
      </c>
      <c r="FT34" s="22">
        <f t="shared" si="24"/>
        <v>2.291776257801299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4.0942857142857143</v>
      </c>
      <c r="N35" s="13">
        <f>IF('Données projet'!$A$36&gt;35,N34+M35-V34,IF(A35&lt;'Données projet'!$A$36,$K$205^A35,IF(A35='Données projet'!$A$36,'Données projet'!$B$36,N34+M35-V34)))</f>
        <v>131.01714285714294</v>
      </c>
      <c r="O35" s="13">
        <f>N35*VLOOKUP('Données projet'!$B$9,Paramètres!$A$1:$I$89,3,0)*VLOOKUP('Données projet'!$B$9,Paramètres!$A$1:$I$89,5,0)</f>
        <v>132.85138285714297</v>
      </c>
      <c r="P35" s="13">
        <f t="shared" si="33"/>
        <v>34.654395902029187</v>
      </c>
      <c r="Q35" s="20">
        <f t="shared" ref="Q35:Q66" si="53">(O35+P35)*0.475*44/12</f>
        <v>291.73923133889144</v>
      </c>
      <c r="R35" s="59">
        <f t="shared" si="0"/>
        <v>585.07256467222476</v>
      </c>
      <c r="S35" s="59">
        <f ca="1">AVERAGE(OFFSET($R$3,0,0,'Données projet'!$E$9+1,1))-AVERAGE(OFFSET($H$3,0,0,'Données projet'!$E$9+1,1))</f>
        <v>706.69239849991595</v>
      </c>
      <c r="T35" s="59">
        <f t="shared" si="34"/>
        <v>310.59887275116529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4.6153846153846132</v>
      </c>
      <c r="AI35" s="13">
        <f>IF('Données projet'!$A$62&gt;35,AI34+AH35-AQ34,IF(A35&lt;'Données projet'!$A$62,$AF$205^A35,IF(A35='Données projet'!$A$62,'Données projet'!$B$62,AI34+AH35-AQ34)))</f>
        <v>72.692307692307679</v>
      </c>
      <c r="AJ35" s="13">
        <f>AI35*VLOOKUP('Données projet'!$B$10,Paramètres!$A$1:$I$89,3,0)*VLOOKUP('Données projet'!$B$10,Paramètres!$A$1:$I$89,5,0)</f>
        <v>75.977999999999994</v>
      </c>
      <c r="AK35" s="13">
        <f t="shared" si="35"/>
        <v>21.150851474041477</v>
      </c>
      <c r="AL35" s="20">
        <f t="shared" si="4"/>
        <v>169.16608298395553</v>
      </c>
      <c r="AM35" s="59">
        <f t="shared" si="5"/>
        <v>462.49941631728882</v>
      </c>
      <c r="AN35" s="59">
        <f ca="1">AVERAGE(OFFSET($AM$3,0,0,'Données projet'!$E$10+1,1))-AVERAGE(OFFSET($H$3,0,0,'Données projet'!$E$10+1,1))</f>
        <v>239.26156489359892</v>
      </c>
      <c r="AO35" s="59">
        <f t="shared" si="36"/>
        <v>213.97034450798111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8.7812571287262511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8.7812571287262511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139.6</v>
      </c>
      <c r="BE35" s="13">
        <f>BD35*VLOOKUP('Données projet'!$B$11,Paramètres!$A$1:$I$89,3,0)*VLOOKUP('Données projet'!$B$11,Paramètres!$A$1:$I$89,5,0)</f>
        <v>121.95456</v>
      </c>
      <c r="BF35" s="13">
        <f t="shared" si="37"/>
        <v>32.130438767300902</v>
      </c>
      <c r="BG35" s="20">
        <f t="shared" si="7"/>
        <v>268.36470618638242</v>
      </c>
      <c r="BH35" s="59">
        <f t="shared" si="8"/>
        <v>561.69803951971573</v>
      </c>
      <c r="BI35" s="59">
        <f ca="1">AVERAGE(OFFSET($BH$3,0,0,'Données projet'!$E$11+1,1))-AVERAGE(OFFSET($H$3,0,0,'Données projet'!$E$11+1,1))</f>
        <v>324.86930206492627</v>
      </c>
      <c r="BJ35" s="59">
        <f t="shared" si="38"/>
        <v>317.03005098025352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10.067542156749871</v>
      </c>
      <c r="BR35" s="21">
        <f>EXP(-LN(2)/2)*BR34+(1-EXP(-LN(2)/2))/(LN(2)/2)*BL35*BO35*VLOOKUP('Données projet'!$B$11,Paramètres!$A$1:$I$89,3,0)*0.475*44/12</f>
        <v>3.4936076559342215</v>
      </c>
      <c r="BS35" s="22">
        <f t="shared" si="9"/>
        <v>13.561149812684093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3.3603333333333336</v>
      </c>
      <c r="BY35" s="12">
        <f>IF('Données projet'!$A$114&gt;35,BY34+BX35-CG34,IF(A35&lt;'Données projet'!$A$114,$BV$205^A35,IF(A35='Données projet'!$A$114,'Données projet'!$B$114,BY34+BX35-CG34)))</f>
        <v>107.53066666666666</v>
      </c>
      <c r="BZ35" s="13">
        <f>BY35*VLOOKUP('Données projet'!$B$12,Paramètres!$A$1:$I$89,3,0)*VLOOKUP('Données projet'!$B$12,Paramètres!$A$1:$I$89,5,0)</f>
        <v>122.45592319999999</v>
      </c>
      <c r="CA35" s="13">
        <f t="shared" si="39"/>
        <v>32.247125910842406</v>
      </c>
      <c r="CB35" s="20">
        <f t="shared" si="10"/>
        <v>269.44114386805046</v>
      </c>
      <c r="CC35" s="59">
        <f t="shared" si="11"/>
        <v>562.77447720138377</v>
      </c>
      <c r="CD35" s="59">
        <f ca="1">AVERAGE(OFFSET($CC$3,0,0,'Données projet'!$E$12+1,1))-AVERAGE(OFFSET($H$3,0,0,'Données projet'!$E$12+1,1))</f>
        <v>593.28343396240075</v>
      </c>
      <c r="CE35" s="59">
        <f t="shared" si="40"/>
        <v>289.66477662068695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4.0942857142857143</v>
      </c>
      <c r="CT35" s="12">
        <f>IF('Données projet'!$A$140&gt;35,CT34+CS35-DB34,IF(A35&lt;'Données projet'!$A$140,$CQ$205^A35,IF(A35='Données projet'!$A$140,'Données projet'!$B$140,CT34+CS35-DB34)))</f>
        <v>131.01714285714294</v>
      </c>
      <c r="CU35" s="17">
        <f>CT35*VLOOKUP('Données projet'!$B$13,Paramètres!$A$1:$I$89,3,0)*VLOOKUP('Données projet'!$B$13,Paramètres!$A$1:$I$89,5,0)</f>
        <v>141.02685257142866</v>
      </c>
      <c r="CV35" s="13">
        <f t="shared" si="41"/>
        <v>36.532142855065764</v>
      </c>
      <c r="CW35" s="20">
        <f t="shared" si="13"/>
        <v>309.24858370114447</v>
      </c>
      <c r="CX35" s="59">
        <f t="shared" si="14"/>
        <v>602.58191703447778</v>
      </c>
      <c r="CY35" s="59">
        <f ca="1">AVERAGE(OFFSET($CX$3,0,0,'Données projet'!$E$13+1,1))-AVERAGE(OFFSET($H$3,0,0,'Données projet'!$E$13+1,1))</f>
        <v>747.18304127457918</v>
      </c>
      <c r="CZ35" s="59">
        <f t="shared" si="42"/>
        <v>327.03701004966723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12.8</v>
      </c>
      <c r="DO35" s="12">
        <f>IF('Données projet'!$A$166&gt;35,DO34+DN35-DW34,IF(A35&lt;'Données projet'!$A$166,$DL$205^A35,IF(A35='Données projet'!$A$166,'Données projet'!$B$166,DO34+DN35-DW34)))</f>
        <v>167.59999999999994</v>
      </c>
      <c r="DP35" s="17">
        <f>DO35*VLOOKUP('Données projet'!$B$14,Paramètres!$A$1:$I$89,3,0)*VLOOKUP('Données projet'!$B$14,Paramètres!$A$1:$I$89,5,0)</f>
        <v>133.34255999999996</v>
      </c>
      <c r="DQ35" s="13">
        <f t="shared" si="43"/>
        <v>34.767581918978188</v>
      </c>
      <c r="DR35" s="20">
        <f t="shared" si="16"/>
        <v>292.7918305088869</v>
      </c>
      <c r="DS35" s="59">
        <f t="shared" si="17"/>
        <v>586.12516384222022</v>
      </c>
      <c r="DT35" s="59">
        <f ca="1">AVERAGE(OFFSET($DS$3,0,0,'Données projet'!$E$14+1,1))-AVERAGE(OFFSET($H$3,0,0,'Données projet'!$E$14+1,1))</f>
        <v>353.37479213497227</v>
      </c>
      <c r="DU35" s="59">
        <f t="shared" si="44"/>
        <v>345.4750813433123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3.9203432464593644</v>
      </c>
      <c r="EB35" s="21">
        <f>EXP(-LN(2)/25)*EB34+(1-EXP(-LN(2)/25))/(LN(2)/25)*Calculateur!DW35*Calculateur!DY35*VLOOKUP('Données projet'!$B$14,Paramètres!$A$1:$I$89,3,0)*0.475*44/12</f>
        <v>12.42079299855893</v>
      </c>
      <c r="EC35" s="21">
        <f>EXP(-LN(2)/2)*EC34+(1-EXP(-LN(2)/2))/(LN(2)/2)*DW35*DZ35*VLOOKUP('Données projet'!$B$14,Paramètres!$A$1:$I$89,3,0)*0.475*44/12</f>
        <v>3.9839663127988749</v>
      </c>
      <c r="ED35" s="22">
        <f t="shared" si="18"/>
        <v>20.325102557817168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18.265714285714285</v>
      </c>
      <c r="EJ35" s="12">
        <f>IF('Données projet'!$A$192&gt;35,EJ34+EI35-ER34,IF(A35&lt;'Données projet'!$A$192,$EG$205^A35,IF(A35='Données projet'!$A$192,'Données projet'!$B$192,EJ34+EI35-ER34)))</f>
        <v>584.50285714285712</v>
      </c>
      <c r="EK35" s="17">
        <f>EJ35*VLOOKUP('Données projet'!$B$15,Paramètres!$A$1:$I$89,3,0)*VLOOKUP('Données projet'!$B$15,Paramètres!$A$1:$I$89,5,0)</f>
        <v>273.54733714285715</v>
      </c>
      <c r="EL35" s="13">
        <f t="shared" si="45"/>
        <v>65.601530899866418</v>
      </c>
      <c r="EM35" s="20">
        <f t="shared" si="19"/>
        <v>590.68427850774344</v>
      </c>
      <c r="EN35" s="59">
        <f t="shared" si="20"/>
        <v>884.01761184107681</v>
      </c>
      <c r="EO35" s="59">
        <f ca="1">AVERAGE(OFFSET($EN$3,0,0,'Données projet'!$E$15+1,1))-AVERAGE(OFFSET($H$3,0,0,'Données projet'!$E$15+1,1))</f>
        <v>433.05041777893922</v>
      </c>
      <c r="EP35" s="59">
        <f t="shared" si="46"/>
        <v>591.24088611958996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3.0769230769230775</v>
      </c>
      <c r="FE35" s="12">
        <f>IF('Données projet'!$A$218&gt;35,FE34+FD35-FM34,IF(A35&lt;'Données projet'!$A$218,$FB$205^A35,IF(A35='Données projet'!$A$218,'Données projet'!$B$218,FE34+FD35-FM34)))</f>
        <v>54.230769230769219</v>
      </c>
      <c r="FF35" s="17">
        <f>FE35*VLOOKUP('Données projet'!$B$16,Paramètres!$A$1:$I$89,3,0)*VLOOKUP('Données projet'!$B$16,Paramètres!$A$1:$I$89,5,0)</f>
        <v>43.991999999999997</v>
      </c>
      <c r="FG35" s="13">
        <f t="shared" si="47"/>
        <v>13.05079813120688</v>
      </c>
      <c r="FH35" s="20">
        <f t="shared" si="22"/>
        <v>99.349540078518643</v>
      </c>
      <c r="FI35" s="59">
        <f t="shared" si="23"/>
        <v>392.68287341185197</v>
      </c>
      <c r="FJ35" s="59">
        <f ca="1">AVERAGE(OFFSET($FI$3,0,0,'Données projet'!$E$16+1,1))-AVERAGE(OFFSET($H$3,0,0,'Données projet'!$E$16+1,1))</f>
        <v>159.4660488566085</v>
      </c>
      <c r="FK35" s="59">
        <f t="shared" si="48"/>
        <v>135.33030558297088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1.3268280776560422</v>
      </c>
      <c r="FS35" s="21">
        <f>EXP(-LN(2)/2)*FS34+(1-EXP(-LN(2)/2))/(LN(2)/2)*FM35*FP35*VLOOKUP('Données projet'!$B$16,Paramètres!$A$1:$I$89,3,0)*0.475*44/12</f>
        <v>0.65594475279321585</v>
      </c>
      <c r="FT35" s="22">
        <f t="shared" si="24"/>
        <v>1.982772830449258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4.0942857142857143</v>
      </c>
      <c r="N36" s="13">
        <f>IF('Données projet'!$A$36&gt;35,N35+M36-V35,IF(A36&lt;'Données projet'!$A$36,$K$205^A36,IF(A36='Données projet'!$A$36,'Données projet'!$B$36,N35+M36-V35)))</f>
        <v>135.11142857142866</v>
      </c>
      <c r="O36" s="13">
        <f>N36*VLOOKUP('Données projet'!$B$9,Paramètres!$A$1:$I$89,3,0)*VLOOKUP('Données projet'!$B$9,Paramètres!$A$1:$I$89,5,0)</f>
        <v>137.00298857142866</v>
      </c>
      <c r="P36" s="13">
        <f t="shared" si="33"/>
        <v>35.609569967576427</v>
      </c>
      <c r="Q36" s="20">
        <f t="shared" si="53"/>
        <v>300.63353945543383</v>
      </c>
      <c r="R36" s="59">
        <f t="shared" si="0"/>
        <v>593.9668727887672</v>
      </c>
      <c r="S36" s="59">
        <f ca="1">AVERAGE(OFFSET($R$3,0,0,'Données projet'!$E$9+1,1))-AVERAGE(OFFSET($H$3,0,0,'Données projet'!$E$9+1,1))</f>
        <v>706.69239849991595</v>
      </c>
      <c r="T36" s="59">
        <f t="shared" si="34"/>
        <v>310.59887275116529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4.6153846153846132</v>
      </c>
      <c r="AI36" s="13">
        <f>IF('Données projet'!$A$62&gt;35,AI35+AH36-AQ35,IF(A36&lt;'Données projet'!$A$62,$AF$205^A36,IF(A36='Données projet'!$A$62,'Données projet'!$B$62,AI35+AH36-AQ35)))</f>
        <v>77.307692307692292</v>
      </c>
      <c r="AJ36" s="13">
        <f>AI36*VLOOKUP('Données projet'!$B$10,Paramètres!$A$1:$I$89,3,0)*VLOOKUP('Données projet'!$B$10,Paramètres!$A$1:$I$89,5,0)</f>
        <v>80.801999999999992</v>
      </c>
      <c r="AK36" s="13">
        <f t="shared" si="35"/>
        <v>22.333163311057419</v>
      </c>
      <c r="AL36" s="20">
        <f t="shared" si="4"/>
        <v>179.62707610009167</v>
      </c>
      <c r="AM36" s="59">
        <f t="shared" si="5"/>
        <v>472.96040943342496</v>
      </c>
      <c r="AN36" s="59">
        <f ca="1">AVERAGE(OFFSET($AM$3,0,0,'Données projet'!$E$10+1,1))-AVERAGE(OFFSET($H$3,0,0,'Données projet'!$E$10+1,1))</f>
        <v>239.26156489359892</v>
      </c>
      <c r="AO36" s="59">
        <f t="shared" si="36"/>
        <v>213.97034450798111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8.541133190754989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8.541133190754989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150.4</v>
      </c>
      <c r="BE36" s="13">
        <f>BD36*VLOOKUP('Données projet'!$B$11,Paramètres!$A$1:$I$89,3,0)*VLOOKUP('Données projet'!$B$11,Paramètres!$A$1:$I$89,5,0)</f>
        <v>131.38944000000004</v>
      </c>
      <c r="BF36" s="13">
        <f t="shared" si="37"/>
        <v>34.317219199328761</v>
      </c>
      <c r="BG36" s="20">
        <f t="shared" si="7"/>
        <v>288.60576477216426</v>
      </c>
      <c r="BH36" s="59">
        <f t="shared" si="8"/>
        <v>581.93909810549758</v>
      </c>
      <c r="BI36" s="59">
        <f ca="1">AVERAGE(OFFSET($BH$3,0,0,'Données projet'!$E$11+1,1))-AVERAGE(OFFSET($H$3,0,0,'Données projet'!$E$11+1,1))</f>
        <v>324.86930206492627</v>
      </c>
      <c r="BJ36" s="59">
        <f t="shared" si="38"/>
        <v>317.03005098025352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9.7922446870445139</v>
      </c>
      <c r="BR36" s="21">
        <f>EXP(-LN(2)/2)*BR35+(1-EXP(-LN(2)/2))/(LN(2)/2)*BL36*BO36*VLOOKUP('Données projet'!$B$11,Paramètres!$A$1:$I$89,3,0)*0.475*44/12</f>
        <v>2.4703536643163271</v>
      </c>
      <c r="BS36" s="22">
        <f t="shared" si="9"/>
        <v>12.262598351360841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3.3603333333333336</v>
      </c>
      <c r="BY36" s="12">
        <f>IF('Données projet'!$A$114&gt;35,BY35+BX36-CG35,IF(A36&lt;'Données projet'!$A$114,$BV$205^A36,IF(A36='Données projet'!$A$114,'Données projet'!$B$114,BY35+BX36-CG35)))</f>
        <v>110.89099999999999</v>
      </c>
      <c r="BZ36" s="13">
        <f>BY36*VLOOKUP('Données projet'!$B$12,Paramètres!$A$1:$I$89,3,0)*VLOOKUP('Données projet'!$B$12,Paramètres!$A$1:$I$89,5,0)</f>
        <v>126.28267080000001</v>
      </c>
      <c r="CA36" s="13">
        <f t="shared" si="39"/>
        <v>33.135948744330882</v>
      </c>
      <c r="CB36" s="20">
        <f t="shared" si="10"/>
        <v>277.65409570637627</v>
      </c>
      <c r="CC36" s="59">
        <f t="shared" si="11"/>
        <v>570.98742903970958</v>
      </c>
      <c r="CD36" s="59">
        <f ca="1">AVERAGE(OFFSET($CC$3,0,0,'Données projet'!$E$12+1,1))-AVERAGE(OFFSET($H$3,0,0,'Données projet'!$E$12+1,1))</f>
        <v>593.28343396240075</v>
      </c>
      <c r="CE36" s="59">
        <f t="shared" si="40"/>
        <v>289.66477662068695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4.0942857142857143</v>
      </c>
      <c r="CT36" s="12">
        <f>IF('Données projet'!$A$140&gt;35,CT35+CS36-DB35,IF(A36&lt;'Données projet'!$A$140,$CQ$205^A36,IF(A36='Données projet'!$A$140,'Données projet'!$B$140,CT35+CS36-DB35)))</f>
        <v>135.11142857142866</v>
      </c>
      <c r="CU36" s="17">
        <f>CT36*VLOOKUP('Données projet'!$B$13,Paramètres!$A$1:$I$89,3,0)*VLOOKUP('Données projet'!$B$13,Paramètres!$A$1:$I$89,5,0)</f>
        <v>145.43394171428579</v>
      </c>
      <c r="CV36" s="13">
        <f t="shared" si="41"/>
        <v>37.539072986315936</v>
      </c>
      <c r="CW36" s="20">
        <f t="shared" si="13"/>
        <v>318.67800060354801</v>
      </c>
      <c r="CX36" s="59">
        <f t="shared" si="14"/>
        <v>612.01133393688133</v>
      </c>
      <c r="CY36" s="59">
        <f ca="1">AVERAGE(OFFSET($CX$3,0,0,'Données projet'!$E$13+1,1))-AVERAGE(OFFSET($H$3,0,0,'Données projet'!$E$13+1,1))</f>
        <v>747.18304127457918</v>
      </c>
      <c r="CZ36" s="59">
        <f t="shared" si="42"/>
        <v>327.03701004966723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12.8</v>
      </c>
      <c r="DO36" s="12">
        <f>IF('Données projet'!$A$166&gt;35,DO35+DN36-DW35,IF(A36&lt;'Données projet'!$A$166,$DL$205^A36,IF(A36='Données projet'!$A$166,'Données projet'!$B$166,DO35+DN36-DW35)))</f>
        <v>180.39999999999995</v>
      </c>
      <c r="DP36" s="17">
        <f>DO36*VLOOKUP('Données projet'!$B$14,Paramètres!$A$1:$I$89,3,0)*VLOOKUP('Données projet'!$B$14,Paramètres!$A$1:$I$89,5,0)</f>
        <v>143.52623999999997</v>
      </c>
      <c r="DQ36" s="13">
        <f t="shared" si="43"/>
        <v>37.103644337236275</v>
      </c>
      <c r="DR36" s="20">
        <f t="shared" si="16"/>
        <v>314.59704855401981</v>
      </c>
      <c r="DS36" s="59">
        <f t="shared" si="17"/>
        <v>607.93038188735318</v>
      </c>
      <c r="DT36" s="59">
        <f ca="1">AVERAGE(OFFSET($DS$3,0,0,'Données projet'!$E$14+1,1))-AVERAGE(OFFSET($H$3,0,0,'Données projet'!$E$14+1,1))</f>
        <v>353.37479213497227</v>
      </c>
      <c r="DU36" s="59">
        <f t="shared" si="44"/>
        <v>345.4750813433123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3.8434677065695677</v>
      </c>
      <c r="EB36" s="21">
        <f>EXP(-LN(2)/25)*EB35+(1-EXP(-LN(2)/25))/(LN(2)/25)*Calculateur!DW36*Calculateur!DY36*VLOOKUP('Données projet'!$B$14,Paramètres!$A$1:$I$89,3,0)*0.475*44/12</f>
        <v>12.081145760832221</v>
      </c>
      <c r="EC36" s="21">
        <f>EXP(-LN(2)/2)*EC35+(1-EXP(-LN(2)/2))/(LN(2)/2)*DW36*DZ36*VLOOKUP('Données projet'!$B$14,Paramètres!$A$1:$I$89,3,0)*0.475*44/12</f>
        <v>2.8170895957988509</v>
      </c>
      <c r="ED36" s="22">
        <f t="shared" si="18"/>
        <v>18.741703063200639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18.265714285714285</v>
      </c>
      <c r="EJ36" s="12">
        <f>IF('Données projet'!$A$192&gt;35,EJ35+EI36-ER35,IF(A36&lt;'Données projet'!$A$192,$EG$205^A36,IF(A36='Données projet'!$A$192,'Données projet'!$B$192,EJ35+EI36-ER35)))</f>
        <v>602.76857142857136</v>
      </c>
      <c r="EK36" s="17">
        <f>EJ36*VLOOKUP('Données projet'!$B$15,Paramètres!$A$1:$I$89,3,0)*VLOOKUP('Données projet'!$B$15,Paramètres!$A$1:$I$89,5,0)</f>
        <v>282.0956914285714</v>
      </c>
      <c r="EL36" s="13">
        <f t="shared" si="45"/>
        <v>67.409696338758962</v>
      </c>
      <c r="EM36" s="20">
        <f t="shared" si="19"/>
        <v>608.72188369476703</v>
      </c>
      <c r="EN36" s="59">
        <f t="shared" si="20"/>
        <v>902.05521702810029</v>
      </c>
      <c r="EO36" s="59">
        <f ca="1">AVERAGE(OFFSET($EN$3,0,0,'Données projet'!$E$15+1,1))-AVERAGE(OFFSET($H$3,0,0,'Données projet'!$E$15+1,1))</f>
        <v>433.05041777893922</v>
      </c>
      <c r="EP36" s="59">
        <f t="shared" si="46"/>
        <v>591.24088611958996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3.0769230769230775</v>
      </c>
      <c r="FE36" s="12">
        <f>IF('Données projet'!$A$218&gt;35,FE35+FD36-FM35,IF(A36&lt;'Données projet'!$A$218,$FB$205^A36,IF(A36='Données projet'!$A$218,'Données projet'!$B$218,FE35+FD36-FM35)))</f>
        <v>57.307692307692299</v>
      </c>
      <c r="FF36" s="17">
        <f>FE36*VLOOKUP('Données projet'!$B$16,Paramètres!$A$1:$I$89,3,0)*VLOOKUP('Données projet'!$B$16,Paramètres!$A$1:$I$89,5,0)</f>
        <v>46.488</v>
      </c>
      <c r="FG36" s="13">
        <f t="shared" si="47"/>
        <v>13.70296192228238</v>
      </c>
      <c r="FH36" s="20">
        <f t="shared" si="22"/>
        <v>104.83259201464182</v>
      </c>
      <c r="FI36" s="59">
        <f t="shared" si="23"/>
        <v>398.16592534797513</v>
      </c>
      <c r="FJ36" s="59">
        <f ca="1">AVERAGE(OFFSET($FI$3,0,0,'Données projet'!$E$16+1,1))-AVERAGE(OFFSET($H$3,0,0,'Données projet'!$E$16+1,1))</f>
        <v>159.4660488566085</v>
      </c>
      <c r="FK36" s="59">
        <f t="shared" si="48"/>
        <v>135.33030558297088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1.2905458940976815</v>
      </c>
      <c r="FS36" s="21">
        <f>EXP(-LN(2)/2)*FS35+(1-EXP(-LN(2)/2))/(LN(2)/2)*FM36*FP36*VLOOKUP('Données projet'!$B$16,Paramètres!$A$1:$I$89,3,0)*0.475*44/12</f>
        <v>0.46382298278381651</v>
      </c>
      <c r="FT36" s="22">
        <f t="shared" si="24"/>
        <v>1.754368876881498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4.0942857142857143</v>
      </c>
      <c r="N37" s="13">
        <f>IF('Données projet'!$A$36&gt;35,N36+M37-V36,IF(A37&lt;'Données projet'!$A$36,$K$205^A37,IF(A37='Données projet'!$A$36,'Données projet'!$B$36,N36+M37-V36)))</f>
        <v>139.20571428571438</v>
      </c>
      <c r="O37" s="13">
        <f>N37*VLOOKUP('Données projet'!$B$9,Paramètres!$A$1:$I$89,3,0)*VLOOKUP('Données projet'!$B$9,Paramètres!$A$1:$I$89,5,0)</f>
        <v>141.15459428571441</v>
      </c>
      <c r="P37" s="13">
        <f t="shared" si="33"/>
        <v>36.561380264751591</v>
      </c>
      <c r="Q37" s="20">
        <f t="shared" si="53"/>
        <v>309.52198900872827</v>
      </c>
      <c r="R37" s="59">
        <f t="shared" si="0"/>
        <v>602.85532234206153</v>
      </c>
      <c r="S37" s="59">
        <f ca="1">AVERAGE(OFFSET($R$3,0,0,'Données projet'!$E$9+1,1))-AVERAGE(OFFSET($H$3,0,0,'Données projet'!$E$9+1,1))</f>
        <v>706.69239849991595</v>
      </c>
      <c r="T37" s="59">
        <f t="shared" si="34"/>
        <v>310.59887275116529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4.6153846153846132</v>
      </c>
      <c r="AI37" s="13">
        <f>IF('Données projet'!$A$62&gt;35,AI36+AH37-AQ36,IF(A37&lt;'Données projet'!$A$62,$AF$205^A37,IF(A37='Données projet'!$A$62,'Données projet'!$B$62,AI36+AH37-AQ36)))</f>
        <v>81.923076923076906</v>
      </c>
      <c r="AJ37" s="13">
        <f>AI37*VLOOKUP('Données projet'!$B$10,Paramètres!$A$1:$I$89,3,0)*VLOOKUP('Données projet'!$B$10,Paramètres!$A$1:$I$89,5,0)</f>
        <v>85.625999999999991</v>
      </c>
      <c r="AK37" s="13">
        <f t="shared" si="35"/>
        <v>23.507282308556064</v>
      </c>
      <c r="AL37" s="20">
        <f t="shared" si="4"/>
        <v>190.07380002073512</v>
      </c>
      <c r="AM37" s="59">
        <f t="shared" si="5"/>
        <v>483.40713335406843</v>
      </c>
      <c r="AN37" s="59">
        <f ca="1">AVERAGE(OFFSET($AM$3,0,0,'Données projet'!$E$10+1,1))-AVERAGE(OFFSET($H$3,0,0,'Données projet'!$E$10+1,1))</f>
        <v>239.26156489359892</v>
      </c>
      <c r="AO37" s="59">
        <f t="shared" si="36"/>
        <v>213.97034450798111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8.3075754544951206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8.3075754544951206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161.20000000000002</v>
      </c>
      <c r="BE37" s="13">
        <f>BD37*VLOOKUP('Données projet'!$B$11,Paramètres!$A$1:$I$89,3,0)*VLOOKUP('Données projet'!$B$11,Paramètres!$A$1:$I$89,5,0)</f>
        <v>140.82432000000003</v>
      </c>
      <c r="BF37" s="13">
        <f t="shared" si="37"/>
        <v>36.485781060837802</v>
      </c>
      <c r="BG37" s="20">
        <f t="shared" si="7"/>
        <v>308.81509268095925</v>
      </c>
      <c r="BH37" s="59">
        <f t="shared" si="8"/>
        <v>602.14842601429257</v>
      </c>
      <c r="BI37" s="59">
        <f ca="1">AVERAGE(OFFSET($BH$3,0,0,'Données projet'!$E$11+1,1))-AVERAGE(OFFSET($H$3,0,0,'Données projet'!$E$11+1,1))</f>
        <v>324.86930206492627</v>
      </c>
      <c r="BJ37" s="59">
        <f t="shared" si="38"/>
        <v>317.03005098025352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9.5244752411255149</v>
      </c>
      <c r="BR37" s="21">
        <f>EXP(-LN(2)/2)*BR36+(1-EXP(-LN(2)/2))/(LN(2)/2)*BL37*BO37*VLOOKUP('Données projet'!$B$11,Paramètres!$A$1:$I$89,3,0)*0.475*44/12</f>
        <v>1.746803827967111</v>
      </c>
      <c r="BS37" s="22">
        <f t="shared" si="9"/>
        <v>11.271279069092627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3.3603333333333336</v>
      </c>
      <c r="BY37" s="12">
        <f>IF('Données projet'!$A$114&gt;35,BY36+BX37-CG36,IF(A37&lt;'Données projet'!$A$114,$BV$205^A37,IF(A37='Données projet'!$A$114,'Données projet'!$B$114,BY36+BX37-CG36)))</f>
        <v>114.25133333333332</v>
      </c>
      <c r="BZ37" s="13">
        <f>BY37*VLOOKUP('Données projet'!$B$12,Paramètres!$A$1:$I$89,3,0)*VLOOKUP('Données projet'!$B$12,Paramètres!$A$1:$I$89,5,0)</f>
        <v>130.10941839999998</v>
      </c>
      <c r="CA37" s="13">
        <f t="shared" si="39"/>
        <v>34.021641473848256</v>
      </c>
      <c r="CB37" s="20">
        <f t="shared" si="10"/>
        <v>285.86159594695238</v>
      </c>
      <c r="CC37" s="59">
        <f t="shared" si="11"/>
        <v>579.19492928028569</v>
      </c>
      <c r="CD37" s="59">
        <f ca="1">AVERAGE(OFFSET($CC$3,0,0,'Données projet'!$E$12+1,1))-AVERAGE(OFFSET($H$3,0,0,'Données projet'!$E$12+1,1))</f>
        <v>593.28343396240075</v>
      </c>
      <c r="CE37" s="59">
        <f t="shared" si="40"/>
        <v>289.66477662068695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4.0942857142857143</v>
      </c>
      <c r="CT37" s="12">
        <f>IF('Données projet'!$A$140&gt;35,CT36+CS37-DB36,IF(A37&lt;'Données projet'!$A$140,$CQ$205^A37,IF(A37='Données projet'!$A$140,'Données projet'!$B$140,CT36+CS37-DB36)))</f>
        <v>139.20571428571438</v>
      </c>
      <c r="CU37" s="17">
        <f>CT37*VLOOKUP('Données projet'!$B$13,Paramètres!$A$1:$I$89,3,0)*VLOOKUP('Données projet'!$B$13,Paramètres!$A$1:$I$89,5,0)</f>
        <v>149.84103085714295</v>
      </c>
      <c r="CV37" s="13">
        <f t="shared" si="41"/>
        <v>38.542457083549316</v>
      </c>
      <c r="CW37" s="20">
        <f t="shared" si="13"/>
        <v>328.10124149670571</v>
      </c>
      <c r="CX37" s="59">
        <f t="shared" si="14"/>
        <v>621.43457483003908</v>
      </c>
      <c r="CY37" s="59">
        <f ca="1">AVERAGE(OFFSET($CX$3,0,0,'Données projet'!$E$13+1,1))-AVERAGE(OFFSET($H$3,0,0,'Données projet'!$E$13+1,1))</f>
        <v>747.18304127457918</v>
      </c>
      <c r="CZ37" s="59">
        <f t="shared" si="42"/>
        <v>327.03701004966723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12.8</v>
      </c>
      <c r="DO37" s="12">
        <f>IF('Données projet'!$A$166&gt;35,DO36+DN37-DW36,IF(A37&lt;'Données projet'!$A$166,$DL$205^A37,IF(A37='Données projet'!$A$166,'Données projet'!$B$166,DO36+DN37-DW36)))</f>
        <v>193.19999999999996</v>
      </c>
      <c r="DP37" s="17">
        <f>DO37*VLOOKUP('Données projet'!$B$14,Paramètres!$A$1:$I$89,3,0)*VLOOKUP('Données projet'!$B$14,Paramètres!$A$1:$I$89,5,0)</f>
        <v>153.70991999999998</v>
      </c>
      <c r="DQ37" s="13">
        <f t="shared" si="43"/>
        <v>39.420475690379831</v>
      </c>
      <c r="DR37" s="20">
        <f t="shared" si="16"/>
        <v>336.3687724940782</v>
      </c>
      <c r="DS37" s="59">
        <f t="shared" si="17"/>
        <v>629.70210582741151</v>
      </c>
      <c r="DT37" s="59">
        <f ca="1">AVERAGE(OFFSET($DS$3,0,0,'Données projet'!$E$14+1,1))-AVERAGE(OFFSET($H$3,0,0,'Données projet'!$E$14+1,1))</f>
        <v>353.37479213497227</v>
      </c>
      <c r="DU37" s="59">
        <f t="shared" si="44"/>
        <v>345.4750813433123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3.7680996491275609</v>
      </c>
      <c r="EB37" s="21">
        <f>EXP(-LN(2)/25)*EB36+(1-EXP(-LN(2)/25))/(LN(2)/25)*Calculateur!DW37*Calculateur!DY37*VLOOKUP('Données projet'!$B$14,Paramètres!$A$1:$I$89,3,0)*0.475*44/12</f>
        <v>11.750786194682421</v>
      </c>
      <c r="EC37" s="21">
        <f>EXP(-LN(2)/2)*EC36+(1-EXP(-LN(2)/2))/(LN(2)/2)*DW37*DZ37*VLOOKUP('Données projet'!$B$14,Paramètres!$A$1:$I$89,3,0)*0.475*44/12</f>
        <v>1.9919831563994377</v>
      </c>
      <c r="ED37" s="22">
        <f t="shared" si="18"/>
        <v>17.510869000209421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18.265714285714285</v>
      </c>
      <c r="EJ37" s="12">
        <f>IF('Données projet'!$A$192&gt;35,EJ36+EI37-ER36,IF(A37&lt;'Données projet'!$A$192,$EG$205^A37,IF(A37='Données projet'!$A$192,'Données projet'!$B$192,EJ36+EI37-ER36)))</f>
        <v>621.0342857142856</v>
      </c>
      <c r="EK37" s="17">
        <f>EJ37*VLOOKUP('Données projet'!$B$15,Paramètres!$A$1:$I$89,3,0)*VLOOKUP('Données projet'!$B$15,Paramètres!$A$1:$I$89,5,0)</f>
        <v>290.64404571428565</v>
      </c>
      <c r="EL37" s="13">
        <f t="shared" si="45"/>
        <v>69.211494090405566</v>
      </c>
      <c r="EM37" s="20">
        <f t="shared" si="19"/>
        <v>626.7483984931705</v>
      </c>
      <c r="EN37" s="59">
        <f t="shared" si="20"/>
        <v>920.08173182650376</v>
      </c>
      <c r="EO37" s="59">
        <f ca="1">AVERAGE(OFFSET($EN$3,0,0,'Données projet'!$E$15+1,1))-AVERAGE(OFFSET($H$3,0,0,'Données projet'!$E$15+1,1))</f>
        <v>433.05041777893922</v>
      </c>
      <c r="EP37" s="59">
        <f t="shared" si="46"/>
        <v>591.24088611958996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3.0769230769230775</v>
      </c>
      <c r="FE37" s="12">
        <f>IF('Données projet'!$A$218&gt;35,FE36+FD37-FM36,IF(A37&lt;'Données projet'!$A$218,$FB$205^A37,IF(A37='Données projet'!$A$218,'Données projet'!$B$218,FE36+FD37-FM36)))</f>
        <v>60.38461538461538</v>
      </c>
      <c r="FF37" s="17">
        <f>FE37*VLOOKUP('Données projet'!$B$16,Paramètres!$A$1:$I$89,3,0)*VLOOKUP('Données projet'!$B$16,Paramètres!$A$1:$I$89,5,0)</f>
        <v>48.984000000000002</v>
      </c>
      <c r="FG37" s="13">
        <f t="shared" si="47"/>
        <v>14.351060556422677</v>
      </c>
      <c r="FH37" s="20">
        <f t="shared" si="22"/>
        <v>110.30856380243615</v>
      </c>
      <c r="FI37" s="59">
        <f t="shared" si="23"/>
        <v>403.64189713576945</v>
      </c>
      <c r="FJ37" s="59">
        <f ca="1">AVERAGE(OFFSET($FI$3,0,0,'Données projet'!$E$16+1,1))-AVERAGE(OFFSET($H$3,0,0,'Données projet'!$E$16+1,1))</f>
        <v>159.4660488566085</v>
      </c>
      <c r="FK37" s="59">
        <f t="shared" si="48"/>
        <v>135.33030558297088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1.2552558487567214</v>
      </c>
      <c r="FS37" s="21">
        <f>EXP(-LN(2)/2)*FS36+(1-EXP(-LN(2)/2))/(LN(2)/2)*FM37*FP37*VLOOKUP('Données projet'!$B$16,Paramètres!$A$1:$I$89,3,0)*0.475*44/12</f>
        <v>0.32797237639660798</v>
      </c>
      <c r="FT37" s="22">
        <f t="shared" si="24"/>
        <v>1.5832282251533294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4.0942857142857143</v>
      </c>
      <c r="N38" s="13">
        <f>IF('Données projet'!$A$36&gt;35,N37+M38-V37,IF(A38&lt;'Données projet'!$A$36,$K$205^A38,IF(A38='Données projet'!$A$36,'Données projet'!$B$36,N37+M38-V37)))</f>
        <v>143.3000000000001</v>
      </c>
      <c r="O38" s="13">
        <f>N38*VLOOKUP('Données projet'!$B$9,Paramètres!$A$1:$I$89,3,0)*VLOOKUP('Données projet'!$B$9,Paramètres!$A$1:$I$89,5,0)</f>
        <v>145.3062000000001</v>
      </c>
      <c r="P38" s="13">
        <f t="shared" si="33"/>
        <v>37.509937087266451</v>
      </c>
      <c r="Q38" s="20">
        <f t="shared" si="53"/>
        <v>318.40477209365588</v>
      </c>
      <c r="R38" s="59">
        <f t="shared" si="0"/>
        <v>611.73810542698925</v>
      </c>
      <c r="S38" s="59">
        <f ca="1">AVERAGE(OFFSET($R$3,0,0,'Données projet'!$E$9+1,1))-AVERAGE(OFFSET($H$3,0,0,'Données projet'!$E$9+1,1))</f>
        <v>706.69239849991595</v>
      </c>
      <c r="T38" s="59">
        <f t="shared" si="34"/>
        <v>310.59887275116529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86.538461538461533</v>
      </c>
      <c r="AG38" s="12">
        <f>VLOOKUP(A38,'Données projet'!$A$61:$I$81,9,0)</f>
        <v>4.6153846153846132</v>
      </c>
      <c r="AH38" s="12">
        <f t="array" ref="AH38">INDEX(AG:AG,MIN(IF(ISNUMBER(AG38:AG234),ROW(AG38:AG234),"")))</f>
        <v>4.6153846153846132</v>
      </c>
      <c r="AI38" s="13">
        <f>IF('Données projet'!$A$62&gt;35,AI37+AH38-AQ37,IF(A38&lt;'Données projet'!$A$62,$AF$205^A38,IF(A38='Données projet'!$A$62,'Données projet'!$B$62,AI37+AH38-AQ37)))</f>
        <v>86.538461538461519</v>
      </c>
      <c r="AJ38" s="13">
        <f>AI38*VLOOKUP('Données projet'!$B$10,Paramètres!$A$1:$I$89,3,0)*VLOOKUP('Données projet'!$B$10,Paramètres!$A$1:$I$89,5,0)</f>
        <v>90.449999999999989</v>
      </c>
      <c r="AK38" s="13">
        <f t="shared" si="35"/>
        <v>24.673722634554377</v>
      </c>
      <c r="AL38" s="20">
        <f t="shared" si="4"/>
        <v>200.50715025518218</v>
      </c>
      <c r="AM38" s="59">
        <f t="shared" si="5"/>
        <v>493.8404835885155</v>
      </c>
      <c r="AN38" s="59">
        <f ca="1">AVERAGE(OFFSET($AM$3,0,0,'Données projet'!$E$10+1,1))-AVERAGE(OFFSET($H$3,0,0,'Données projet'!$E$10+1,1))</f>
        <v>239.26156489359892</v>
      </c>
      <c r="AO38" s="59">
        <f t="shared" si="36"/>
        <v>213.97034450798111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12.820512820512819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0.215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11.252724522259671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11.252724522259671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172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172.00000000000003</v>
      </c>
      <c r="BE38" s="13">
        <f>BD38*VLOOKUP('Données projet'!$B$11,Paramètres!$A$1:$I$89,3,0)*VLOOKUP('Données projet'!$B$11,Paramètres!$A$1:$I$89,5,0)</f>
        <v>150.25920000000005</v>
      </c>
      <c r="BF38" s="13">
        <f t="shared" si="37"/>
        <v>38.637483830798729</v>
      </c>
      <c r="BG38" s="20">
        <f t="shared" si="7"/>
        <v>328.99505767197456</v>
      </c>
      <c r="BH38" s="59">
        <f t="shared" si="8"/>
        <v>622.32839100530782</v>
      </c>
      <c r="BI38" s="59">
        <f ca="1">AVERAGE(OFFSET($BH$3,0,0,'Données projet'!$E$11+1,1))-AVERAGE(OFFSET($H$3,0,0,'Données projet'!$E$11+1,1))</f>
        <v>324.86930206492627</v>
      </c>
      <c r="BJ38" s="59">
        <f t="shared" si="38"/>
        <v>317.03005098025352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0.13250000000000001</v>
      </c>
      <c r="BN38" s="16">
        <f>IF(ISNA(VLOOKUP(A38,'Données projet'!$A$87:$I$107,6,0)),0%,VLOOKUP(A38,'Données projet'!$A$87:$I$107,6,0)*VLOOKUP('Données projet'!$B$11,Paramètres!$A$1:$I$89,7,0))</f>
        <v>0.13250000000000001</v>
      </c>
      <c r="BO38" s="16">
        <f>IF(ISNA(VLOOKUP(A38,'Données projet'!$A$87:$I$107,7,0)),0%,VLOOKUP(A38,'Données projet'!$A$87:$I$107,7,0))</f>
        <v>0.25</v>
      </c>
      <c r="BP38" s="21">
        <f>EXP(-LN(2)/35)*BP37+(1-EXP(-LN(2)/35))/(LN(2)/35)*BL38*BM38*VLOOKUP('Données projet'!$B$11,Paramètres!$A$1:$I$89,3,0)*0.475*44/12</f>
        <v>3.5828914064075454</v>
      </c>
      <c r="BQ38" s="21">
        <f>EXP(-LN(2)/25)*BQ37+(1-EXP(-LN(2)/25))/(LN(2)/25)*Calculateur!BL38*Calculateur!BN38*VLOOKUP('Données projet'!$B$11,Paramètres!$A$1:$I$89,3,0)*0.475*44/12</f>
        <v>12.832812162538419</v>
      </c>
      <c r="BR38" s="21">
        <f>EXP(-LN(2)/2)*BR37+(1-EXP(-LN(2)/2))/(LN(2)/2)*BL38*BO38*VLOOKUP('Données projet'!$B$11,Paramètres!$A$1:$I$89,3,0)*0.475*44/12</f>
        <v>7.0050326203530346</v>
      </c>
      <c r="BS38" s="22">
        <f t="shared" si="9"/>
        <v>23.420736189298999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3.3603333333333336</v>
      </c>
      <c r="BY38" s="12">
        <f>IF('Données projet'!$A$114&gt;35,BY37+BX38-CG37,IF(A38&lt;'Données projet'!$A$114,$BV$205^A38,IF(A38='Données projet'!$A$114,'Données projet'!$B$114,BY37+BX38-CG37)))</f>
        <v>117.61166666666665</v>
      </c>
      <c r="BZ38" s="13">
        <f>BY38*VLOOKUP('Données projet'!$B$12,Paramètres!$A$1:$I$89,3,0)*VLOOKUP('Données projet'!$B$12,Paramètres!$A$1:$I$89,5,0)</f>
        <v>133.93616599999999</v>
      </c>
      <c r="CA38" s="13">
        <f t="shared" si="39"/>
        <v>34.904306731546029</v>
      </c>
      <c r="CB38" s="20">
        <f t="shared" si="10"/>
        <v>294.06382334077597</v>
      </c>
      <c r="CC38" s="59">
        <f t="shared" si="11"/>
        <v>587.39715667410928</v>
      </c>
      <c r="CD38" s="59">
        <f ca="1">AVERAGE(OFFSET($CC$3,0,0,'Données projet'!$E$12+1,1))-AVERAGE(OFFSET($H$3,0,0,'Données projet'!$E$12+1,1))</f>
        <v>593.28343396240075</v>
      </c>
      <c r="CE38" s="59">
        <f t="shared" si="40"/>
        <v>289.66477662068695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4.0942857142857143</v>
      </c>
      <c r="CT38" s="12">
        <f>IF('Données projet'!$A$140&gt;35,CT37+CS38-DB37,IF(A38&lt;'Données projet'!$A$140,$CQ$205^A38,IF(A38='Données projet'!$A$140,'Données projet'!$B$140,CT37+CS38-DB37)))</f>
        <v>143.3000000000001</v>
      </c>
      <c r="CU38" s="17">
        <f>CT38*VLOOKUP('Données projet'!$B$13,Paramètres!$A$1:$I$89,3,0)*VLOOKUP('Données projet'!$B$13,Paramètres!$A$1:$I$89,5,0)</f>
        <v>154.24812000000009</v>
      </c>
      <c r="CV38" s="13">
        <f t="shared" si="41"/>
        <v>39.542411416737707</v>
      </c>
      <c r="CW38" s="20">
        <f t="shared" si="13"/>
        <v>337.51850888415163</v>
      </c>
      <c r="CX38" s="59">
        <f t="shared" si="14"/>
        <v>630.851842217485</v>
      </c>
      <c r="CY38" s="59">
        <f ca="1">AVERAGE(OFFSET($CX$3,0,0,'Données projet'!$E$13+1,1))-AVERAGE(OFFSET($H$3,0,0,'Données projet'!$E$13+1,1))</f>
        <v>747.18304127457918</v>
      </c>
      <c r="CZ38" s="59">
        <f t="shared" si="42"/>
        <v>327.03701004966723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206</v>
      </c>
      <c r="DM38" s="12">
        <f>VLOOKUP(A38,'Données projet'!$A$165:$I$185,9,0)</f>
        <v>12.8</v>
      </c>
      <c r="DN38" s="12">
        <f t="array" ref="DN38">INDEX(DM:DM,MIN(IF(ISNUMBER(DM38:DM234),ROW(DM38:DM234),"")))</f>
        <v>12.8</v>
      </c>
      <c r="DO38" s="12">
        <f>IF('Données projet'!$A$166&gt;35,DO37+DN38-DW37,IF(A38&lt;'Données projet'!$A$166,$DL$205^A38,IF(A38='Données projet'!$A$166,'Données projet'!$B$166,DO37+DN38-DW37)))</f>
        <v>205.99999999999997</v>
      </c>
      <c r="DP38" s="17">
        <f>DO38*VLOOKUP('Données projet'!$B$14,Paramètres!$A$1:$I$89,3,0)*VLOOKUP('Données projet'!$B$14,Paramètres!$A$1:$I$89,5,0)</f>
        <v>163.89359999999999</v>
      </c>
      <c r="DQ38" s="13">
        <f t="shared" si="43"/>
        <v>41.71949506642347</v>
      </c>
      <c r="DR38" s="20">
        <f t="shared" si="16"/>
        <v>358.10947390735419</v>
      </c>
      <c r="DS38" s="59">
        <f t="shared" si="17"/>
        <v>651.44280724068744</v>
      </c>
      <c r="DT38" s="59">
        <f ca="1">AVERAGE(OFFSET($DS$3,0,0,'Données projet'!$E$14+1,1))-AVERAGE(OFFSET($H$3,0,0,'Données projet'!$E$14+1,1))</f>
        <v>353.37479213497227</v>
      </c>
      <c r="DU38" s="59">
        <f t="shared" si="44"/>
        <v>345.4750813433123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35</v>
      </c>
      <c r="DX38" s="16">
        <f>IF(ISNA(VLOOKUP(A38,'Données projet'!$A$165:$I$185,5,0)),0%,VLOOKUP(A38,'Données projet'!$A$165:$I$185,5,0)*VLOOKUP('Données projet'!$B$14,Paramètres!$A$1:$I$89,7,0))</f>
        <v>0.13250000000000001</v>
      </c>
      <c r="DY38" s="16">
        <f>IF(ISNA(VLOOKUP(A38,'Données projet'!$A$165:$I$185,6,0)),0%,VLOOKUP(A38,'Données projet'!$A$165:$I$185,6,0)*VLOOKUP('Données projet'!$B$14,Paramètres!$A$1:$I$89,7,0))</f>
        <v>0.13250000000000001</v>
      </c>
      <c r="DZ38" s="16">
        <f>IF(ISNA(VLOOKUP(A38,'Données projet'!$A$165:$I$185,7,0)),0%,VLOOKUP(A38,'Données projet'!$A$165:$I$185,7,0))</f>
        <v>0.25</v>
      </c>
      <c r="EA38" s="21">
        <f>EXP(-LN(2)/35)*EA37+(1-EXP(-LN(2)/35))/(LN(2)/35)*DW38*DX38*VLOOKUP('Données projet'!$B$14,Paramètres!$A$1:$I$89,3,0)*0.475*44/12</f>
        <v>7.7729474982948918</v>
      </c>
      <c r="EB38" s="21">
        <f>EXP(-LN(2)/25)*EB37+(1-EXP(-LN(2)/25))/(LN(2)/25)*Calculateur!DW38*Calculateur!DY38*VLOOKUP('Données projet'!$B$14,Paramètres!$A$1:$I$89,3,0)*0.475*44/12</f>
        <v>15.492138767646864</v>
      </c>
      <c r="EC38" s="21">
        <f>EXP(-LN(2)/2)*EC37+(1-EXP(-LN(2)/2))/(LN(2)/2)*DW38*DZ38*VLOOKUP('Données projet'!$B$14,Paramètres!$A$1:$I$89,3,0)*0.475*44/12</f>
        <v>7.9769074139248364</v>
      </c>
      <c r="ED38" s="22">
        <f t="shared" si="18"/>
        <v>31.241993679866589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18.265714285714285</v>
      </c>
      <c r="EJ38" s="12">
        <f>IF('Données projet'!$A$192&gt;35,EJ37+EI38-ER37,IF(A38&lt;'Données projet'!$A$192,$EG$205^A38,IF(A38='Données projet'!$A$192,'Données projet'!$B$192,EJ37+EI38-ER37)))</f>
        <v>639.29999999999984</v>
      </c>
      <c r="EK38" s="17">
        <f>EJ38*VLOOKUP('Données projet'!$B$15,Paramètres!$A$1:$I$89,3,0)*VLOOKUP('Données projet'!$B$15,Paramètres!$A$1:$I$89,5,0)</f>
        <v>299.19239999999991</v>
      </c>
      <c r="EL38" s="13">
        <f t="shared" si="45"/>
        <v>71.00713294321973</v>
      </c>
      <c r="EM38" s="20">
        <f t="shared" si="19"/>
        <v>644.76418654277415</v>
      </c>
      <c r="EN38" s="59">
        <f t="shared" si="20"/>
        <v>938.09751987610753</v>
      </c>
      <c r="EO38" s="59">
        <f ca="1">AVERAGE(OFFSET($EN$3,0,0,'Données projet'!$E$15+1,1))-AVERAGE(OFFSET($H$3,0,0,'Données projet'!$E$15+1,1))</f>
        <v>433.05041777893922</v>
      </c>
      <c r="EP38" s="59">
        <f t="shared" si="46"/>
        <v>591.24088611958996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63.46153846153846</v>
      </c>
      <c r="FC38" s="12">
        <f>VLOOKUP(A38,'Données projet'!$A$217:$I$237,9,0)</f>
        <v>3.0769230769230775</v>
      </c>
      <c r="FD38" s="12">
        <f t="array" ref="FD38">INDEX(FC:FC,MIN(IF(ISNUMBER(FC38:FC234),ROW(FC38:FC234),"")))</f>
        <v>3.0769230769230775</v>
      </c>
      <c r="FE38" s="12">
        <f>IF('Données projet'!$A$218&gt;35,FE37+FD38-FM37,IF(A38&lt;'Données projet'!$A$218,$FB$205^A38,IF(A38='Données projet'!$A$218,'Données projet'!$B$218,FE37+FD38-FM37)))</f>
        <v>63.46153846153846</v>
      </c>
      <c r="FF38" s="17">
        <f>FE38*VLOOKUP('Données projet'!$B$16,Paramètres!$A$1:$I$89,3,0)*VLOOKUP('Données projet'!$B$16,Paramètres!$A$1:$I$89,5,0)</f>
        <v>51.480000000000004</v>
      </c>
      <c r="FG38" s="13">
        <f t="shared" si="47"/>
        <v>14.995324806875232</v>
      </c>
      <c r="FH38" s="20">
        <f t="shared" si="22"/>
        <v>115.77785737197435</v>
      </c>
      <c r="FI38" s="59">
        <f t="shared" si="23"/>
        <v>409.11119070530765</v>
      </c>
      <c r="FJ38" s="59">
        <f ca="1">AVERAGE(OFFSET($FI$3,0,0,'Données projet'!$E$16+1,1))-AVERAGE(OFFSET($H$3,0,0,'Données projet'!$E$16+1,1))</f>
        <v>159.4660488566085</v>
      </c>
      <c r="FK38" s="59">
        <f t="shared" si="48"/>
        <v>135.33030558297088</v>
      </c>
      <c r="FL38" s="15">
        <f>IF(ISNA(VLOOKUP(A38,'Données projet'!$A$217:$I$237,3,0)),0,VLOOKUP(A38,'Données projet'!$A$217:$I$237,3,0))</f>
        <v>5</v>
      </c>
      <c r="FM38" s="15">
        <f>IF(ISNA(VLOOKUP(A38,'Données projet'!$A$217:$I$237,4,0)),0,VLOOKUP(A38,'Données projet'!$A$217:$I$237,4,0))</f>
        <v>6.4102564102564097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0.1075</v>
      </c>
      <c r="FP38" s="16">
        <f>IF(ISNA(VLOOKUP(A38,'Données projet'!$A$217:$I$237,7,0)),0%,VLOOKUP(A38,'Données projet'!$A$217:$I$237,7,0))</f>
        <v>0.25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1.8364556178416365</v>
      </c>
      <c r="FS38" s="21">
        <f>EXP(-LN(2)/2)*FS37+(1-EXP(-LN(2)/2))/(LN(2)/2)*FM38*FP38*VLOOKUP('Données projet'!$B$16,Paramètres!$A$1:$I$89,3,0)*0.475*44/12</f>
        <v>1.4584964803789129</v>
      </c>
      <c r="FT38" s="22">
        <f t="shared" si="24"/>
        <v>3.2949520982205494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4.0942857142857143</v>
      </c>
      <c r="N39" s="13">
        <f>IF('Données projet'!$A$36&gt;35,N38+M39-V38,IF(A39&lt;'Données projet'!$A$36,$K$205^A39,IF(A39='Données projet'!$A$36,'Données projet'!$B$36,N38+M39-V38)))</f>
        <v>147.39428571428581</v>
      </c>
      <c r="O39" s="13">
        <f>N39*VLOOKUP('Données projet'!$B$9,Paramètres!$A$1:$I$89,3,0)*VLOOKUP('Données projet'!$B$9,Paramètres!$A$1:$I$89,5,0)</f>
        <v>149.45780571428583</v>
      </c>
      <c r="P39" s="13">
        <f t="shared" si="33"/>
        <v>38.455344067865383</v>
      </c>
      <c r="Q39" s="20">
        <f t="shared" si="53"/>
        <v>327.2820692039133</v>
      </c>
      <c r="R39" s="59">
        <f t="shared" si="0"/>
        <v>620.61540253724661</v>
      </c>
      <c r="S39" s="59">
        <f ca="1">AVERAGE(OFFSET($R$3,0,0,'Données projet'!$E$9+1,1))-AVERAGE(OFFSET($H$3,0,0,'Données projet'!$E$9+1,1))</f>
        <v>706.69239849991595</v>
      </c>
      <c r="T39" s="59">
        <f t="shared" si="34"/>
        <v>310.59887275116529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4.4871794871794863</v>
      </c>
      <c r="AI39" s="13">
        <f>IF('Données projet'!$A$62&gt;35,AI38+AH39-AQ38,IF(A39&lt;'Données projet'!$A$62,$AF$205^A39,IF(A39='Données projet'!$A$62,'Données projet'!$B$62,AI38+AH39-AQ38)))</f>
        <v>78.20512820512819</v>
      </c>
      <c r="AJ39" s="13">
        <f>AI39*VLOOKUP('Données projet'!$B$10,Paramètres!$A$1:$I$89,3,0)*VLOOKUP('Données projet'!$B$10,Paramètres!$A$1:$I$89,5,0)</f>
        <v>81.739999999999995</v>
      </c>
      <c r="AK39" s="13">
        <f t="shared" si="35"/>
        <v>22.56208894179845</v>
      </c>
      <c r="AL39" s="20">
        <f t="shared" si="4"/>
        <v>181.65947157363226</v>
      </c>
      <c r="AM39" s="59">
        <f t="shared" si="5"/>
        <v>474.9928049069656</v>
      </c>
      <c r="AN39" s="59">
        <f ca="1">AVERAGE(OFFSET($AM$3,0,0,'Données projet'!$E$10+1,1))-AVERAGE(OFFSET($H$3,0,0,'Données projet'!$E$10+1,1))</f>
        <v>239.26156489359892</v>
      </c>
      <c r="AO39" s="59">
        <f t="shared" si="36"/>
        <v>213.97034450798111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10.945018178443416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10.945018178443416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153.60000000000002</v>
      </c>
      <c r="BE39" s="13">
        <f>BD39*VLOOKUP('Données projet'!$B$11,Paramètres!$A$1:$I$89,3,0)*VLOOKUP('Données projet'!$B$11,Paramètres!$A$1:$I$89,5,0)</f>
        <v>134.18496000000005</v>
      </c>
      <c r="BF39" s="13">
        <f t="shared" si="37"/>
        <v>34.961590270648216</v>
      </c>
      <c r="BG39" s="20">
        <f t="shared" si="7"/>
        <v>294.59690838804573</v>
      </c>
      <c r="BH39" s="59">
        <f t="shared" si="8"/>
        <v>587.93024172137905</v>
      </c>
      <c r="BI39" s="59">
        <f ca="1">AVERAGE(OFFSET($BH$3,0,0,'Données projet'!$E$11+1,1))-AVERAGE(OFFSET($H$3,0,0,'Données projet'!$E$11+1,1))</f>
        <v>324.86930206492627</v>
      </c>
      <c r="BJ39" s="59">
        <f t="shared" si="38"/>
        <v>317.03005098025352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3.5126330912758661</v>
      </c>
      <c r="BQ39" s="21">
        <f>EXP(-LN(2)/25)*BQ38+(1-EXP(-LN(2)/25))/(LN(2)/25)*Calculateur!BL39*Calculateur!BN39*VLOOKUP('Données projet'!$B$11,Paramètres!$A$1:$I$89,3,0)*0.475*44/12</f>
        <v>12.481898239105544</v>
      </c>
      <c r="BR39" s="21">
        <f>EXP(-LN(2)/2)*BR38+(1-EXP(-LN(2)/2))/(LN(2)/2)*BL39*BO39*VLOOKUP('Données projet'!$B$11,Paramètres!$A$1:$I$89,3,0)*0.475*44/12</f>
        <v>4.9533060682846015</v>
      </c>
      <c r="BS39" s="22">
        <f t="shared" si="9"/>
        <v>20.94783739866601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3.3603333333333336</v>
      </c>
      <c r="BY39" s="12">
        <f>IF('Données projet'!$A$114&gt;35,BY38+BX39-CG38,IF(A39&lt;'Données projet'!$A$114,$BV$205^A39,IF(A39='Données projet'!$A$114,'Données projet'!$B$114,BY38+BX39-CG38)))</f>
        <v>120.97199999999998</v>
      </c>
      <c r="BZ39" s="13">
        <f>BY39*VLOOKUP('Données projet'!$B$12,Paramètres!$A$1:$I$89,3,0)*VLOOKUP('Données projet'!$B$12,Paramètres!$A$1:$I$89,5,0)</f>
        <v>137.76291359999996</v>
      </c>
      <c r="CA39" s="13">
        <f t="shared" si="39"/>
        <v>35.784040951312875</v>
      </c>
      <c r="CB39" s="20">
        <f t="shared" si="10"/>
        <v>302.26094584353649</v>
      </c>
      <c r="CC39" s="59">
        <f t="shared" si="11"/>
        <v>595.5942791768698</v>
      </c>
      <c r="CD39" s="59">
        <f ca="1">AVERAGE(OFFSET($CC$3,0,0,'Données projet'!$E$12+1,1))-AVERAGE(OFFSET($H$3,0,0,'Données projet'!$E$12+1,1))</f>
        <v>593.28343396240075</v>
      </c>
      <c r="CE39" s="59">
        <f t="shared" si="40"/>
        <v>289.66477662068695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4.0942857142857143</v>
      </c>
      <c r="CT39" s="12">
        <f>IF('Données projet'!$A$140&gt;35,CT38+CS39-DB38,IF(A39&lt;'Données projet'!$A$140,$CQ$205^A39,IF(A39='Données projet'!$A$140,'Données projet'!$B$140,CT38+CS39-DB38)))</f>
        <v>147.39428571428581</v>
      </c>
      <c r="CU39" s="17">
        <f>CT39*VLOOKUP('Données projet'!$B$13,Paramètres!$A$1:$I$89,3,0)*VLOOKUP('Données projet'!$B$13,Paramètres!$A$1:$I$89,5,0)</f>
        <v>158.65520914285725</v>
      </c>
      <c r="CV39" s="13">
        <f t="shared" si="41"/>
        <v>40.539045233961282</v>
      </c>
      <c r="CW39" s="20">
        <f t="shared" si="13"/>
        <v>346.92999303962557</v>
      </c>
      <c r="CX39" s="59">
        <f t="shared" si="14"/>
        <v>640.26332637295889</v>
      </c>
      <c r="CY39" s="59">
        <f ca="1">AVERAGE(OFFSET($CX$3,0,0,'Données projet'!$E$13+1,1))-AVERAGE(OFFSET($H$3,0,0,'Données projet'!$E$13+1,1))</f>
        <v>747.18304127457918</v>
      </c>
      <c r="CZ39" s="59">
        <f t="shared" si="42"/>
        <v>327.03701004966723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11.4</v>
      </c>
      <c r="DO39" s="12">
        <f>IF('Données projet'!$A$166&gt;35,DO38+DN39-DW38,IF(A39&lt;'Données projet'!$A$166,$DL$205^A39,IF(A39='Données projet'!$A$166,'Données projet'!$B$166,DO38+DN39-DW38)))</f>
        <v>182.39999999999998</v>
      </c>
      <c r="DP39" s="17">
        <f>DO39*VLOOKUP('Données projet'!$B$14,Paramètres!$A$1:$I$89,3,0)*VLOOKUP('Données projet'!$B$14,Paramètres!$A$1:$I$89,5,0)</f>
        <v>145.11743999999999</v>
      </c>
      <c r="DQ39" s="13">
        <f t="shared" si="43"/>
        <v>37.466878406916173</v>
      </c>
      <c r="DR39" s="20">
        <f t="shared" si="16"/>
        <v>318.00102122537896</v>
      </c>
      <c r="DS39" s="59">
        <f t="shared" si="17"/>
        <v>611.33435455871222</v>
      </c>
      <c r="DT39" s="59">
        <f ca="1">AVERAGE(OFFSET($DS$3,0,0,'Données projet'!$E$14+1,1))-AVERAGE(OFFSET($H$3,0,0,'Données projet'!$E$14+1,1))</f>
        <v>353.37479213497227</v>
      </c>
      <c r="DU39" s="59">
        <f t="shared" si="44"/>
        <v>345.4750813433123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7.620524738883165</v>
      </c>
      <c r="EB39" s="21">
        <f>EXP(-LN(2)/25)*EB38+(1-EXP(-LN(2)/25))/(LN(2)/25)*Calculateur!DW39*Calculateur!DY39*VLOOKUP('Données projet'!$B$14,Paramètres!$A$1:$I$89,3,0)*0.475*44/12</f>
        <v>15.068505418349391</v>
      </c>
      <c r="EC39" s="21">
        <f>EXP(-LN(2)/2)*EC38+(1-EXP(-LN(2)/2))/(LN(2)/2)*DW39*DZ39*VLOOKUP('Données projet'!$B$14,Paramètres!$A$1:$I$89,3,0)*0.475*44/12</f>
        <v>5.6405253252834981</v>
      </c>
      <c r="ED39" s="22">
        <f t="shared" si="18"/>
        <v>28.329555482516053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18.265714285714285</v>
      </c>
      <c r="EJ39" s="12">
        <f>IF('Données projet'!$A$192&gt;35,EJ38+EI39-ER38,IF(A39&lt;'Données projet'!$A$192,$EG$205^A39,IF(A39='Données projet'!$A$192,'Données projet'!$B$192,EJ38+EI39-ER38)))</f>
        <v>657.56571428571408</v>
      </c>
      <c r="EK39" s="17">
        <f>EJ39*VLOOKUP('Données projet'!$B$15,Paramètres!$A$1:$I$89,3,0)*VLOOKUP('Données projet'!$B$15,Paramètres!$A$1:$I$89,5,0)</f>
        <v>307.74075428571422</v>
      </c>
      <c r="EL39" s="13">
        <f t="shared" si="45"/>
        <v>72.796809076257617</v>
      </c>
      <c r="EM39" s="20">
        <f t="shared" si="19"/>
        <v>662.76958952210089</v>
      </c>
      <c r="EN39" s="59">
        <f t="shared" si="20"/>
        <v>956.10292285543414</v>
      </c>
      <c r="EO39" s="59">
        <f ca="1">AVERAGE(OFFSET($EN$3,0,0,'Données projet'!$E$15+1,1))-AVERAGE(OFFSET($H$3,0,0,'Données projet'!$E$15+1,1))</f>
        <v>433.05041777893922</v>
      </c>
      <c r="EP39" s="59">
        <f t="shared" si="46"/>
        <v>591.24088611958996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3.0769230769230758</v>
      </c>
      <c r="FE39" s="12">
        <f>IF('Données projet'!$A$218&gt;35,FE38+FD39-FM38,IF(A39&lt;'Données projet'!$A$218,$FB$205^A39,IF(A39='Données projet'!$A$218,'Données projet'!$B$218,FE38+FD39-FM38)))</f>
        <v>60.128205128205124</v>
      </c>
      <c r="FF39" s="17">
        <f>FE39*VLOOKUP('Données projet'!$B$16,Paramètres!$A$1:$I$89,3,0)*VLOOKUP('Données projet'!$B$16,Paramètres!$A$1:$I$89,5,0)</f>
        <v>48.776000000000003</v>
      </c>
      <c r="FG39" s="13">
        <f t="shared" si="47"/>
        <v>14.297201805363601</v>
      </c>
      <c r="FH39" s="20">
        <f t="shared" si="22"/>
        <v>109.85249314434161</v>
      </c>
      <c r="FI39" s="59">
        <f t="shared" si="23"/>
        <v>403.18582647767494</v>
      </c>
      <c r="FJ39" s="59">
        <f ca="1">AVERAGE(OFFSET($FI$3,0,0,'Données projet'!$E$16+1,1))-AVERAGE(OFFSET($H$3,0,0,'Données projet'!$E$16+1,1))</f>
        <v>159.4660488566085</v>
      </c>
      <c r="FK39" s="59">
        <f t="shared" si="48"/>
        <v>135.33030558297088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1.7862376423967532</v>
      </c>
      <c r="FS39" s="21">
        <f>EXP(-LN(2)/2)*FS38+(1-EXP(-LN(2)/2))/(LN(2)/2)*FM39*FP39*VLOOKUP('Données projet'!$B$16,Paramètres!$A$1:$I$89,3,0)*0.475*44/12</f>
        <v>1.0313127516126417</v>
      </c>
      <c r="FT39" s="22">
        <f t="shared" si="24"/>
        <v>2.8175503940093947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4.0942857142857143</v>
      </c>
      <c r="N40" s="13">
        <f>IF('Données projet'!$A$36&gt;35,N39+M40-V39,IF(A40&lt;'Données projet'!$A$36,$K$205^A40,IF(A40='Données projet'!$A$36,'Données projet'!$B$36,N39+M40-V39)))</f>
        <v>151.48857142857153</v>
      </c>
      <c r="O40" s="13">
        <f>N40*VLOOKUP('Données projet'!$B$9,Paramètres!$A$1:$I$89,3,0)*VLOOKUP('Données projet'!$B$9,Paramètres!$A$1:$I$89,5,0)</f>
        <v>153.60941142857155</v>
      </c>
      <c r="P40" s="13">
        <f t="shared" si="33"/>
        <v>39.397698754311712</v>
      </c>
      <c r="Q40" s="20">
        <f t="shared" si="53"/>
        <v>336.15405023518832</v>
      </c>
      <c r="R40" s="59">
        <f t="shared" si="0"/>
        <v>629.48738356852164</v>
      </c>
      <c r="S40" s="59">
        <f ca="1">AVERAGE(OFFSET($R$3,0,0,'Données projet'!$E$9+1,1))-AVERAGE(OFFSET($H$3,0,0,'Données projet'!$E$9+1,1))</f>
        <v>706.69239849991595</v>
      </c>
      <c r="T40" s="59">
        <f t="shared" si="34"/>
        <v>310.59887275116529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4.4871794871794863</v>
      </c>
      <c r="AI40" s="13">
        <f>IF('Données projet'!$A$62&gt;35,AI39+AH40-AQ39,IF(A40&lt;'Données projet'!$A$62,$AF$205^A40,IF(A40='Données projet'!$A$62,'Données projet'!$B$62,AI39+AH40-AQ39)))</f>
        <v>82.692307692307679</v>
      </c>
      <c r="AJ40" s="13">
        <f>AI40*VLOOKUP('Données projet'!$B$10,Paramètres!$A$1:$I$89,3,0)*VLOOKUP('Données projet'!$B$10,Paramètres!$A$1:$I$89,5,0)</f>
        <v>86.429999999999993</v>
      </c>
      <c r="AK40" s="13">
        <f t="shared" si="35"/>
        <v>23.702209286798929</v>
      </c>
      <c r="AL40" s="20">
        <f t="shared" si="4"/>
        <v>191.81359784117478</v>
      </c>
      <c r="AM40" s="59">
        <f t="shared" si="5"/>
        <v>485.1469311745081</v>
      </c>
      <c r="AN40" s="59">
        <f ca="1">AVERAGE(OFFSET($AM$3,0,0,'Données projet'!$E$10+1,1))-AVERAGE(OFFSET($H$3,0,0,'Données projet'!$E$10+1,1))</f>
        <v>239.26156489359892</v>
      </c>
      <c r="AO40" s="59">
        <f t="shared" si="36"/>
        <v>213.97034450798111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10.64572608078039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10.64572608078039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163.20000000000002</v>
      </c>
      <c r="BE40" s="13">
        <f>BD40*VLOOKUP('Données projet'!$B$11,Paramètres!$A$1:$I$89,3,0)*VLOOKUP('Données projet'!$B$11,Paramètres!$A$1:$I$89,5,0)</f>
        <v>142.57152000000005</v>
      </c>
      <c r="BF40" s="13">
        <f t="shared" si="37"/>
        <v>36.885479122455578</v>
      </c>
      <c r="BG40" s="20">
        <f t="shared" si="7"/>
        <v>312.5542734716102</v>
      </c>
      <c r="BH40" s="59">
        <f t="shared" si="8"/>
        <v>605.88760680494352</v>
      </c>
      <c r="BI40" s="59">
        <f ca="1">AVERAGE(OFFSET($BH$3,0,0,'Données projet'!$E$11+1,1))-AVERAGE(OFFSET($H$3,0,0,'Données projet'!$E$11+1,1))</f>
        <v>324.86930206492627</v>
      </c>
      <c r="BJ40" s="59">
        <f t="shared" si="38"/>
        <v>317.03005098025352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3.4437524988505781</v>
      </c>
      <c r="BQ40" s="21">
        <f>EXP(-LN(2)/25)*BQ39+(1-EXP(-LN(2)/25))/(LN(2)/25)*Calculateur!BL40*Calculateur!BN40*VLOOKUP('Données projet'!$B$11,Paramètres!$A$1:$I$89,3,0)*0.475*44/12</f>
        <v>12.140580075362703</v>
      </c>
      <c r="BR40" s="21">
        <f>EXP(-LN(2)/2)*BR39+(1-EXP(-LN(2)/2))/(LN(2)/2)*BL40*BO40*VLOOKUP('Données projet'!$B$11,Paramètres!$A$1:$I$89,3,0)*0.475*44/12</f>
        <v>3.5025163101765182</v>
      </c>
      <c r="BS40" s="22">
        <f t="shared" si="9"/>
        <v>19.086848884389799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3.3603333333333336</v>
      </c>
      <c r="BY40" s="12">
        <f>IF('Données projet'!$A$114&gt;35,BY39+BX40-CG39,IF(A40&lt;'Données projet'!$A$114,$BV$205^A40,IF(A40='Données projet'!$A$114,'Données projet'!$B$114,BY39+BX40-CG39)))</f>
        <v>124.33233333333331</v>
      </c>
      <c r="BZ40" s="13">
        <f>BY40*VLOOKUP('Données projet'!$B$12,Paramètres!$A$1:$I$89,3,0)*VLOOKUP('Données projet'!$B$12,Paramètres!$A$1:$I$89,5,0)</f>
        <v>141.58966119999997</v>
      </c>
      <c r="CA40" s="13">
        <f t="shared" si="39"/>
        <v>36.66093490475005</v>
      </c>
      <c r="CB40" s="20">
        <f t="shared" si="10"/>
        <v>310.45312154910624</v>
      </c>
      <c r="CC40" s="59">
        <f t="shared" si="11"/>
        <v>603.78645488243956</v>
      </c>
      <c r="CD40" s="59">
        <f ca="1">AVERAGE(OFFSET($CC$3,0,0,'Données projet'!$E$12+1,1))-AVERAGE(OFFSET($H$3,0,0,'Données projet'!$E$12+1,1))</f>
        <v>593.28343396240075</v>
      </c>
      <c r="CE40" s="59">
        <f t="shared" si="40"/>
        <v>289.66477662068695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4.0942857142857143</v>
      </c>
      <c r="CT40" s="12">
        <f>IF('Données projet'!$A$140&gt;35,CT39+CS40-DB39,IF(A40&lt;'Données projet'!$A$140,$CQ$205^A40,IF(A40='Données projet'!$A$140,'Données projet'!$B$140,CT39+CS40-DB39)))</f>
        <v>151.48857142857153</v>
      </c>
      <c r="CU40" s="17">
        <f>CT40*VLOOKUP('Données projet'!$B$13,Paramètres!$A$1:$I$89,3,0)*VLOOKUP('Données projet'!$B$13,Paramètres!$A$1:$I$89,5,0)</f>
        <v>163.06229828571438</v>
      </c>
      <c r="CV40" s="13">
        <f t="shared" si="41"/>
        <v>41.53246136860475</v>
      </c>
      <c r="CW40" s="20">
        <f t="shared" si="13"/>
        <v>356.33587306460578</v>
      </c>
      <c r="CX40" s="59">
        <f t="shared" si="14"/>
        <v>649.66920639793909</v>
      </c>
      <c r="CY40" s="59">
        <f ca="1">AVERAGE(OFFSET($CX$3,0,0,'Données projet'!$E$13+1,1))-AVERAGE(OFFSET($H$3,0,0,'Données projet'!$E$13+1,1))</f>
        <v>747.18304127457918</v>
      </c>
      <c r="CZ40" s="59">
        <f t="shared" si="42"/>
        <v>327.03701004966723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11.4</v>
      </c>
      <c r="DO40" s="12">
        <f>IF('Données projet'!$A$166&gt;35,DO39+DN40-DW39,IF(A40&lt;'Données projet'!$A$166,$DL$205^A40,IF(A40='Données projet'!$A$166,'Données projet'!$B$166,DO39+DN40-DW39)))</f>
        <v>193.79999999999998</v>
      </c>
      <c r="DP40" s="17">
        <f>DO40*VLOOKUP('Données projet'!$B$14,Paramètres!$A$1:$I$89,3,0)*VLOOKUP('Données projet'!$B$14,Paramètres!$A$1:$I$89,5,0)</f>
        <v>154.18727999999999</v>
      </c>
      <c r="DQ40" s="13">
        <f t="shared" si="43"/>
        <v>39.528629863903078</v>
      </c>
      <c r="DR40" s="20">
        <f t="shared" si="16"/>
        <v>337.38854301296448</v>
      </c>
      <c r="DS40" s="59">
        <f t="shared" si="17"/>
        <v>630.72187634629779</v>
      </c>
      <c r="DT40" s="59">
        <f ca="1">AVERAGE(OFFSET($DS$3,0,0,'Données projet'!$E$14+1,1))-AVERAGE(OFFSET($H$3,0,0,'Données projet'!$E$14+1,1))</f>
        <v>353.37479213497227</v>
      </c>
      <c r="DU40" s="59">
        <f t="shared" si="44"/>
        <v>345.4750813433123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7.4710908968147987</v>
      </c>
      <c r="EB40" s="21">
        <f>EXP(-LN(2)/25)*EB39+(1-EXP(-LN(2)/25))/(LN(2)/25)*Calculateur!DW40*Calculateur!DY40*VLOOKUP('Données projet'!$B$14,Paramètres!$A$1:$I$89,3,0)*0.475*44/12</f>
        <v>14.656456345266367</v>
      </c>
      <c r="EC40" s="21">
        <f>EXP(-LN(2)/2)*EC39+(1-EXP(-LN(2)/2))/(LN(2)/2)*DW40*DZ40*VLOOKUP('Données projet'!$B$14,Paramètres!$A$1:$I$89,3,0)*0.475*44/12</f>
        <v>3.9884537069624186</v>
      </c>
      <c r="ED40" s="22">
        <f t="shared" si="18"/>
        <v>26.116000949043581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18.265714285714285</v>
      </c>
      <c r="EJ40" s="12">
        <f>IF('Données projet'!$A$192&gt;35,EJ39+EI40-ER39,IF(A40&lt;'Données projet'!$A$192,$EG$205^A40,IF(A40='Données projet'!$A$192,'Données projet'!$B$192,EJ39+EI40-ER39)))</f>
        <v>675.83142857142832</v>
      </c>
      <c r="EK40" s="17">
        <f>EJ40*VLOOKUP('Données projet'!$B$15,Paramètres!$A$1:$I$89,3,0)*VLOOKUP('Données projet'!$B$15,Paramètres!$A$1:$I$89,5,0)</f>
        <v>316.28910857142847</v>
      </c>
      <c r="EL40" s="13">
        <f t="shared" si="45"/>
        <v>74.580707149573144</v>
      </c>
      <c r="EM40" s="20">
        <f t="shared" si="19"/>
        <v>680.7649290474111</v>
      </c>
      <c r="EN40" s="59">
        <f t="shared" si="20"/>
        <v>974.09826238074447</v>
      </c>
      <c r="EO40" s="59">
        <f ca="1">AVERAGE(OFFSET($EN$3,0,0,'Données projet'!$E$15+1,1))-AVERAGE(OFFSET($H$3,0,0,'Données projet'!$E$15+1,1))</f>
        <v>433.05041777893922</v>
      </c>
      <c r="EP40" s="59">
        <f t="shared" si="46"/>
        <v>591.24088611958996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3.0769230769230758</v>
      </c>
      <c r="FE40" s="12">
        <f>IF('Données projet'!$A$218&gt;35,FE39+FD40-FM39,IF(A40&lt;'Données projet'!$A$218,$FB$205^A40,IF(A40='Données projet'!$A$218,'Données projet'!$B$218,FE39+FD40-FM39)))</f>
        <v>63.205128205128197</v>
      </c>
      <c r="FF40" s="17">
        <f>FE40*VLOOKUP('Données projet'!$B$16,Paramètres!$A$1:$I$89,3,0)*VLOOKUP('Données projet'!$B$16,Paramètres!$A$1:$I$89,5,0)</f>
        <v>51.272000000000006</v>
      </c>
      <c r="FG40" s="13">
        <f t="shared" si="47"/>
        <v>14.941777374871691</v>
      </c>
      <c r="FH40" s="20">
        <f t="shared" si="22"/>
        <v>115.32232892790154</v>
      </c>
      <c r="FI40" s="59">
        <f t="shared" si="23"/>
        <v>408.65566226123485</v>
      </c>
      <c r="FJ40" s="59">
        <f ca="1">AVERAGE(OFFSET($FI$3,0,0,'Données projet'!$E$16+1,1))-AVERAGE(OFFSET($H$3,0,0,'Données projet'!$E$16+1,1))</f>
        <v>159.4660488566085</v>
      </c>
      <c r="FK40" s="59">
        <f t="shared" si="48"/>
        <v>135.33030558297088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1.7373928801312588</v>
      </c>
      <c r="FS40" s="21">
        <f>EXP(-LN(2)/2)*FS39+(1-EXP(-LN(2)/2))/(LN(2)/2)*FM40*FP40*VLOOKUP('Données projet'!$B$16,Paramètres!$A$1:$I$89,3,0)*0.475*44/12</f>
        <v>0.72924824018945655</v>
      </c>
      <c r="FT40" s="22">
        <f t="shared" si="24"/>
        <v>2.4666411203207153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4.0942857142857143</v>
      </c>
      <c r="N41" s="13">
        <f>IF('Données projet'!$A$36&gt;35,N40+M41-V40,IF(A41&lt;'Données projet'!$A$36,$K$205^A41,IF(A41='Données projet'!$A$36,'Données projet'!$B$36,N40+M41-V40)))</f>
        <v>155.58285714285725</v>
      </c>
      <c r="O41" s="13">
        <f>N41*VLOOKUP('Données projet'!$B$9,Paramètres!$A$1:$I$89,3,0)*VLOOKUP('Données projet'!$B$9,Paramètres!$A$1:$I$89,5,0)</f>
        <v>157.76101714285727</v>
      </c>
      <c r="P41" s="13">
        <f t="shared" si="33"/>
        <v>40.337093121354812</v>
      </c>
      <c r="Q41" s="20">
        <f t="shared" si="53"/>
        <v>345.02087537683605</v>
      </c>
      <c r="R41" s="59">
        <f t="shared" si="0"/>
        <v>638.35420871016936</v>
      </c>
      <c r="S41" s="59">
        <f ca="1">AVERAGE(OFFSET($R$3,0,0,'Données projet'!$E$9+1,1))-AVERAGE(OFFSET($H$3,0,0,'Données projet'!$E$9+1,1))</f>
        <v>706.69239849991595</v>
      </c>
      <c r="T41" s="59">
        <f t="shared" si="34"/>
        <v>310.59887275116529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4.4871794871794863</v>
      </c>
      <c r="AI41" s="13">
        <f>IF('Données projet'!$A$62&gt;35,AI40+AH41-AQ40,IF(A41&lt;'Données projet'!$A$62,$AF$205^A41,IF(A41='Données projet'!$A$62,'Données projet'!$B$62,AI40+AH41-AQ40)))</f>
        <v>87.179487179487168</v>
      </c>
      <c r="AJ41" s="13">
        <f>AI41*VLOOKUP('Données projet'!$B$10,Paramètres!$A$1:$I$89,3,0)*VLOOKUP('Données projet'!$B$10,Paramètres!$A$1:$I$89,5,0)</f>
        <v>91.12</v>
      </c>
      <c r="AK41" s="13">
        <f t="shared" si="35"/>
        <v>24.835147287678563</v>
      </c>
      <c r="AL41" s="20">
        <f t="shared" si="4"/>
        <v>201.95521485937351</v>
      </c>
      <c r="AM41" s="59">
        <f t="shared" si="5"/>
        <v>495.2885481927068</v>
      </c>
      <c r="AN41" s="59">
        <f ca="1">AVERAGE(OFFSET($AM$3,0,0,'Données projet'!$E$10+1,1))-AVERAGE(OFFSET($H$3,0,0,'Données projet'!$E$10+1,1))</f>
        <v>239.26156489359892</v>
      </c>
      <c r="AO41" s="59">
        <f t="shared" si="36"/>
        <v>213.97034450798111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10.354618141267046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10.354618141267046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172.8</v>
      </c>
      <c r="BE41" s="13">
        <f>BD41*VLOOKUP('Données projet'!$B$11,Paramètres!$A$1:$I$89,3,0)*VLOOKUP('Données projet'!$B$11,Paramètres!$A$1:$I$89,5,0)</f>
        <v>150.95808000000002</v>
      </c>
      <c r="BF41" s="13">
        <f t="shared" si="37"/>
        <v>38.796231993724774</v>
      </c>
      <c r="BG41" s="20">
        <f t="shared" si="7"/>
        <v>330.48876005573732</v>
      </c>
      <c r="BH41" s="59">
        <f t="shared" si="8"/>
        <v>623.82209338907069</v>
      </c>
      <c r="BI41" s="59">
        <f ca="1">AVERAGE(OFFSET($BH$3,0,0,'Données projet'!$E$11+1,1))-AVERAGE(OFFSET($H$3,0,0,'Données projet'!$E$11+1,1))</f>
        <v>324.86930206492627</v>
      </c>
      <c r="BJ41" s="59">
        <f t="shared" si="38"/>
        <v>317.03005098025352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3.376222612829737</v>
      </c>
      <c r="BQ41" s="21">
        <f>EXP(-LN(2)/25)*BQ40+(1-EXP(-LN(2)/25))/(LN(2)/25)*Calculateur!BL41*Calculateur!BN41*VLOOKUP('Données projet'!$B$11,Paramètres!$A$1:$I$89,3,0)*0.475*44/12</f>
        <v>11.80859527475655</v>
      </c>
      <c r="BR41" s="21">
        <f>EXP(-LN(2)/2)*BR40+(1-EXP(-LN(2)/2))/(LN(2)/2)*BL41*BO41*VLOOKUP('Données projet'!$B$11,Paramètres!$A$1:$I$89,3,0)*0.475*44/12</f>
        <v>2.4766530341423012</v>
      </c>
      <c r="BS41" s="22">
        <f t="shared" si="9"/>
        <v>17.66147092172859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3.3603333333333336</v>
      </c>
      <c r="BY41" s="12">
        <f>IF('Données projet'!$A$114&gt;35,BY40+BX41-CG40,IF(A41&lt;'Données projet'!$A$114,$BV$205^A41,IF(A41='Données projet'!$A$114,'Données projet'!$B$114,BY40+BX41-CG40)))</f>
        <v>127.69266666666664</v>
      </c>
      <c r="BZ41" s="13">
        <f>BY41*VLOOKUP('Données projet'!$B$12,Paramètres!$A$1:$I$89,3,0)*VLOOKUP('Données projet'!$B$12,Paramètres!$A$1:$I$89,5,0)</f>
        <v>145.41640879999997</v>
      </c>
      <c r="CA41" s="13">
        <f t="shared" si="39"/>
        <v>37.535074177574629</v>
      </c>
      <c r="CB41" s="20">
        <f t="shared" si="10"/>
        <v>318.64049951927569</v>
      </c>
      <c r="CC41" s="59">
        <f t="shared" si="11"/>
        <v>611.97383285260901</v>
      </c>
      <c r="CD41" s="59">
        <f ca="1">AVERAGE(OFFSET($CC$3,0,0,'Données projet'!$E$12+1,1))-AVERAGE(OFFSET($H$3,0,0,'Données projet'!$E$12+1,1))</f>
        <v>593.28343396240075</v>
      </c>
      <c r="CE41" s="59">
        <f t="shared" si="40"/>
        <v>289.66477662068695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4.0942857142857143</v>
      </c>
      <c r="CT41" s="12">
        <f>IF('Données projet'!$A$140&gt;35,CT40+CS41-DB40,IF(A41&lt;'Données projet'!$A$140,$CQ$205^A41,IF(A41='Données projet'!$A$140,'Données projet'!$B$140,CT40+CS41-DB40)))</f>
        <v>155.58285714285725</v>
      </c>
      <c r="CU41" s="17">
        <f>CT41*VLOOKUP('Données projet'!$B$13,Paramètres!$A$1:$I$89,3,0)*VLOOKUP('Données projet'!$B$13,Paramètres!$A$1:$I$89,5,0)</f>
        <v>167.46938742857154</v>
      </c>
      <c r="CV41" s="13">
        <f t="shared" si="41"/>
        <v>42.522756779065304</v>
      </c>
      <c r="CW41" s="20">
        <f t="shared" si="13"/>
        <v>365.7363178283008</v>
      </c>
      <c r="CX41" s="59">
        <f t="shared" si="14"/>
        <v>659.06965116163406</v>
      </c>
      <c r="CY41" s="59">
        <f ca="1">AVERAGE(OFFSET($CX$3,0,0,'Données projet'!$E$13+1,1))-AVERAGE(OFFSET($H$3,0,0,'Données projet'!$E$13+1,1))</f>
        <v>747.18304127457918</v>
      </c>
      <c r="CZ41" s="59">
        <f t="shared" si="42"/>
        <v>327.03701004966723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11.4</v>
      </c>
      <c r="DO41" s="12">
        <f>IF('Données projet'!$A$166&gt;35,DO40+DN41-DW40,IF(A41&lt;'Données projet'!$A$166,$DL$205^A41,IF(A41='Données projet'!$A$166,'Données projet'!$B$166,DO40+DN41-DW40)))</f>
        <v>205.2</v>
      </c>
      <c r="DP41" s="17">
        <f>DO41*VLOOKUP('Données projet'!$B$14,Paramètres!$A$1:$I$89,3,0)*VLOOKUP('Données projet'!$B$14,Paramètres!$A$1:$I$89,5,0)</f>
        <v>163.25712000000001</v>
      </c>
      <c r="DQ41" s="13">
        <f t="shared" si="43"/>
        <v>41.576304038313076</v>
      </c>
      <c r="DR41" s="20">
        <f t="shared" si="16"/>
        <v>356.75154686672863</v>
      </c>
      <c r="DS41" s="59">
        <f t="shared" si="17"/>
        <v>650.08488020006189</v>
      </c>
      <c r="DT41" s="59">
        <f ca="1">AVERAGE(OFFSET($DS$3,0,0,'Données projet'!$E$14+1,1))-AVERAGE(OFFSET($H$3,0,0,'Données projet'!$E$14+1,1))</f>
        <v>353.37479213497227</v>
      </c>
      <c r="DU41" s="59">
        <f t="shared" si="44"/>
        <v>345.4750813433123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7.3245873612437498</v>
      </c>
      <c r="EB41" s="21">
        <f>EXP(-LN(2)/25)*EB40+(1-EXP(-LN(2)/25))/(LN(2)/25)*Calculateur!DW41*Calculateur!DY41*VLOOKUP('Données projet'!$B$14,Paramètres!$A$1:$I$89,3,0)*0.475*44/12</f>
        <v>14.255674775755518</v>
      </c>
      <c r="EC41" s="21">
        <f>EXP(-LN(2)/2)*EC40+(1-EXP(-LN(2)/2))/(LN(2)/2)*DW41*DZ41*VLOOKUP('Données projet'!$B$14,Paramètres!$A$1:$I$89,3,0)*0.475*44/12</f>
        <v>2.8202626626417495</v>
      </c>
      <c r="ED41" s="22">
        <f t="shared" si="18"/>
        <v>24.400524799641016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18.265714285714285</v>
      </c>
      <c r="EJ41" s="12">
        <f>IF('Données projet'!$A$192&gt;35,EJ40+EI41-ER40,IF(A41&lt;'Données projet'!$A$192,$EG$205^A41,IF(A41='Données projet'!$A$192,'Données projet'!$B$192,EJ40+EI41-ER40)))</f>
        <v>694.09714285714256</v>
      </c>
      <c r="EK41" s="17">
        <f>EJ41*VLOOKUP('Données projet'!$B$15,Paramètres!$A$1:$I$89,3,0)*VLOOKUP('Données projet'!$B$15,Paramètres!$A$1:$I$89,5,0)</f>
        <v>324.83746285714273</v>
      </c>
      <c r="EL41" s="13">
        <f t="shared" si="45"/>
        <v>76.359001273382404</v>
      </c>
      <c r="EM41" s="20">
        <f t="shared" si="19"/>
        <v>698.75050836066441</v>
      </c>
      <c r="EN41" s="59">
        <f t="shared" si="20"/>
        <v>992.08384169399778</v>
      </c>
      <c r="EO41" s="59">
        <f ca="1">AVERAGE(OFFSET($EN$3,0,0,'Données projet'!$E$15+1,1))-AVERAGE(OFFSET($H$3,0,0,'Données projet'!$E$15+1,1))</f>
        <v>433.05041777893922</v>
      </c>
      <c r="EP41" s="59">
        <f t="shared" si="46"/>
        <v>591.24088611958996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3.0769230769230758</v>
      </c>
      <c r="FE41" s="12">
        <f>IF('Données projet'!$A$218&gt;35,FE40+FD41-FM40,IF(A41&lt;'Données projet'!$A$218,$FB$205^A41,IF(A41='Données projet'!$A$218,'Données projet'!$B$218,FE40+FD41-FM40)))</f>
        <v>66.28205128205127</v>
      </c>
      <c r="FF41" s="17">
        <f>FE41*VLOOKUP('Données projet'!$B$16,Paramètres!$A$1:$I$89,3,0)*VLOOKUP('Données projet'!$B$16,Paramètres!$A$1:$I$89,5,0)</f>
        <v>53.767999999999994</v>
      </c>
      <c r="FG41" s="13">
        <f t="shared" si="47"/>
        <v>15.582709246136304</v>
      </c>
      <c r="FH41" s="20">
        <f t="shared" si="22"/>
        <v>120.78581860368736</v>
      </c>
      <c r="FI41" s="59">
        <f t="shared" si="23"/>
        <v>414.11915193702066</v>
      </c>
      <c r="FJ41" s="59">
        <f ca="1">AVERAGE(OFFSET($FI$3,0,0,'Données projet'!$E$16+1,1))-AVERAGE(OFFSET($H$3,0,0,'Données projet'!$E$16+1,1))</f>
        <v>159.4660488566085</v>
      </c>
      <c r="FK41" s="59">
        <f t="shared" si="48"/>
        <v>135.33030558297088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1.6898837804585489</v>
      </c>
      <c r="FS41" s="21">
        <f>EXP(-LN(2)/2)*FS40+(1-EXP(-LN(2)/2))/(LN(2)/2)*FM41*FP41*VLOOKUP('Données projet'!$B$16,Paramètres!$A$1:$I$89,3,0)*0.475*44/12</f>
        <v>0.51565637580632095</v>
      </c>
      <c r="FT41" s="22">
        <f t="shared" si="24"/>
        <v>2.20554015626487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4.0942857142857143</v>
      </c>
      <c r="N42" s="13">
        <f>IF('Données projet'!$A$36&gt;35,N41+M42-V41,IF(A42&lt;'Données projet'!$A$36,$K$205^A42,IF(A42='Données projet'!$A$36,'Données projet'!$B$36,N41+M42-V41)))</f>
        <v>159.67714285714297</v>
      </c>
      <c r="O42" s="13">
        <f>N42*VLOOKUP('Données projet'!$B$9,Paramètres!$A$1:$I$89,3,0)*VLOOKUP('Données projet'!$B$9,Paramètres!$A$1:$I$89,5,0)</f>
        <v>161.91262285714299</v>
      </c>
      <c r="P42" s="13">
        <f t="shared" si="33"/>
        <v>41.273614027289312</v>
      </c>
      <c r="Q42" s="20">
        <f t="shared" si="53"/>
        <v>353.88269590705289</v>
      </c>
      <c r="R42" s="59">
        <f t="shared" si="0"/>
        <v>647.21602924038621</v>
      </c>
      <c r="S42" s="59">
        <f ca="1">AVERAGE(OFFSET($R$3,0,0,'Données projet'!$E$9+1,1))-AVERAGE(OFFSET($H$3,0,0,'Données projet'!$E$9+1,1))</f>
        <v>706.69239849991595</v>
      </c>
      <c r="T42" s="59">
        <f t="shared" si="34"/>
        <v>310.59887275116529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4.4871794871794863</v>
      </c>
      <c r="AI42" s="13">
        <f>IF('Données projet'!$A$62&gt;35,AI41+AH42-AQ41,IF(A42&lt;'Données projet'!$A$62,$AF$205^A42,IF(A42='Données projet'!$A$62,'Données projet'!$B$62,AI41+AH42-AQ41)))</f>
        <v>91.666666666666657</v>
      </c>
      <c r="AJ42" s="13">
        <f>AI42*VLOOKUP('Données projet'!$B$10,Paramètres!$A$1:$I$89,3,0)*VLOOKUP('Données projet'!$B$10,Paramètres!$A$1:$I$89,5,0)</f>
        <v>95.81</v>
      </c>
      <c r="AK42" s="13">
        <f t="shared" si="35"/>
        <v>25.961314793499493</v>
      </c>
      <c r="AL42" s="20">
        <f t="shared" si="4"/>
        <v>212.08503993201165</v>
      </c>
      <c r="AM42" s="59">
        <f t="shared" si="5"/>
        <v>505.41837326534494</v>
      </c>
      <c r="AN42" s="59">
        <f ca="1">AVERAGE(OFFSET($AM$3,0,0,'Données projet'!$E$10+1,1))-AVERAGE(OFFSET($H$3,0,0,'Données projet'!$E$10+1,1))</f>
        <v>239.26156489359892</v>
      </c>
      <c r="AO42" s="59">
        <f t="shared" si="36"/>
        <v>213.97034450798111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10.071470563668397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10.071470563668397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182.4</v>
      </c>
      <c r="BE42" s="13">
        <f>BD42*VLOOKUP('Données projet'!$B$11,Paramètres!$A$1:$I$89,3,0)*VLOOKUP('Données projet'!$B$11,Paramètres!$A$1:$I$89,5,0)</f>
        <v>159.34464000000003</v>
      </c>
      <c r="BF42" s="13">
        <f t="shared" si="37"/>
        <v>40.694661837553809</v>
      </c>
      <c r="BG42" s="20">
        <f t="shared" si="7"/>
        <v>348.4017840337396</v>
      </c>
      <c r="BH42" s="59">
        <f t="shared" si="8"/>
        <v>641.73511736707292</v>
      </c>
      <c r="BI42" s="59">
        <f ca="1">AVERAGE(OFFSET($BH$3,0,0,'Données projet'!$E$11+1,1))-AVERAGE(OFFSET($H$3,0,0,'Données projet'!$E$11+1,1))</f>
        <v>324.86930206492627</v>
      </c>
      <c r="BJ42" s="59">
        <f t="shared" si="38"/>
        <v>317.03005098025352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3.3100169466846014</v>
      </c>
      <c r="BQ42" s="21">
        <f>EXP(-LN(2)/25)*BQ41+(1-EXP(-LN(2)/25))/(LN(2)/25)*Calculateur!BL42*Calculateur!BN42*VLOOKUP('Données projet'!$B$11,Paramètres!$A$1:$I$89,3,0)*0.475*44/12</f>
        <v>11.485688615981296</v>
      </c>
      <c r="BR42" s="21">
        <f>EXP(-LN(2)/2)*BR41+(1-EXP(-LN(2)/2))/(LN(2)/2)*BL42*BO42*VLOOKUP('Données projet'!$B$11,Paramètres!$A$1:$I$89,3,0)*0.475*44/12</f>
        <v>1.7512581550882593</v>
      </c>
      <c r="BS42" s="22">
        <f t="shared" si="9"/>
        <v>16.546963717754156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3.3603333333333336</v>
      </c>
      <c r="BY42" s="12">
        <f>IF('Données projet'!$A$114&gt;35,BY41+BX42-CG41,IF(A42&lt;'Données projet'!$A$114,$BV$205^A42,IF(A42='Données projet'!$A$114,'Données projet'!$B$114,BY41+BX42-CG41)))</f>
        <v>131.05299999999997</v>
      </c>
      <c r="BZ42" s="13">
        <f>BY42*VLOOKUP('Données projet'!$B$12,Paramètres!$A$1:$I$89,3,0)*VLOOKUP('Données projet'!$B$12,Paramètres!$A$1:$I$89,5,0)</f>
        <v>149.24315639999995</v>
      </c>
      <c r="CA42" s="13">
        <f t="shared" si="39"/>
        <v>38.406539594463815</v>
      </c>
      <c r="CB42" s="20">
        <f t="shared" si="10"/>
        <v>326.82322052369108</v>
      </c>
      <c r="CC42" s="59">
        <f t="shared" si="11"/>
        <v>620.15655385702439</v>
      </c>
      <c r="CD42" s="59">
        <f ca="1">AVERAGE(OFFSET($CC$3,0,0,'Données projet'!$E$12+1,1))-AVERAGE(OFFSET($H$3,0,0,'Données projet'!$E$12+1,1))</f>
        <v>593.28343396240075</v>
      </c>
      <c r="CE42" s="59">
        <f t="shared" si="40"/>
        <v>289.66477662068695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4.0942857142857143</v>
      </c>
      <c r="CT42" s="12">
        <f>IF('Données projet'!$A$140&gt;35,CT41+CS42-DB41,IF(A42&lt;'Données projet'!$A$140,$CQ$205^A42,IF(A42='Données projet'!$A$140,'Données projet'!$B$140,CT41+CS42-DB41)))</f>
        <v>159.67714285714297</v>
      </c>
      <c r="CU42" s="17">
        <f>CT42*VLOOKUP('Données projet'!$B$13,Paramètres!$A$1:$I$89,3,0)*VLOOKUP('Données projet'!$B$13,Paramètres!$A$1:$I$89,5,0)</f>
        <v>171.8764765714287</v>
      </c>
      <c r="CV42" s="13">
        <f t="shared" si="41"/>
        <v>43.510023030050547</v>
      </c>
      <c r="CW42" s="20">
        <f t="shared" si="13"/>
        <v>375.13148680590967</v>
      </c>
      <c r="CX42" s="59">
        <f t="shared" si="14"/>
        <v>668.46482013924299</v>
      </c>
      <c r="CY42" s="59">
        <f ca="1">AVERAGE(OFFSET($CX$3,0,0,'Données projet'!$E$13+1,1))-AVERAGE(OFFSET($H$3,0,0,'Données projet'!$E$13+1,1))</f>
        <v>747.18304127457918</v>
      </c>
      <c r="CZ42" s="59">
        <f t="shared" si="42"/>
        <v>327.03701004966723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11.4</v>
      </c>
      <c r="DO42" s="12">
        <f>IF('Données projet'!$A$166&gt;35,DO41+DN42-DW41,IF(A42&lt;'Données projet'!$A$166,$DL$205^A42,IF(A42='Données projet'!$A$166,'Données projet'!$B$166,DO41+DN42-DW41)))</f>
        <v>216.6</v>
      </c>
      <c r="DP42" s="17">
        <f>DO42*VLOOKUP('Données projet'!$B$14,Paramètres!$A$1:$I$89,3,0)*VLOOKUP('Données projet'!$B$14,Paramètres!$A$1:$I$89,5,0)</f>
        <v>172.32695999999999</v>
      </c>
      <c r="DQ42" s="13">
        <f t="shared" si="43"/>
        <v>43.61077213808133</v>
      </c>
      <c r="DR42" s="20">
        <f t="shared" si="16"/>
        <v>376.09155014049156</v>
      </c>
      <c r="DS42" s="59">
        <f t="shared" si="17"/>
        <v>669.42488347382482</v>
      </c>
      <c r="DT42" s="59">
        <f ca="1">AVERAGE(OFFSET($DS$3,0,0,'Données projet'!$E$14+1,1))-AVERAGE(OFFSET($H$3,0,0,'Données projet'!$E$14+1,1))</f>
        <v>353.37479213497227</v>
      </c>
      <c r="DU42" s="59">
        <f t="shared" si="44"/>
        <v>345.4750813433123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7.1809566706469159</v>
      </c>
      <c r="EB42" s="21">
        <f>EXP(-LN(2)/25)*EB41+(1-EXP(-LN(2)/25))/(LN(2)/25)*Calculateur!DW42*Calculateur!DY42*VLOOKUP('Données projet'!$B$14,Paramètres!$A$1:$I$89,3,0)*0.475*44/12</f>
        <v>13.865852599339128</v>
      </c>
      <c r="EC42" s="21">
        <f>EXP(-LN(2)/2)*EC41+(1-EXP(-LN(2)/2))/(LN(2)/2)*DW42*DZ42*VLOOKUP('Données projet'!$B$14,Paramètres!$A$1:$I$89,3,0)*0.475*44/12</f>
        <v>1.9942268534812095</v>
      </c>
      <c r="ED42" s="22">
        <f t="shared" si="18"/>
        <v>23.041036123467251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18.265714285714285</v>
      </c>
      <c r="EJ42" s="12">
        <f>IF('Données projet'!$A$192&gt;35,EJ41+EI42-ER41,IF(A42&lt;'Données projet'!$A$192,$EG$205^A42,IF(A42='Données projet'!$A$192,'Données projet'!$B$192,EJ41+EI42-ER41)))</f>
        <v>712.3628571428568</v>
      </c>
      <c r="EK42" s="17">
        <f>EJ42*VLOOKUP('Données projet'!$B$15,Paramètres!$A$1:$I$89,3,0)*VLOOKUP('Données projet'!$B$15,Paramètres!$A$1:$I$89,5,0)</f>
        <v>333.38581714285692</v>
      </c>
      <c r="EL42" s="13">
        <f t="shared" si="45"/>
        <v>78.131855872340665</v>
      </c>
      <c r="EM42" s="20">
        <f t="shared" si="19"/>
        <v>716.72661383480238</v>
      </c>
      <c r="EN42" s="59">
        <f t="shared" si="20"/>
        <v>1010.0599471681357</v>
      </c>
      <c r="EO42" s="59">
        <f ca="1">AVERAGE(OFFSET($EN$3,0,0,'Données projet'!$E$15+1,1))-AVERAGE(OFFSET($H$3,0,0,'Données projet'!$E$15+1,1))</f>
        <v>433.05041777893922</v>
      </c>
      <c r="EP42" s="59">
        <f t="shared" si="46"/>
        <v>591.24088611958996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3.0769230769230758</v>
      </c>
      <c r="FE42" s="12">
        <f>IF('Données projet'!$A$218&gt;35,FE41+FD42-FM41,IF(A42&lt;'Données projet'!$A$218,$FB$205^A42,IF(A42='Données projet'!$A$218,'Données projet'!$B$218,FE41+FD42-FM41)))</f>
        <v>69.358974358974351</v>
      </c>
      <c r="FF42" s="17">
        <f>FE42*VLOOKUP('Données projet'!$B$16,Paramètres!$A$1:$I$89,3,0)*VLOOKUP('Données projet'!$B$16,Paramètres!$A$1:$I$89,5,0)</f>
        <v>56.263999999999996</v>
      </c>
      <c r="FG42" s="13">
        <f t="shared" si="47"/>
        <v>16.220185883468393</v>
      </c>
      <c r="FH42" s="20">
        <f t="shared" si="22"/>
        <v>126.24329041370743</v>
      </c>
      <c r="FI42" s="59">
        <f t="shared" si="23"/>
        <v>419.57662374704074</v>
      </c>
      <c r="FJ42" s="59">
        <f ca="1">AVERAGE(OFFSET($FI$3,0,0,'Données projet'!$E$16+1,1))-AVERAGE(OFFSET($H$3,0,0,'Données projet'!$E$16+1,1))</f>
        <v>159.4660488566085</v>
      </c>
      <c r="FK42" s="59">
        <f t="shared" si="48"/>
        <v>135.33030558297088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1.6436738196147842</v>
      </c>
      <c r="FS42" s="21">
        <f>EXP(-LN(2)/2)*FS41+(1-EXP(-LN(2)/2))/(LN(2)/2)*FM42*FP42*VLOOKUP('Données projet'!$B$16,Paramètres!$A$1:$I$89,3,0)*0.475*44/12</f>
        <v>0.36462412009472833</v>
      </c>
      <c r="FT42" s="22">
        <f t="shared" si="24"/>
        <v>2.0082979397095126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4.0942857142857143</v>
      </c>
      <c r="N43" s="13">
        <f>IF('Données projet'!$A$36&gt;35,N42+M43-V42,IF(A43&lt;'Données projet'!$A$36,$K$205^A43,IF(A43='Données projet'!$A$36,'Données projet'!$B$36,N42+M43-V42)))</f>
        <v>163.77142857142869</v>
      </c>
      <c r="O43" s="13">
        <f>N43*VLOOKUP('Données projet'!$B$9,Paramètres!$A$1:$I$89,3,0)*VLOOKUP('Données projet'!$B$9,Paramètres!$A$1:$I$89,5,0)</f>
        <v>166.06422857142869</v>
      </c>
      <c r="P43" s="13">
        <f t="shared" si="33"/>
        <v>42.20734362237048</v>
      </c>
      <c r="Q43" s="20">
        <f t="shared" si="53"/>
        <v>362.73965490420022</v>
      </c>
      <c r="R43" s="59">
        <f t="shared" si="0"/>
        <v>656.07298823753354</v>
      </c>
      <c r="S43" s="59">
        <f ca="1">AVERAGE(OFFSET($R$3,0,0,'Données projet'!$E$9+1,1))-AVERAGE(OFFSET($H$3,0,0,'Données projet'!$E$9+1,1))</f>
        <v>706.69239849991595</v>
      </c>
      <c r="T43" s="59">
        <f t="shared" si="34"/>
        <v>310.59887275116529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96.153846153846146</v>
      </c>
      <c r="AG43" s="12">
        <f>VLOOKUP(A43,'Données projet'!$A$61:$I$81,9,0)</f>
        <v>4.4871794871794863</v>
      </c>
      <c r="AH43" s="12">
        <f t="array" ref="AH43">INDEX(AG:AG,MIN(IF(ISNUMBER(AG43:AG239),ROW(AG43:AG239),"")))</f>
        <v>4.4871794871794863</v>
      </c>
      <c r="AI43" s="13">
        <f>IF('Données projet'!$A$62&gt;35,AI42+AH43-AQ42,IF(A43&lt;'Données projet'!$A$62,$AF$205^A43,IF(A43='Données projet'!$A$62,'Données projet'!$B$62,AI42+AH43-AQ42)))</f>
        <v>96.153846153846146</v>
      </c>
      <c r="AJ43" s="13">
        <f>AI43*VLOOKUP('Données projet'!$B$10,Paramètres!$A$1:$I$89,3,0)*VLOOKUP('Données projet'!$B$10,Paramètres!$A$1:$I$89,5,0)</f>
        <v>100.5</v>
      </c>
      <c r="AK43" s="13">
        <f t="shared" si="35"/>
        <v>27.081081054477867</v>
      </c>
      <c r="AL43" s="20">
        <f t="shared" si="4"/>
        <v>222.20371616988226</v>
      </c>
      <c r="AM43" s="59">
        <f t="shared" si="5"/>
        <v>515.5370495032156</v>
      </c>
      <c r="AN43" s="59">
        <f ca="1">AVERAGE(OFFSET($AM$3,0,0,'Données projet'!$E$10+1,1))-AVERAGE(OFFSET($H$3,0,0,'Données projet'!$E$10+1,1))</f>
        <v>239.26156489359892</v>
      </c>
      <c r="AO43" s="59">
        <f t="shared" si="36"/>
        <v>213.97034450798111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12.820512820512819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0.215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12.968385826913392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12.968385826913392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192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192</v>
      </c>
      <c r="BE43" s="13">
        <f>BD43*VLOOKUP('Données projet'!$B$11,Paramètres!$A$1:$I$89,3,0)*VLOOKUP('Données projet'!$B$11,Paramètres!$A$1:$I$89,5,0)</f>
        <v>167.73120000000003</v>
      </c>
      <c r="BF43" s="13">
        <f t="shared" si="37"/>
        <v>42.581491199832655</v>
      </c>
      <c r="BG43" s="20">
        <f t="shared" si="7"/>
        <v>366.29460383970854</v>
      </c>
      <c r="BH43" s="59">
        <f t="shared" si="8"/>
        <v>659.6279371730418</v>
      </c>
      <c r="BI43" s="59">
        <f ca="1">AVERAGE(OFFSET($BH$3,0,0,'Données projet'!$E$11+1,1))-AVERAGE(OFFSET($H$3,0,0,'Données projet'!$E$11+1,1))</f>
        <v>324.86930206492627</v>
      </c>
      <c r="BJ43" s="59">
        <f t="shared" si="38"/>
        <v>317.03005098025352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0.13250000000000001</v>
      </c>
      <c r="BN43" s="16">
        <f>IF(ISNA(VLOOKUP(A43,'Données projet'!$A$87:$I$107,6,0)),0%,VLOOKUP(A43,'Données projet'!$A$87:$I$107,6,0)*VLOOKUP('Données projet'!$B$11,Paramètres!$A$1:$I$89,7,0))</f>
        <v>0.13250000000000001</v>
      </c>
      <c r="BO43" s="16">
        <f>IF(ISNA(VLOOKUP(A43,'Données projet'!$A$87:$I$107,7,0)),0%,VLOOKUP(A43,'Données projet'!$A$87:$I$107,7,0))</f>
        <v>0.25</v>
      </c>
      <c r="BP43" s="21">
        <f>EXP(-LN(2)/35)*BP42+(1-EXP(-LN(2)/35))/(LN(2)/35)*BL43*BM43*VLOOKUP('Données projet'!$B$11,Paramètres!$A$1:$I$89,3,0)*0.475*44/12</f>
        <v>6.828000939678649</v>
      </c>
      <c r="BQ43" s="21">
        <f>EXP(-LN(2)/25)*BQ42+(1-EXP(-LN(2)/25))/(LN(2)/25)*Calculateur!BL43*Calculateur!BN43*VLOOKUP('Données projet'!$B$11,Paramètres!$A$1:$I$89,3,0)*0.475*44/12</f>
        <v>14.740396054523039</v>
      </c>
      <c r="BR43" s="21">
        <f>EXP(-LN(2)/2)*BR42+(1-EXP(-LN(2)/2))/(LN(2)/2)*BL43*BO43*VLOOKUP('Données projet'!$B$11,Paramètres!$A$1:$I$89,3,0)*0.475*44/12</f>
        <v>7.0081823052660219</v>
      </c>
      <c r="BS43" s="22">
        <f t="shared" si="9"/>
        <v>28.57657929946771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3.3603333333333336</v>
      </c>
      <c r="BY43" s="12">
        <f>IF('Données projet'!$A$114&gt;35,BY42+BX43-CG42,IF(A43&lt;'Données projet'!$A$114,$BV$205^A43,IF(A43='Données projet'!$A$114,'Données projet'!$B$114,BY42+BX43-CG42)))</f>
        <v>134.4133333333333</v>
      </c>
      <c r="BZ43" s="13">
        <f>BY43*VLOOKUP('Données projet'!$B$12,Paramètres!$A$1:$I$89,3,0)*VLOOKUP('Données projet'!$B$12,Paramètres!$A$1:$I$89,5,0)</f>
        <v>153.06990399999998</v>
      </c>
      <c r="CA43" s="13">
        <f t="shared" si="39"/>
        <v>39.275407599099857</v>
      </c>
      <c r="CB43" s="20">
        <f t="shared" si="10"/>
        <v>335.00141770176555</v>
      </c>
      <c r="CC43" s="59">
        <f t="shared" si="11"/>
        <v>628.33475103509886</v>
      </c>
      <c r="CD43" s="59">
        <f ca="1">AVERAGE(OFFSET($CC$3,0,0,'Données projet'!$E$12+1,1))-AVERAGE(OFFSET($H$3,0,0,'Données projet'!$E$12+1,1))</f>
        <v>593.28343396240075</v>
      </c>
      <c r="CE43" s="59">
        <f t="shared" si="40"/>
        <v>289.66477662068695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4.0942857142857143</v>
      </c>
      <c r="CT43" s="12">
        <f>IF('Données projet'!$A$140&gt;35,CT42+CS43-DB42,IF(A43&lt;'Données projet'!$A$140,$CQ$205^A43,IF(A43='Données projet'!$A$140,'Données projet'!$B$140,CT42+CS43-DB42)))</f>
        <v>163.77142857142869</v>
      </c>
      <c r="CU43" s="17">
        <f>CT43*VLOOKUP('Données projet'!$B$13,Paramètres!$A$1:$I$89,3,0)*VLOOKUP('Données projet'!$B$13,Paramètres!$A$1:$I$89,5,0)</f>
        <v>176.28356571428583</v>
      </c>
      <c r="CV43" s="13">
        <f t="shared" si="41"/>
        <v>44.494346723123805</v>
      </c>
      <c r="CW43" s="20">
        <f t="shared" si="13"/>
        <v>384.52153082848844</v>
      </c>
      <c r="CX43" s="59">
        <f t="shared" si="14"/>
        <v>677.85486416182175</v>
      </c>
      <c r="CY43" s="59">
        <f ca="1">AVERAGE(OFFSET($CX$3,0,0,'Données projet'!$E$13+1,1))-AVERAGE(OFFSET($H$3,0,0,'Données projet'!$E$13+1,1))</f>
        <v>747.18304127457918</v>
      </c>
      <c r="CZ43" s="59">
        <f t="shared" si="42"/>
        <v>327.03701004966723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228</v>
      </c>
      <c r="DM43" s="12">
        <f>VLOOKUP(A43,'Données projet'!$A$165:$I$185,9,0)</f>
        <v>11.4</v>
      </c>
      <c r="DN43" s="12">
        <f t="array" ref="DN43">INDEX(DM:DM,MIN(IF(ISNUMBER(DM43:DM239),ROW(DM43:DM239),"")))</f>
        <v>11.4</v>
      </c>
      <c r="DO43" s="12">
        <f>IF('Données projet'!$A$166&gt;35,DO42+DN43-DW42,IF(A43&lt;'Données projet'!$A$166,$DL$205^A43,IF(A43='Données projet'!$A$166,'Données projet'!$B$166,DO42+DN43-DW42)))</f>
        <v>228</v>
      </c>
      <c r="DP43" s="17">
        <f>DO43*VLOOKUP('Données projet'!$B$14,Paramètres!$A$1:$I$89,3,0)*VLOOKUP('Données projet'!$B$14,Paramètres!$A$1:$I$89,5,0)</f>
        <v>181.39680000000001</v>
      </c>
      <c r="DQ43" s="13">
        <f t="shared" si="43"/>
        <v>45.63280848550832</v>
      </c>
      <c r="DR43" s="20">
        <f t="shared" si="16"/>
        <v>395.40990144559368</v>
      </c>
      <c r="DS43" s="59">
        <f t="shared" si="17"/>
        <v>688.74323477892699</v>
      </c>
      <c r="DT43" s="59">
        <f ca="1">AVERAGE(OFFSET($DS$3,0,0,'Données projet'!$E$14+1,1))-AVERAGE(OFFSET($H$3,0,0,'Données projet'!$E$14+1,1))</f>
        <v>353.37479213497227</v>
      </c>
      <c r="DU43" s="59">
        <f t="shared" si="44"/>
        <v>345.4750813433123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35</v>
      </c>
      <c r="DX43" s="16">
        <f>IF(ISNA(VLOOKUP(A43,'Données projet'!$A$165:$I$185,5,0)),0%,VLOOKUP(A43,'Données projet'!$A$165:$I$185,5,0)*VLOOKUP('Données projet'!$B$14,Paramètres!$A$1:$I$89,7,0))</f>
        <v>0.13250000000000001</v>
      </c>
      <c r="DY43" s="16">
        <f>IF(ISNA(VLOOKUP(A43,'Données projet'!$A$165:$I$185,6,0)),0%,VLOOKUP(A43,'Données projet'!$A$165:$I$185,6,0)*VLOOKUP('Données projet'!$B$14,Paramètres!$A$1:$I$89,7,0))</f>
        <v>0.13250000000000001</v>
      </c>
      <c r="DZ43" s="16">
        <f>IF(ISNA(VLOOKUP(A43,'Données projet'!$A$165:$I$185,7,0)),0%,VLOOKUP(A43,'Données projet'!$A$165:$I$185,7,0))</f>
        <v>0.25</v>
      </c>
      <c r="EA43" s="21">
        <f>EXP(-LN(2)/35)*EA42+(1-EXP(-LN(2)/35))/(LN(2)/35)*DW43*DX43*VLOOKUP('Données projet'!$B$14,Paramètres!$A$1:$I$89,3,0)*0.475*44/12</f>
        <v>11.118880475259491</v>
      </c>
      <c r="EB43" s="21">
        <f>EXP(-LN(2)/25)*EB42+(1-EXP(-LN(2)/25))/(LN(2)/25)*Calculateur!DW43*Calculateur!DY43*VLOOKUP('Données projet'!$B$14,Paramètres!$A$1:$I$89,3,0)*0.475*44/12</f>
        <v>17.549368570241725</v>
      </c>
      <c r="EC43" s="21">
        <f>EXP(-LN(2)/2)*EC42+(1-EXP(-LN(2)/2))/(LN(2)/2)*DW43*DZ43*VLOOKUP('Données projet'!$B$14,Paramètres!$A$1:$I$89,3,0)*0.475*44/12</f>
        <v>7.9784939473462853</v>
      </c>
      <c r="ED43" s="22">
        <f t="shared" si="18"/>
        <v>36.6467429928475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18.265714285714285</v>
      </c>
      <c r="EJ43" s="12">
        <f>IF('Données projet'!$A$192&gt;35,EJ42+EI43-ER42,IF(A43&lt;'Données projet'!$A$192,$EG$205^A43,IF(A43='Données projet'!$A$192,'Données projet'!$B$192,EJ42+EI43-ER42)))</f>
        <v>730.62857142857104</v>
      </c>
      <c r="EK43" s="17">
        <f>EJ43*VLOOKUP('Données projet'!$B$15,Paramètres!$A$1:$I$89,3,0)*VLOOKUP('Données projet'!$B$15,Paramètres!$A$1:$I$89,5,0)</f>
        <v>341.93417142857123</v>
      </c>
      <c r="EL43" s="13">
        <f t="shared" si="45"/>
        <v>79.899426458681504</v>
      </c>
      <c r="EM43" s="20">
        <f t="shared" si="19"/>
        <v>734.6935163202985</v>
      </c>
      <c r="EN43" s="59">
        <f t="shared" si="20"/>
        <v>1028.0268496536319</v>
      </c>
      <c r="EO43" s="59">
        <f ca="1">AVERAGE(OFFSET($EN$3,0,0,'Données projet'!$E$15+1,1))-AVERAGE(OFFSET($H$3,0,0,'Données projet'!$E$15+1,1))</f>
        <v>433.05041777893922</v>
      </c>
      <c r="EP43" s="59">
        <f t="shared" si="46"/>
        <v>591.24088611958996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72.435897435897431</v>
      </c>
      <c r="FC43" s="12">
        <f>VLOOKUP(A43,'Données projet'!$A$217:$I$237,9,0)</f>
        <v>3.0769230769230758</v>
      </c>
      <c r="FD43" s="12">
        <f t="array" ref="FD43">INDEX(FC:FC,MIN(IF(ISNUMBER(FC43:FC239),ROW(FC43:FC239),"")))</f>
        <v>3.0769230769230758</v>
      </c>
      <c r="FE43" s="12">
        <f>IF('Données projet'!$A$218&gt;35,FE42+FD43-FM42,IF(A43&lt;'Données projet'!$A$218,$FB$205^A43,IF(A43='Données projet'!$A$218,'Données projet'!$B$218,FE42+FD43-FM42)))</f>
        <v>72.435897435897431</v>
      </c>
      <c r="FF43" s="17">
        <f>FE43*VLOOKUP('Données projet'!$B$16,Paramètres!$A$1:$I$89,3,0)*VLOOKUP('Données projet'!$B$16,Paramètres!$A$1:$I$89,5,0)</f>
        <v>58.76</v>
      </c>
      <c r="FG43" s="13">
        <f t="shared" si="47"/>
        <v>16.854378084351904</v>
      </c>
      <c r="FH43" s="20">
        <f t="shared" si="22"/>
        <v>131.69504183024623</v>
      </c>
      <c r="FI43" s="59">
        <f t="shared" si="23"/>
        <v>425.02837516357954</v>
      </c>
      <c r="FJ43" s="59">
        <f ca="1">AVERAGE(OFFSET($FI$3,0,0,'Données projet'!$E$16+1,1))-AVERAGE(OFFSET($H$3,0,0,'Données projet'!$E$16+1,1))</f>
        <v>159.4660488566085</v>
      </c>
      <c r="FK43" s="59">
        <f t="shared" si="48"/>
        <v>135.33030558297088</v>
      </c>
      <c r="FL43" s="15">
        <f>IF(ISNA(VLOOKUP(A43,'Données projet'!$A$217:$I$237,3,0)),0,VLOOKUP(A43,'Données projet'!$A$217:$I$237,3,0))</f>
        <v>6</v>
      </c>
      <c r="FM43" s="15">
        <f>IF(ISNA(VLOOKUP(A43,'Données projet'!$A$217:$I$237,4,0)),0,VLOOKUP(A43,'Données projet'!$A$217:$I$237,4,0))</f>
        <v>6.4102564102564097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0.1075</v>
      </c>
      <c r="FP43" s="16">
        <f>IF(ISNA(VLOOKUP(A43,'Données projet'!$A$217:$I$237,7,0)),0%,VLOOKUP(A43,'Données projet'!$A$217:$I$237,7,0))</f>
        <v>0.25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2.2142522788605721</v>
      </c>
      <c r="FS43" s="21">
        <f>EXP(-LN(2)/2)*FS42+(1-EXP(-LN(2)/2))/(LN(2)/2)*FM43*FP43*VLOOKUP('Données projet'!$B$16,Paramètres!$A$1:$I$89,3,0)*0.475*44/12</f>
        <v>1.4844131768901652</v>
      </c>
      <c r="FT43" s="22">
        <f t="shared" si="24"/>
        <v>3.6986654557507372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4.0942857142857143</v>
      </c>
      <c r="N44" s="13">
        <f>IF('Données projet'!$A$36&gt;35,N43+M44-V43,IF(A44&lt;'Données projet'!$A$36,$K$205^A44,IF(A44='Données projet'!$A$36,'Données projet'!$B$36,N43+M44-V43)))</f>
        <v>167.8657142857144</v>
      </c>
      <c r="O44" s="13">
        <f>N44*VLOOKUP('Données projet'!$B$9,Paramètres!$A$1:$I$89,3,0)*VLOOKUP('Données projet'!$B$9,Paramètres!$A$1:$I$89,5,0)</f>
        <v>170.21583428571441</v>
      </c>
      <c r="P44" s="13">
        <f t="shared" si="33"/>
        <v>43.138359715238352</v>
      </c>
      <c r="Q44" s="20">
        <f t="shared" si="53"/>
        <v>371.59188788499273</v>
      </c>
      <c r="R44" s="59">
        <f t="shared" si="0"/>
        <v>664.92522121832599</v>
      </c>
      <c r="S44" s="59">
        <f ca="1">AVERAGE(OFFSET($R$3,0,0,'Données projet'!$E$9+1,1))-AVERAGE(OFFSET($H$3,0,0,'Données projet'!$E$9+1,1))</f>
        <v>706.69239849991595</v>
      </c>
      <c r="T44" s="59">
        <f t="shared" si="34"/>
        <v>310.59887275116529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4.1025641025641022</v>
      </c>
      <c r="AI44" s="13">
        <f>IF('Données projet'!$A$62&gt;35,AI43+AH44-AQ43,IF(A44&lt;'Données projet'!$A$62,$AF$205^A44,IF(A44='Données projet'!$A$62,'Données projet'!$B$62,AI43+AH44-AQ43)))</f>
        <v>87.435897435897431</v>
      </c>
      <c r="AJ44" s="13">
        <f>AI44*VLOOKUP('Données projet'!$B$10,Paramètres!$A$1:$I$89,3,0)*VLOOKUP('Données projet'!$B$10,Paramètres!$A$1:$I$89,5,0)</f>
        <v>91.388000000000005</v>
      </c>
      <c r="AK44" s="13">
        <f t="shared" si="35"/>
        <v>24.899678416779619</v>
      </c>
      <c r="AL44" s="20">
        <f t="shared" si="4"/>
        <v>202.53437324255785</v>
      </c>
      <c r="AM44" s="59">
        <f t="shared" si="5"/>
        <v>495.86770657589113</v>
      </c>
      <c r="AN44" s="59">
        <f ca="1">AVERAGE(OFFSET($AM$3,0,0,'Données projet'!$E$10+1,1))-AVERAGE(OFFSET($H$3,0,0,'Données projet'!$E$10+1,1))</f>
        <v>239.26156489359892</v>
      </c>
      <c r="AO44" s="59">
        <f t="shared" si="36"/>
        <v>213.97034450798111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12.613764634498676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12.613764634498676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8.1999999999999993</v>
      </c>
      <c r="BD44" s="12">
        <f>IF('Données projet'!$A$88&gt;35,BD43+BC44-BL43,IF(A44&lt;'Données projet'!$A$88,$BA$205^A44,IF(A44='Données projet'!$A$88,'Données projet'!$B$88,BD43+BC44-BL43)))</f>
        <v>172.2</v>
      </c>
      <c r="BE44" s="13">
        <f>BD44*VLOOKUP('Données projet'!$B$11,Paramètres!$A$1:$I$89,3,0)*VLOOKUP('Données projet'!$B$11,Paramètres!$A$1:$I$89,5,0)</f>
        <v>150.43392</v>
      </c>
      <c r="BF44" s="13">
        <f t="shared" si="37"/>
        <v>38.677178913707927</v>
      </c>
      <c r="BG44" s="20">
        <f t="shared" si="7"/>
        <v>329.36849727470798</v>
      </c>
      <c r="BH44" s="59">
        <f t="shared" si="8"/>
        <v>622.70183060804129</v>
      </c>
      <c r="BI44" s="59">
        <f ca="1">AVERAGE(OFFSET($BH$3,0,0,'Données projet'!$E$11+1,1))-AVERAGE(OFFSET($H$3,0,0,'Données projet'!$E$11+1,1))</f>
        <v>324.86930206492627</v>
      </c>
      <c r="BJ44" s="59">
        <f t="shared" si="38"/>
        <v>317.03005098025352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6.6941080059208966</v>
      </c>
      <c r="BQ44" s="21">
        <f>EXP(-LN(2)/25)*BQ43+(1-EXP(-LN(2)/25))/(LN(2)/25)*Calculateur!BL44*Calculateur!BN44*VLOOKUP('Données projet'!$B$11,Paramètres!$A$1:$I$89,3,0)*0.475*44/12</f>
        <v>14.337319149248367</v>
      </c>
      <c r="BR44" s="21">
        <f>EXP(-LN(2)/2)*BR43+(1-EXP(-LN(2)/2))/(LN(2)/2)*BL44*BO44*VLOOKUP('Données projet'!$B$11,Paramètres!$A$1:$I$89,3,0)*0.475*44/12</f>
        <v>4.9555332318451759</v>
      </c>
      <c r="BS44" s="22">
        <f t="shared" si="9"/>
        <v>25.986960387014442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3.3603333333333336</v>
      </c>
      <c r="BY44" s="12">
        <f>IF('Données projet'!$A$114&gt;35,BY43+BX44-CG43,IF(A44&lt;'Données projet'!$A$114,$BV$205^A44,IF(A44='Données projet'!$A$114,'Données projet'!$B$114,BY43+BX44-CG43)))</f>
        <v>137.77366666666663</v>
      </c>
      <c r="BZ44" s="13">
        <f>BY44*VLOOKUP('Données projet'!$B$12,Paramètres!$A$1:$I$89,3,0)*VLOOKUP('Données projet'!$B$12,Paramètres!$A$1:$I$89,5,0)</f>
        <v>156.89665159999996</v>
      </c>
      <c r="CA44" s="13">
        <f t="shared" si="39"/>
        <v>40.141750595140159</v>
      </c>
      <c r="CB44" s="20">
        <f t="shared" si="10"/>
        <v>343.17521715653567</v>
      </c>
      <c r="CC44" s="59">
        <f t="shared" si="11"/>
        <v>636.50855048986898</v>
      </c>
      <c r="CD44" s="59">
        <f ca="1">AVERAGE(OFFSET($CC$3,0,0,'Données projet'!$E$12+1,1))-AVERAGE(OFFSET($H$3,0,0,'Données projet'!$E$12+1,1))</f>
        <v>593.28343396240075</v>
      </c>
      <c r="CE44" s="59">
        <f t="shared" si="40"/>
        <v>289.66477662068695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4.0942857142857143</v>
      </c>
      <c r="CT44" s="12">
        <f>IF('Données projet'!$A$140&gt;35,CT43+CS44-DB43,IF(A44&lt;'Données projet'!$A$140,$CQ$205^A44,IF(A44='Données projet'!$A$140,'Données projet'!$B$140,CT43+CS44-DB43)))</f>
        <v>167.8657142857144</v>
      </c>
      <c r="CU44" s="17">
        <f>CT44*VLOOKUP('Données projet'!$B$13,Paramètres!$A$1:$I$89,3,0)*VLOOKUP('Données projet'!$B$13,Paramètres!$A$1:$I$89,5,0)</f>
        <v>180.69065485714296</v>
      </c>
      <c r="CV44" s="13">
        <f t="shared" si="41"/>
        <v>45.475809882982915</v>
      </c>
      <c r="CW44" s="20">
        <f t="shared" si="13"/>
        <v>393.9065927557192</v>
      </c>
      <c r="CX44" s="59">
        <f t="shared" si="14"/>
        <v>687.23992608905246</v>
      </c>
      <c r="CY44" s="59">
        <f ca="1">AVERAGE(OFFSET($CX$3,0,0,'Données projet'!$E$13+1,1))-AVERAGE(OFFSET($H$3,0,0,'Données projet'!$E$13+1,1))</f>
        <v>747.18304127457918</v>
      </c>
      <c r="CZ44" s="59">
        <f t="shared" si="42"/>
        <v>327.03701004966723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9.8000000000000007</v>
      </c>
      <c r="DO44" s="12">
        <f>IF('Données projet'!$A$166&gt;35,DO43+DN44-DW43,IF(A44&lt;'Données projet'!$A$166,$DL$205^A44,IF(A44='Données projet'!$A$166,'Données projet'!$B$166,DO43+DN44-DW43)))</f>
        <v>202.8</v>
      </c>
      <c r="DP44" s="17">
        <f>DO44*VLOOKUP('Données projet'!$B$14,Paramètres!$A$1:$I$89,3,0)*VLOOKUP('Données projet'!$B$14,Paramètres!$A$1:$I$89,5,0)</f>
        <v>161.34768000000003</v>
      </c>
      <c r="DQ44" s="13">
        <f t="shared" si="43"/>
        <v>41.146339844316657</v>
      </c>
      <c r="DR44" s="20">
        <f t="shared" si="16"/>
        <v>352.6770845621848</v>
      </c>
      <c r="DS44" s="59">
        <f t="shared" si="17"/>
        <v>646.01041789551812</v>
      </c>
      <c r="DT44" s="59">
        <f ca="1">AVERAGE(OFFSET($DS$3,0,0,'Données projet'!$E$14+1,1))-AVERAGE(OFFSET($H$3,0,0,'Données projet'!$E$14+1,1))</f>
        <v>353.37479213497227</v>
      </c>
      <c r="DU44" s="59">
        <f t="shared" si="44"/>
        <v>345.4750813433123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10.90084601098709</v>
      </c>
      <c r="EB44" s="21">
        <f>EXP(-LN(2)/25)*EB43+(1-EXP(-LN(2)/25))/(LN(2)/25)*Calculateur!DW44*Calculateur!DY44*VLOOKUP('Données projet'!$B$14,Paramètres!$A$1:$I$89,3,0)*0.475*44/12</f>
        <v>17.069480163807281</v>
      </c>
      <c r="EC44" s="21">
        <f>EXP(-LN(2)/2)*EC43+(1-EXP(-LN(2)/2))/(LN(2)/2)*DW44*DZ44*VLOOKUP('Données projet'!$B$14,Paramètres!$A$1:$I$89,3,0)*0.475*44/12</f>
        <v>5.6416471738243841</v>
      </c>
      <c r="ED44" s="22">
        <f t="shared" si="18"/>
        <v>33.611973348618754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18.265714285714285</v>
      </c>
      <c r="EJ44" s="12">
        <f>IF('Données projet'!$A$192&gt;35,EJ43+EI44-ER43,IF(A44&lt;'Données projet'!$A$192,$EG$205^A44,IF(A44='Données projet'!$A$192,'Données projet'!$B$192,EJ43+EI44-ER43)))</f>
        <v>748.89428571428527</v>
      </c>
      <c r="EK44" s="17">
        <f>EJ44*VLOOKUP('Données projet'!$B$15,Paramètres!$A$1:$I$89,3,0)*VLOOKUP('Données projet'!$B$15,Paramètres!$A$1:$I$89,5,0)</f>
        <v>350.48252571428554</v>
      </c>
      <c r="EL44" s="13">
        <f t="shared" si="45"/>
        <v>81.661860325865675</v>
      </c>
      <c r="EM44" s="20">
        <f t="shared" si="19"/>
        <v>752.65147235326333</v>
      </c>
      <c r="EN44" s="59">
        <f t="shared" si="20"/>
        <v>1045.9848056865967</v>
      </c>
      <c r="EO44" s="59">
        <f ca="1">AVERAGE(OFFSET($EN$3,0,0,'Données projet'!$E$15+1,1))-AVERAGE(OFFSET($H$3,0,0,'Données projet'!$E$15+1,1))</f>
        <v>433.05041777893922</v>
      </c>
      <c r="EP44" s="59">
        <f t="shared" si="46"/>
        <v>591.24088611958996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3.0769230769230775</v>
      </c>
      <c r="FE44" s="12">
        <f>IF('Données projet'!$A$218&gt;35,FE43+FD44-FM43,IF(A44&lt;'Données projet'!$A$218,$FB$205^A44,IF(A44='Données projet'!$A$218,'Données projet'!$B$218,FE43+FD44-FM43)))</f>
        <v>69.102564102564102</v>
      </c>
      <c r="FF44" s="17">
        <f>FE44*VLOOKUP('Données projet'!$B$16,Paramètres!$A$1:$I$89,3,0)*VLOOKUP('Données projet'!$B$16,Paramètres!$A$1:$I$89,5,0)</f>
        <v>56.056000000000004</v>
      </c>
      <c r="FG44" s="13">
        <f t="shared" si="47"/>
        <v>16.167190526120404</v>
      </c>
      <c r="FH44" s="20">
        <f t="shared" si="22"/>
        <v>125.7887234996597</v>
      </c>
      <c r="FI44" s="59">
        <f t="shared" si="23"/>
        <v>419.122056832993</v>
      </c>
      <c r="FJ44" s="59">
        <f ca="1">AVERAGE(OFFSET($FI$3,0,0,'Données projet'!$E$16+1,1))-AVERAGE(OFFSET($H$3,0,0,'Données projet'!$E$16+1,1))</f>
        <v>159.4660488566085</v>
      </c>
      <c r="FK44" s="59">
        <f t="shared" si="48"/>
        <v>135.33030558297088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2.1537034338526633</v>
      </c>
      <c r="FS44" s="21">
        <f>EXP(-LN(2)/2)*FS43+(1-EXP(-LN(2)/2))/(LN(2)/2)*FM44*FP44*VLOOKUP('Données projet'!$B$16,Paramètres!$A$1:$I$89,3,0)*0.475*44/12</f>
        <v>1.0496386234617019</v>
      </c>
      <c r="FT44" s="22">
        <f t="shared" si="24"/>
        <v>3.2033420573143649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171.96</v>
      </c>
      <c r="L45" s="12">
        <f>VLOOKUP(A45,'Données projet'!$A$35:$I$55,9,0)</f>
        <v>4.0942857142857143</v>
      </c>
      <c r="M45" s="12">
        <f t="array" ref="M45">INDEX(L:L,MIN(IF(ISNUMBER(L45:L241),ROW(L45:L241),"")))</f>
        <v>4.0942857142857143</v>
      </c>
      <c r="N45" s="13">
        <f>IF('Données projet'!$A$36&gt;35,N44+M45-V44,IF(A45&lt;'Données projet'!$A$36,$K$205^A45,IF(A45='Données projet'!$A$36,'Données projet'!$B$36,N44+M45-V44)))</f>
        <v>171.96000000000012</v>
      </c>
      <c r="O45" s="13">
        <f>N45*VLOOKUP('Données projet'!$B$9,Paramètres!$A$1:$I$89,3,0)*VLOOKUP('Données projet'!$B$9,Paramètres!$A$1:$I$89,5,0)</f>
        <v>174.36744000000013</v>
      </c>
      <c r="P45" s="13">
        <f t="shared" si="33"/>
        <v>44.066736102586425</v>
      </c>
      <c r="Q45" s="20">
        <f t="shared" si="53"/>
        <v>380.43952337867154</v>
      </c>
      <c r="R45" s="59">
        <f t="shared" si="0"/>
        <v>673.7728567120048</v>
      </c>
      <c r="S45" s="59">
        <f ca="1">AVERAGE(OFFSET($R$3,0,0,'Données projet'!$E$9+1,1))-AVERAGE(OFFSET($H$3,0,0,'Données projet'!$E$9+1,1))</f>
        <v>706.69239849991595</v>
      </c>
      <c r="T45" s="59">
        <f t="shared" si="34"/>
        <v>310.59887275116529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44.510000000000005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17.095733695579888</v>
      </c>
      <c r="AB45" s="21">
        <f>EXP(-LN(2)/2)*AB44+(1-EXP(-LN(2)/2))/(LN(2)/2)*V45*Y45*VLOOKUP('Données projet'!$B$9,Paramètres!$A$1:$I$89,3,0)*0.475*44/12</f>
        <v>8.5168664661306082</v>
      </c>
      <c r="AC45" s="22">
        <f t="shared" si="3"/>
        <v>25.612600161710496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4.1025641025641022</v>
      </c>
      <c r="AI45" s="13">
        <f>IF('Données projet'!$A$62&gt;35,AI44+AH45-AQ44,IF(A45&lt;'Données projet'!$A$62,$AF$205^A45,IF(A45='Données projet'!$A$62,'Données projet'!$B$62,AI44+AH45-AQ44)))</f>
        <v>91.538461538461533</v>
      </c>
      <c r="AJ45" s="13">
        <f>AI45*VLOOKUP('Données projet'!$B$10,Paramètres!$A$1:$I$89,3,0)*VLOOKUP('Données projet'!$B$10,Paramètres!$A$1:$I$89,5,0)</f>
        <v>95.676000000000002</v>
      </c>
      <c r="AK45" s="13">
        <f t="shared" si="35"/>
        <v>25.929229078869259</v>
      </c>
      <c r="AL45" s="20">
        <f t="shared" si="4"/>
        <v>211.79577397903063</v>
      </c>
      <c r="AM45" s="59">
        <f t="shared" si="5"/>
        <v>505.12910731236394</v>
      </c>
      <c r="AN45" s="59">
        <f ca="1">AVERAGE(OFFSET($AM$3,0,0,'Données projet'!$E$10+1,1))-AVERAGE(OFFSET($H$3,0,0,'Données projet'!$E$10+1,1))</f>
        <v>239.26156489359892</v>
      </c>
      <c r="AO45" s="59">
        <f t="shared" si="36"/>
        <v>213.97034450798111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12.268840577239256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12.268840577239256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8.1999999999999993</v>
      </c>
      <c r="BD45" s="12">
        <f>IF('Données projet'!$A$88&gt;35,BD44+BC45-BL44,IF(A45&lt;'Données projet'!$A$88,$BA$205^A45,IF(A45='Données projet'!$A$88,'Données projet'!$B$88,BD44+BC45-BL44)))</f>
        <v>180.39999999999998</v>
      </c>
      <c r="BE45" s="13">
        <f>BD45*VLOOKUP('Données projet'!$B$11,Paramètres!$A$1:$I$89,3,0)*VLOOKUP('Données projet'!$B$11,Paramètres!$A$1:$I$89,5,0)</f>
        <v>157.59744000000001</v>
      </c>
      <c r="BF45" s="13">
        <f t="shared" si="37"/>
        <v>40.300135037830529</v>
      </c>
      <c r="BG45" s="20">
        <f t="shared" si="7"/>
        <v>344.67160985755481</v>
      </c>
      <c r="BH45" s="59">
        <f t="shared" si="8"/>
        <v>638.00494319088807</v>
      </c>
      <c r="BI45" s="59">
        <f ca="1">AVERAGE(OFFSET($BH$3,0,0,'Données projet'!$E$11+1,1))-AVERAGE(OFFSET($H$3,0,0,'Données projet'!$E$11+1,1))</f>
        <v>324.86930206492627</v>
      </c>
      <c r="BJ45" s="59">
        <f t="shared" si="38"/>
        <v>317.03005098025352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6.562840630927508</v>
      </c>
      <c r="BQ45" s="21">
        <f>EXP(-LN(2)/25)*BQ44+(1-EXP(-LN(2)/25))/(LN(2)/25)*Calculateur!BL45*Calculateur!BN45*VLOOKUP('Données projet'!$B$11,Paramètres!$A$1:$I$89,3,0)*0.475*44/12</f>
        <v>13.945264403145325</v>
      </c>
      <c r="BR45" s="21">
        <f>EXP(-LN(2)/2)*BR44+(1-EXP(-LN(2)/2))/(LN(2)/2)*BL45*BO45*VLOOKUP('Données projet'!$B$11,Paramètres!$A$1:$I$89,3,0)*0.475*44/12</f>
        <v>3.5040911526330119</v>
      </c>
      <c r="BS45" s="22">
        <f t="shared" si="9"/>
        <v>24.012196186705847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3.3603333333333336</v>
      </c>
      <c r="BY45" s="12">
        <f>IF('Données projet'!$A$114&gt;35,BY44+BX45-CG44,IF(A45&lt;'Données projet'!$A$114,$BV$205^A45,IF(A45='Données projet'!$A$114,'Données projet'!$B$114,BY44+BX45-CG44)))</f>
        <v>141.13399999999996</v>
      </c>
      <c r="BZ45" s="13">
        <f>BY45*VLOOKUP('Données projet'!$B$12,Paramètres!$A$1:$I$89,3,0)*VLOOKUP('Données projet'!$B$12,Paramètres!$A$1:$I$89,5,0)</f>
        <v>160.72339919999996</v>
      </c>
      <c r="CA45" s="13">
        <f t="shared" si="39"/>
        <v>41.005637252985878</v>
      </c>
      <c r="CB45" s="20">
        <f t="shared" si="10"/>
        <v>351.34473848895027</v>
      </c>
      <c r="CC45" s="59">
        <f t="shared" si="11"/>
        <v>644.67807182228353</v>
      </c>
      <c r="CD45" s="59">
        <f ca="1">AVERAGE(OFFSET($CC$3,0,0,'Données projet'!$E$12+1,1))-AVERAGE(OFFSET($H$3,0,0,'Données projet'!$E$12+1,1))</f>
        <v>593.28343396240075</v>
      </c>
      <c r="CE45" s="59">
        <f t="shared" si="40"/>
        <v>289.66477662068695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171.96</v>
      </c>
      <c r="CR45" s="12">
        <f>VLOOKUP(A45,'Données projet'!$A$139:$I$159,9,0)</f>
        <v>4.0942857142857143</v>
      </c>
      <c r="CS45" s="12">
        <f t="array" ref="CS45">INDEX(CR:CR,MIN(IF(ISNUMBER(CR45:CR241),ROW(CR45:CR241),"")))</f>
        <v>4.0942857142857143</v>
      </c>
      <c r="CT45" s="12">
        <f>IF('Données projet'!$A$140&gt;35,CT44+CS45-DB44,IF(A45&lt;'Données projet'!$A$140,$CQ$205^A45,IF(A45='Données projet'!$A$140,'Données projet'!$B$140,CT44+CS45-DB44)))</f>
        <v>171.96000000000012</v>
      </c>
      <c r="CU45" s="17">
        <f>CT45*VLOOKUP('Données projet'!$B$13,Paramètres!$A$1:$I$89,3,0)*VLOOKUP('Données projet'!$B$13,Paramètres!$A$1:$I$89,5,0)</f>
        <v>185.09774400000012</v>
      </c>
      <c r="CV45" s="13">
        <f t="shared" si="41"/>
        <v>46.454490304992056</v>
      </c>
      <c r="CW45" s="20">
        <f t="shared" si="13"/>
        <v>403.28680808119469</v>
      </c>
      <c r="CX45" s="59">
        <f t="shared" si="14"/>
        <v>696.62014141452801</v>
      </c>
      <c r="CY45" s="59">
        <f ca="1">AVERAGE(OFFSET($CX$3,0,0,'Données projet'!$E$13+1,1))-AVERAGE(OFFSET($H$3,0,0,'Données projet'!$E$13+1,1))</f>
        <v>747.18304127457918</v>
      </c>
      <c r="CZ45" s="59">
        <f t="shared" si="42"/>
        <v>327.03701004966723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44.510000000000005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0.34400000000000003</v>
      </c>
      <c r="DE45" s="16">
        <f>IF(ISNA(VLOOKUP(A45,'Données projet'!$A$139:$I$159,7,0)),0%,VLOOKUP(A45,'Données projet'!$A$139:$I$159,7,0))</f>
        <v>0.2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18.147778846077113</v>
      </c>
      <c r="DH45" s="21">
        <f>EXP(-LN(2)/2)*DH44+(1-EXP(-LN(2)/2))/(LN(2)/2)*DB45*DE45*VLOOKUP('Données projet'!$B$13,Paramètres!$A$1:$I$89,3,0)*0.475*44/12</f>
        <v>9.0409813255847986</v>
      </c>
      <c r="DI45" s="22">
        <f t="shared" si="15"/>
        <v>27.188760171661912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9.8000000000000007</v>
      </c>
      <c r="DO45" s="12">
        <f>IF('Données projet'!$A$166&gt;35,DO44+DN45-DW44,IF(A45&lt;'Données projet'!$A$166,$DL$205^A45,IF(A45='Données projet'!$A$166,'Données projet'!$B$166,DO44+DN45-DW44)))</f>
        <v>212.60000000000002</v>
      </c>
      <c r="DP45" s="17">
        <f>DO45*VLOOKUP('Données projet'!$B$14,Paramètres!$A$1:$I$89,3,0)*VLOOKUP('Données projet'!$B$14,Paramètres!$A$1:$I$89,5,0)</f>
        <v>169.14456000000004</v>
      </c>
      <c r="DQ45" s="13">
        <f t="shared" si="43"/>
        <v>42.898377267189964</v>
      </c>
      <c r="DR45" s="20">
        <f t="shared" si="16"/>
        <v>369.30811574035596</v>
      </c>
      <c r="DS45" s="59">
        <f t="shared" si="17"/>
        <v>662.64144907368927</v>
      </c>
      <c r="DT45" s="59">
        <f ca="1">AVERAGE(OFFSET($DS$3,0,0,'Données projet'!$E$14+1,1))-AVERAGE(OFFSET($H$3,0,0,'Données projet'!$E$14+1,1))</f>
        <v>353.37479213497227</v>
      </c>
      <c r="DU45" s="59">
        <f t="shared" si="44"/>
        <v>345.4750813433123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10.687087069571179</v>
      </c>
      <c r="EB45" s="21">
        <f>EXP(-LN(2)/25)*EB44+(1-EXP(-LN(2)/25))/(LN(2)/25)*Calculateur!DW45*Calculateur!DY45*VLOOKUP('Données projet'!$B$14,Paramètres!$A$1:$I$89,3,0)*0.475*44/12</f>
        <v>16.602714331083021</v>
      </c>
      <c r="EC45" s="21">
        <f>EXP(-LN(2)/2)*EC44+(1-EXP(-LN(2)/2))/(LN(2)/2)*DW45*DZ45*VLOOKUP('Données projet'!$B$14,Paramètres!$A$1:$I$89,3,0)*0.475*44/12</f>
        <v>3.9892469736731431</v>
      </c>
      <c r="ED45" s="22">
        <f t="shared" si="18"/>
        <v>31.279048374327342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767.16</v>
      </c>
      <c r="EH45" s="12">
        <f>VLOOKUP(A45,'Données projet'!$A$191:$I$211,9,0)</f>
        <v>18.265714285714285</v>
      </c>
      <c r="EI45" s="12">
        <f t="array" ref="EI45">INDEX(EH:EH,MIN(IF(ISNUMBER(EH45:EH241),ROW(EH45:EH241),"")))</f>
        <v>18.265714285714285</v>
      </c>
      <c r="EJ45" s="12">
        <f>IF('Données projet'!$A$192&gt;35,EJ44+EI45-ER44,IF(A45&lt;'Données projet'!$A$192,$EG$205^A45,IF(A45='Données projet'!$A$192,'Données projet'!$B$192,EJ44+EI45-ER44)))</f>
        <v>767.15999999999951</v>
      </c>
      <c r="EK45" s="17">
        <f>EJ45*VLOOKUP('Données projet'!$B$15,Paramètres!$A$1:$I$89,3,0)*VLOOKUP('Données projet'!$B$15,Paramètres!$A$1:$I$89,5,0)</f>
        <v>359.0308799999998</v>
      </c>
      <c r="EL45" s="13">
        <f t="shared" si="45"/>
        <v>83.419297172651241</v>
      </c>
      <c r="EM45" s="20">
        <f t="shared" si="19"/>
        <v>770.60072524236728</v>
      </c>
      <c r="EN45" s="59">
        <f t="shared" si="20"/>
        <v>1063.9340585757006</v>
      </c>
      <c r="EO45" s="59">
        <f ca="1">AVERAGE(OFFSET($EN$3,0,0,'Données projet'!$E$15+1,1))-AVERAGE(OFFSET($H$3,0,0,'Données projet'!$E$15+1,1))</f>
        <v>433.05041777893922</v>
      </c>
      <c r="EP45" s="59">
        <f t="shared" si="46"/>
        <v>591.24088611958996</v>
      </c>
      <c r="EQ45" s="15">
        <f>IF(ISNA(VLOOKUP(A45,'Données projet'!$A$191:$I$211,3,0)),0,VLOOKUP(A45,'Données projet'!$A$191:$I$211,3,0))</f>
        <v>2</v>
      </c>
      <c r="ER45" s="15">
        <f>IF(ISNA(VLOOKUP(A45,'Données projet'!$A$191:$I$211,4,0)),0,VLOOKUP(A45,'Données projet'!$A$191:$I$211,4,0))</f>
        <v>292.26</v>
      </c>
      <c r="ES45" s="16">
        <f>IF(ISNA(VLOOKUP(A45,'Données projet'!$A$191:$I$211,5,0)),0%,VLOOKUP(A45,'Données projet'!$A$191:$I$211,5,0)*VLOOKUP('Données projet'!$B$15,Paramètres!$A$1:$I$89,7,0))</f>
        <v>0.46750000000000003</v>
      </c>
      <c r="ET45" s="16">
        <f>IF(ISNA(VLOOKUP(A45,'Données projet'!$A$191:$I$211,6,0)),0%,VLOOKUP(A45,'Données projet'!$A$191:$I$211,6,0)*VLOOKUP('Données projet'!$B$15,Paramètres!$A$1:$I$89,7,0))</f>
        <v>0.31350000000000006</v>
      </c>
      <c r="EU45" s="16">
        <f>IF(ISNA(VLOOKUP(A45,'Données projet'!$A$191:$I$211,7,0)),0%,VLOOKUP(A45,'Données projet'!$A$191:$I$211,7,0))</f>
        <v>0.58000000000000007</v>
      </c>
      <c r="EV45" s="21">
        <f>EXP(-LN(2)/35)*EV44+(1-EXP(-LN(2)/35))/(LN(2)/35)*ER45*ES45*VLOOKUP('Données projet'!$B$15,Paramètres!$A$1:$I$89,3,0)*0.475*44/12</f>
        <v>84.825261013713614</v>
      </c>
      <c r="EW45" s="21">
        <f>EXP(-LN(2)/25)*EW44+(1-EXP(-LN(2)/25))/(LN(2)/25)*Calculateur!ER45*Calculateur!ET45*VLOOKUP('Données projet'!$B$15,Paramètres!$A$1:$I$89,3,0)*0.475*44/12</f>
        <v>56.658852746920282</v>
      </c>
      <c r="EX45" s="21">
        <f>EXP(-LN(2)/2)*EX44+(1-EXP(-LN(2)/2))/(LN(2)/2)*ER45*EU45*VLOOKUP('Données projet'!$B$15,Paramètres!$A$1:$I$89,3,0)*0.475*44/12</f>
        <v>89.821181988509053</v>
      </c>
      <c r="EY45" s="22">
        <f t="shared" si="21"/>
        <v>231.30529574914294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3.0769230769230775</v>
      </c>
      <c r="FE45" s="12">
        <f>IF('Données projet'!$A$218&gt;35,FE44+FD45-FM44,IF(A45&lt;'Données projet'!$A$218,$FB$205^A45,IF(A45='Données projet'!$A$218,'Données projet'!$B$218,FE44+FD45-FM44)))</f>
        <v>72.179487179487182</v>
      </c>
      <c r="FF45" s="17">
        <f>FE45*VLOOKUP('Données projet'!$B$16,Paramètres!$A$1:$I$89,3,0)*VLOOKUP('Données projet'!$B$16,Paramètres!$A$1:$I$89,5,0)</f>
        <v>58.552000000000007</v>
      </c>
      <c r="FG45" s="13">
        <f t="shared" si="47"/>
        <v>16.801650294444062</v>
      </c>
      <c r="FH45" s="20">
        <f t="shared" si="22"/>
        <v>131.24094092949005</v>
      </c>
      <c r="FI45" s="59">
        <f t="shared" si="23"/>
        <v>424.57427426282334</v>
      </c>
      <c r="FJ45" s="59">
        <f ca="1">AVERAGE(OFFSET($FI$3,0,0,'Données projet'!$E$16+1,1))-AVERAGE(OFFSET($H$3,0,0,'Données projet'!$E$16+1,1))</f>
        <v>159.4660488566085</v>
      </c>
      <c r="FK45" s="59">
        <f t="shared" si="48"/>
        <v>135.33030558297088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2.0948103001956211</v>
      </c>
      <c r="FS45" s="21">
        <f>EXP(-LN(2)/2)*FS44+(1-EXP(-LN(2)/2))/(LN(2)/2)*FM45*FP45*VLOOKUP('Données projet'!$B$16,Paramètres!$A$1:$I$89,3,0)*0.475*44/12</f>
        <v>0.74220658844508269</v>
      </c>
      <c r="FT45" s="22">
        <f t="shared" si="24"/>
        <v>2.8370168886407039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10.110000000000001</v>
      </c>
      <c r="N46" s="13">
        <f>IF('Données projet'!$A$36&gt;35,N45+M46-V45,IF(A46&lt;'Données projet'!$A$36,$K$205^A46,IF(A46='Données projet'!$A$36,'Données projet'!$B$36,N45+M46-V45)))</f>
        <v>137.56000000000012</v>
      </c>
      <c r="O46" s="13">
        <f>N46*VLOOKUP('Données projet'!$B$9,Paramètres!$A$1:$I$89,3,0)*VLOOKUP('Données projet'!$B$9,Paramètres!$A$1:$I$89,5,0)</f>
        <v>139.48584000000011</v>
      </c>
      <c r="P46" s="13">
        <f t="shared" si="33"/>
        <v>36.179193448415994</v>
      </c>
      <c r="Q46" s="20">
        <f t="shared" si="53"/>
        <v>305.94993325599131</v>
      </c>
      <c r="R46" s="59">
        <f t="shared" si="0"/>
        <v>599.28326658932463</v>
      </c>
      <c r="S46" s="59">
        <f ca="1">AVERAGE(OFFSET($R$3,0,0,'Données projet'!$E$9+1,1))-AVERAGE(OFFSET($H$3,0,0,'Données projet'!$E$9+1,1))</f>
        <v>706.69239849991595</v>
      </c>
      <c r="T46" s="59">
        <f t="shared" si="34"/>
        <v>310.59887275116529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16.628249958648695</v>
      </c>
      <c r="AB46" s="21">
        <f>EXP(-LN(2)/2)*AB45+(1-EXP(-LN(2)/2))/(LN(2)/2)*V46*Y46*VLOOKUP('Données projet'!$B$9,Paramètres!$A$1:$I$89,3,0)*0.475*44/12</f>
        <v>6.0223340326612602</v>
      </c>
      <c r="AC46" s="22">
        <f t="shared" si="3"/>
        <v>22.650583991309954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4.1025641025641022</v>
      </c>
      <c r="AI46" s="13">
        <f>IF('Données projet'!$A$62&gt;35,AI45+AH46-AQ45,IF(A46&lt;'Données projet'!$A$62,$AF$205^A46,IF(A46='Données projet'!$A$62,'Données projet'!$B$62,AI45+AH46-AQ45)))</f>
        <v>95.641025641025635</v>
      </c>
      <c r="AJ46" s="13">
        <f>AI46*VLOOKUP('Données projet'!$B$10,Paramètres!$A$1:$I$89,3,0)*VLOOKUP('Données projet'!$B$10,Paramètres!$A$1:$I$89,5,0)</f>
        <v>99.963999999999999</v>
      </c>
      <c r="AK46" s="13">
        <f t="shared" si="35"/>
        <v>26.953420865059858</v>
      </c>
      <c r="AL46" s="20">
        <f t="shared" si="4"/>
        <v>221.04784133997921</v>
      </c>
      <c r="AM46" s="59">
        <f t="shared" si="5"/>
        <v>514.38117467331256</v>
      </c>
      <c r="AN46" s="59">
        <f ca="1">AVERAGE(OFFSET($AM$3,0,0,'Données projet'!$E$10+1,1))-AVERAGE(OFFSET($H$3,0,0,'Données projet'!$E$10+1,1))</f>
        <v>239.26156489359892</v>
      </c>
      <c r="AO46" s="59">
        <f t="shared" si="36"/>
        <v>213.97034450798111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11.933348486464364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11.933348486464364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8.1999999999999993</v>
      </c>
      <c r="BD46" s="12">
        <f>IF('Données projet'!$A$88&gt;35,BD45+BC46-BL45,IF(A46&lt;'Données projet'!$A$88,$BA$205^A46,IF(A46='Données projet'!$A$88,'Données projet'!$B$88,BD45+BC46-BL45)))</f>
        <v>188.59999999999997</v>
      </c>
      <c r="BE46" s="13">
        <f>BD46*VLOOKUP('Données projet'!$B$11,Paramètres!$A$1:$I$89,3,0)*VLOOKUP('Données projet'!$B$11,Paramètres!$A$1:$I$89,5,0)</f>
        <v>164.76095999999998</v>
      </c>
      <c r="BF46" s="13">
        <f t="shared" si="37"/>
        <v>41.91452380971991</v>
      </c>
      <c r="BG46" s="20">
        <f t="shared" si="7"/>
        <v>359.9598009685954</v>
      </c>
      <c r="BH46" s="59">
        <f t="shared" si="8"/>
        <v>653.29313430192872</v>
      </c>
      <c r="BI46" s="59">
        <f ca="1">AVERAGE(OFFSET($BH$3,0,0,'Données projet'!$E$11+1,1))-AVERAGE(OFFSET($H$3,0,0,'Données projet'!$E$11+1,1))</f>
        <v>324.86930206492627</v>
      </c>
      <c r="BJ46" s="59">
        <f t="shared" si="38"/>
        <v>317.03005098025352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6.4341473290925473</v>
      </c>
      <c r="BQ46" s="21">
        <f>EXP(-LN(2)/25)*BQ45+(1-EXP(-LN(2)/25))/(LN(2)/25)*Calculateur!BL46*Calculateur!BN46*VLOOKUP('Données projet'!$B$11,Paramètres!$A$1:$I$89,3,0)*0.475*44/12</f>
        <v>13.563930414691734</v>
      </c>
      <c r="BR46" s="21">
        <f>EXP(-LN(2)/2)*BR45+(1-EXP(-LN(2)/2))/(LN(2)/2)*BL46*BO46*VLOOKUP('Données projet'!$B$11,Paramètres!$A$1:$I$89,3,0)*0.475*44/12</f>
        <v>2.4777666159225884</v>
      </c>
      <c r="BS46" s="22">
        <f t="shared" si="9"/>
        <v>22.475844359706869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3.3603333333333336</v>
      </c>
      <c r="BY46" s="12">
        <f>IF('Données projet'!$A$114&gt;35,BY45+BX46-CG45,IF(A46&lt;'Données projet'!$A$114,$BV$205^A46,IF(A46='Données projet'!$A$114,'Données projet'!$B$114,BY45+BX46-CG45)))</f>
        <v>144.49433333333329</v>
      </c>
      <c r="BZ46" s="13">
        <f>BY46*VLOOKUP('Données projet'!$B$12,Paramètres!$A$1:$I$89,3,0)*VLOOKUP('Données projet'!$B$12,Paramètres!$A$1:$I$89,5,0)</f>
        <v>164.55014679999996</v>
      </c>
      <c r="CA46" s="13">
        <f t="shared" si="39"/>
        <v>41.867132786511242</v>
      </c>
      <c r="CB46" s="20">
        <f t="shared" si="10"/>
        <v>359.5100952798403</v>
      </c>
      <c r="CC46" s="59">
        <f t="shared" si="11"/>
        <v>652.84342861317361</v>
      </c>
      <c r="CD46" s="59">
        <f ca="1">AVERAGE(OFFSET($CC$3,0,0,'Données projet'!$E$12+1,1))-AVERAGE(OFFSET($H$3,0,0,'Données projet'!$E$12+1,1))</f>
        <v>593.28343396240075</v>
      </c>
      <c r="CE46" s="59">
        <f t="shared" si="40"/>
        <v>289.66477662068695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10.110000000000001</v>
      </c>
      <c r="CT46" s="12">
        <f>IF('Données projet'!$A$140&gt;35,CT45+CS46-DB45,IF(A46&lt;'Données projet'!$A$140,$CQ$205^A46,IF(A46='Données projet'!$A$140,'Données projet'!$B$140,CT45+CS46-DB45)))</f>
        <v>137.56000000000012</v>
      </c>
      <c r="CU46" s="17">
        <f>CT46*VLOOKUP('Données projet'!$B$13,Paramètres!$A$1:$I$89,3,0)*VLOOKUP('Données projet'!$B$13,Paramètres!$A$1:$I$89,5,0)</f>
        <v>148.06958400000011</v>
      </c>
      <c r="CV46" s="13">
        <f t="shared" si="41"/>
        <v>38.139561490991106</v>
      </c>
      <c r="CW46" s="20">
        <f t="shared" si="13"/>
        <v>324.31426173014296</v>
      </c>
      <c r="CX46" s="59">
        <f t="shared" si="14"/>
        <v>617.64759506347627</v>
      </c>
      <c r="CY46" s="59">
        <f ca="1">AVERAGE(OFFSET($CX$3,0,0,'Données projet'!$E$13+1,1))-AVERAGE(OFFSET($H$3,0,0,'Données projet'!$E$13+1,1))</f>
        <v>747.18304127457918</v>
      </c>
      <c r="CZ46" s="59">
        <f t="shared" si="42"/>
        <v>327.03701004966723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17.651526879180921</v>
      </c>
      <c r="DH46" s="21">
        <f>EXP(-LN(2)/2)*DH45+(1-EXP(-LN(2)/2))/(LN(2)/2)*DB46*DE46*VLOOKUP('Données projet'!$B$13,Paramètres!$A$1:$I$89,3,0)*0.475*44/12</f>
        <v>6.3929392039019532</v>
      </c>
      <c r="DI46" s="22">
        <f t="shared" si="15"/>
        <v>24.044466083082874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9.8000000000000007</v>
      </c>
      <c r="DO46" s="12">
        <f>IF('Données projet'!$A$166&gt;35,DO45+DN46-DW45,IF(A46&lt;'Données projet'!$A$166,$DL$205^A46,IF(A46='Données projet'!$A$166,'Données projet'!$B$166,DO45+DN46-DW45)))</f>
        <v>222.40000000000003</v>
      </c>
      <c r="DP46" s="17">
        <f>DO46*VLOOKUP('Données projet'!$B$14,Paramètres!$A$1:$I$89,3,0)*VLOOKUP('Données projet'!$B$14,Paramètres!$A$1:$I$89,5,0)</f>
        <v>176.94144000000003</v>
      </c>
      <c r="DQ46" s="13">
        <f t="shared" si="43"/>
        <v>44.641035679901449</v>
      </c>
      <c r="DR46" s="20">
        <f t="shared" si="16"/>
        <v>385.92281180916171</v>
      </c>
      <c r="DS46" s="59">
        <f t="shared" si="17"/>
        <v>679.25614514249503</v>
      </c>
      <c r="DT46" s="59">
        <f ca="1">AVERAGE(OFFSET($DS$3,0,0,'Données projet'!$E$14+1,1))-AVERAGE(OFFSET($H$3,0,0,'Données projet'!$E$14+1,1))</f>
        <v>353.37479213497227</v>
      </c>
      <c r="DU46" s="59">
        <f t="shared" si="44"/>
        <v>345.4750813433123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10.477519810616354</v>
      </c>
      <c r="EB46" s="21">
        <f>EXP(-LN(2)/25)*EB45+(1-EXP(-LN(2)/25))/(LN(2)/25)*Calculateur!DW46*Calculateur!DY46*VLOOKUP('Données projet'!$B$14,Paramètres!$A$1:$I$89,3,0)*0.475*44/12</f>
        <v>16.148712234600755</v>
      </c>
      <c r="EC46" s="21">
        <f>EXP(-LN(2)/2)*EC45+(1-EXP(-LN(2)/2))/(LN(2)/2)*DW46*DZ46*VLOOKUP('Données projet'!$B$14,Paramètres!$A$1:$I$89,3,0)*0.475*44/12</f>
        <v>2.8208235869121925</v>
      </c>
      <c r="ED46" s="22">
        <f t="shared" si="18"/>
        <v>29.447055632129299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-15.628571428571425</v>
      </c>
      <c r="EJ46" s="12">
        <f>IF('Données projet'!$A$192&gt;35,EJ45+EI46-ER45,IF(A46&lt;'Données projet'!$A$192,$EG$205^A46,IF(A46='Données projet'!$A$192,'Données projet'!$B$192,EJ45+EI46-ER45)))</f>
        <v>459.27142857142815</v>
      </c>
      <c r="EK46" s="17">
        <f>EJ46*VLOOKUP('Données projet'!$B$15,Paramètres!$A$1:$I$89,3,0)*VLOOKUP('Données projet'!$B$15,Paramètres!$A$1:$I$89,5,0)</f>
        <v>214.93902857142837</v>
      </c>
      <c r="EL46" s="13">
        <f t="shared" si="45"/>
        <v>53.013423110650983</v>
      </c>
      <c r="EM46" s="20">
        <f t="shared" si="19"/>
        <v>466.68385334628823</v>
      </c>
      <c r="EN46" s="59">
        <f t="shared" si="20"/>
        <v>760.01718667962155</v>
      </c>
      <c r="EO46" s="59">
        <f ca="1">AVERAGE(OFFSET($EN$3,0,0,'Données projet'!$E$15+1,1))-AVERAGE(OFFSET($H$3,0,0,'Données projet'!$E$15+1,1))</f>
        <v>433.05041777893922</v>
      </c>
      <c r="EP46" s="59">
        <f t="shared" si="46"/>
        <v>591.24088611958996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83.161889383535183</v>
      </c>
      <c r="EW46" s="21">
        <f>EXP(-LN(2)/25)*EW45+(1-EXP(-LN(2)/25))/(LN(2)/25)*Calculateur!ER46*Calculateur!ET46*VLOOKUP('Données projet'!$B$15,Paramètres!$A$1:$I$89,3,0)*0.475*44/12</f>
        <v>55.109513438996174</v>
      </c>
      <c r="EX46" s="21">
        <f>EXP(-LN(2)/2)*EX45+(1-EXP(-LN(2)/2))/(LN(2)/2)*ER46*EU46*VLOOKUP('Données projet'!$B$15,Paramètres!$A$1:$I$89,3,0)*0.475*44/12</f>
        <v>63.513166878265736</v>
      </c>
      <c r="EY46" s="22">
        <f t="shared" si="21"/>
        <v>201.78456970079708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3.0769230769230775</v>
      </c>
      <c r="FE46" s="12">
        <f>IF('Données projet'!$A$218&gt;35,FE45+FD46-FM45,IF(A46&lt;'Données projet'!$A$218,$FB$205^A46,IF(A46='Données projet'!$A$218,'Données projet'!$B$218,FE45+FD46-FM45)))</f>
        <v>75.256410256410263</v>
      </c>
      <c r="FF46" s="17">
        <f>FE46*VLOOKUP('Données projet'!$B$16,Paramètres!$A$1:$I$89,3,0)*VLOOKUP('Données projet'!$B$16,Paramètres!$A$1:$I$89,5,0)</f>
        <v>61.048000000000009</v>
      </c>
      <c r="FG46" s="13">
        <f t="shared" si="47"/>
        <v>17.432968673131619</v>
      </c>
      <c r="FH46" s="20">
        <f t="shared" si="22"/>
        <v>136.68768710570427</v>
      </c>
      <c r="FI46" s="59">
        <f t="shared" si="23"/>
        <v>430.02102043903756</v>
      </c>
      <c r="FJ46" s="59">
        <f ca="1">AVERAGE(OFFSET($FI$3,0,0,'Données projet'!$E$16+1,1))-AVERAGE(OFFSET($H$3,0,0,'Données projet'!$E$16+1,1))</f>
        <v>159.4660488566085</v>
      </c>
      <c r="FK46" s="59">
        <f t="shared" si="48"/>
        <v>135.33030558297088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2.0375276023754858</v>
      </c>
      <c r="FS46" s="21">
        <f>EXP(-LN(2)/2)*FS45+(1-EXP(-LN(2)/2))/(LN(2)/2)*FM46*FP46*VLOOKUP('Données projet'!$B$16,Paramètres!$A$1:$I$89,3,0)*0.475*44/12</f>
        <v>0.52481931173085106</v>
      </c>
      <c r="FT46" s="22">
        <f t="shared" si="24"/>
        <v>2.5623469141063371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10.110000000000001</v>
      </c>
      <c r="N47" s="13">
        <f>IF('Données projet'!$A$36&gt;35,N46+M47-V46,IF(A47&lt;'Données projet'!$A$36,$K$205^A47,IF(A47='Données projet'!$A$36,'Données projet'!$B$36,N46+M47-V46)))</f>
        <v>147.67000000000013</v>
      </c>
      <c r="O47" s="13">
        <f>N47*VLOOKUP('Données projet'!$B$9,Paramètres!$A$1:$I$89,3,0)*VLOOKUP('Données projet'!$B$9,Paramètres!$A$1:$I$89,5,0)</f>
        <v>149.73738000000014</v>
      </c>
      <c r="P47" s="13">
        <f t="shared" si="33"/>
        <v>38.518898198188772</v>
      </c>
      <c r="Q47" s="20">
        <f t="shared" si="53"/>
        <v>327.87968452851231</v>
      </c>
      <c r="R47" s="59">
        <f t="shared" si="0"/>
        <v>621.21301786184563</v>
      </c>
      <c r="S47" s="59">
        <f ca="1">AVERAGE(OFFSET($R$3,0,0,'Données projet'!$E$9+1,1))-AVERAGE(OFFSET($H$3,0,0,'Données projet'!$E$9+1,1))</f>
        <v>706.69239849991595</v>
      </c>
      <c r="T47" s="59">
        <f t="shared" si="34"/>
        <v>310.59887275116529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16.173549589087784</v>
      </c>
      <c r="AB47" s="21">
        <f>EXP(-LN(2)/2)*AB46+(1-EXP(-LN(2)/2))/(LN(2)/2)*V47*Y47*VLOOKUP('Données projet'!$B$9,Paramètres!$A$1:$I$89,3,0)*0.475*44/12</f>
        <v>4.2584332330653041</v>
      </c>
      <c r="AC47" s="22">
        <f t="shared" si="3"/>
        <v>20.431982822153088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4.1025641025641022</v>
      </c>
      <c r="AI47" s="13">
        <f>IF('Données projet'!$A$62&gt;35,AI46+AH47-AQ46,IF(A47&lt;'Données projet'!$A$62,$AF$205^A47,IF(A47='Données projet'!$A$62,'Données projet'!$B$62,AI46+AH47-AQ46)))</f>
        <v>99.743589743589737</v>
      </c>
      <c r="AJ47" s="13">
        <f>AI47*VLOOKUP('Données projet'!$B$10,Paramètres!$A$1:$I$89,3,0)*VLOOKUP('Données projet'!$B$10,Paramètres!$A$1:$I$89,5,0)</f>
        <v>104.252</v>
      </c>
      <c r="AK47" s="13">
        <f t="shared" si="35"/>
        <v>27.972509924429268</v>
      </c>
      <c r="AL47" s="20">
        <f t="shared" si="4"/>
        <v>230.2910214517143</v>
      </c>
      <c r="AM47" s="59">
        <f t="shared" si="5"/>
        <v>523.62435478504767</v>
      </c>
      <c r="AN47" s="59">
        <f ca="1">AVERAGE(OFFSET($AM$3,0,0,'Données projet'!$E$10+1,1))-AVERAGE(OFFSET($H$3,0,0,'Données projet'!$E$10+1,1))</f>
        <v>239.26156489359892</v>
      </c>
      <c r="AO47" s="59">
        <f t="shared" si="36"/>
        <v>213.97034450798111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11.607030444554473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11.607030444554473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8.1999999999999993</v>
      </c>
      <c r="BD47" s="12">
        <f>IF('Données projet'!$A$88&gt;35,BD46+BC47-BL46,IF(A47&lt;'Données projet'!$A$88,$BA$205^A47,IF(A47='Données projet'!$A$88,'Données projet'!$B$88,BD46+BC47-BL46)))</f>
        <v>196.79999999999995</v>
      </c>
      <c r="BE47" s="13">
        <f>BD47*VLOOKUP('Données projet'!$B$11,Paramètres!$A$1:$I$89,3,0)*VLOOKUP('Données projet'!$B$11,Paramètres!$A$1:$I$89,5,0)</f>
        <v>171.92447999999999</v>
      </c>
      <c r="BF47" s="13">
        <f t="shared" si="37"/>
        <v>43.520760297647755</v>
      </c>
      <c r="BG47" s="20">
        <f t="shared" si="7"/>
        <v>375.23379351840316</v>
      </c>
      <c r="BH47" s="59">
        <f t="shared" si="8"/>
        <v>668.56712685173648</v>
      </c>
      <c r="BI47" s="59">
        <f ca="1">AVERAGE(OFFSET($BH$3,0,0,'Données projet'!$E$11+1,1))-AVERAGE(OFFSET($H$3,0,0,'Données projet'!$E$11+1,1))</f>
        <v>324.86930206492627</v>
      </c>
      <c r="BJ47" s="59">
        <f t="shared" si="38"/>
        <v>317.03005098025352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6.3079776244114063</v>
      </c>
      <c r="BQ47" s="21">
        <f>EXP(-LN(2)/25)*BQ46+(1-EXP(-LN(2)/25))/(LN(2)/25)*Calculateur!BL47*Calculateur!BN47*VLOOKUP('Données projet'!$B$11,Paramètres!$A$1:$I$89,3,0)*0.475*44/12</f>
        <v>13.193024024205888</v>
      </c>
      <c r="BR47" s="21">
        <f>EXP(-LN(2)/2)*BR46+(1-EXP(-LN(2)/2))/(LN(2)/2)*BL47*BO47*VLOOKUP('Données projet'!$B$11,Paramètres!$A$1:$I$89,3,0)*0.475*44/12</f>
        <v>1.7520455763165061</v>
      </c>
      <c r="BS47" s="22">
        <f t="shared" si="9"/>
        <v>21.253047224933798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3.3603333333333336</v>
      </c>
      <c r="BY47" s="12">
        <f>IF('Données projet'!$A$114&gt;35,BY46+BX47-CG46,IF(A47&lt;'Données projet'!$A$114,$BV$205^A47,IF(A47='Données projet'!$A$114,'Données projet'!$B$114,BY46+BX47-CG46)))</f>
        <v>147.85466666666662</v>
      </c>
      <c r="BZ47" s="13">
        <f>BY47*VLOOKUP('Données projet'!$B$12,Paramètres!$A$1:$I$89,3,0)*VLOOKUP('Données projet'!$B$12,Paramètres!$A$1:$I$89,5,0)</f>
        <v>168.37689439999994</v>
      </c>
      <c r="CA47" s="13">
        <f t="shared" si="39"/>
        <v>42.726299203325233</v>
      </c>
      <c r="CB47" s="20">
        <f t="shared" si="10"/>
        <v>367.6713955257913</v>
      </c>
      <c r="CC47" s="59">
        <f t="shared" si="11"/>
        <v>661.00472885912461</v>
      </c>
      <c r="CD47" s="59">
        <f ca="1">AVERAGE(OFFSET($CC$3,0,0,'Données projet'!$E$12+1,1))-AVERAGE(OFFSET($H$3,0,0,'Données projet'!$E$12+1,1))</f>
        <v>593.28343396240075</v>
      </c>
      <c r="CE47" s="59">
        <f t="shared" si="40"/>
        <v>289.66477662068695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10.110000000000001</v>
      </c>
      <c r="CT47" s="12">
        <f>IF('Données projet'!$A$140&gt;35,CT46+CS47-DB46,IF(A47&lt;'Données projet'!$A$140,$CQ$205^A47,IF(A47='Données projet'!$A$140,'Données projet'!$B$140,CT46+CS47-DB46)))</f>
        <v>147.67000000000013</v>
      </c>
      <c r="CU47" s="17">
        <f>CT47*VLOOKUP('Données projet'!$B$13,Paramètres!$A$1:$I$89,3,0)*VLOOKUP('Données projet'!$B$13,Paramètres!$A$1:$I$89,5,0)</f>
        <v>158.95198800000011</v>
      </c>
      <c r="CV47" s="13">
        <f t="shared" si="41"/>
        <v>40.606043042105632</v>
      </c>
      <c r="CW47" s="20">
        <f t="shared" si="13"/>
        <v>347.56357073166754</v>
      </c>
      <c r="CX47" s="59">
        <f t="shared" si="14"/>
        <v>640.89690406500085</v>
      </c>
      <c r="CY47" s="59">
        <f ca="1">AVERAGE(OFFSET($CX$3,0,0,'Données projet'!$E$13+1,1))-AVERAGE(OFFSET($H$3,0,0,'Données projet'!$E$13+1,1))</f>
        <v>747.18304127457918</v>
      </c>
      <c r="CZ47" s="59">
        <f t="shared" si="42"/>
        <v>327.03701004966723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17.168844948416261</v>
      </c>
      <c r="DH47" s="21">
        <f>EXP(-LN(2)/2)*DH46+(1-EXP(-LN(2)/2))/(LN(2)/2)*DB47*DE47*VLOOKUP('Données projet'!$B$13,Paramètres!$A$1:$I$89,3,0)*0.475*44/12</f>
        <v>4.5204906627924002</v>
      </c>
      <c r="DI47" s="22">
        <f t="shared" si="15"/>
        <v>21.689335611208662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9.8000000000000007</v>
      </c>
      <c r="DO47" s="12">
        <f>IF('Données projet'!$A$166&gt;35,DO46+DN47-DW46,IF(A47&lt;'Données projet'!$A$166,$DL$205^A47,IF(A47='Données projet'!$A$166,'Données projet'!$B$166,DO46+DN47-DW46)))</f>
        <v>232.20000000000005</v>
      </c>
      <c r="DP47" s="17">
        <f>DO47*VLOOKUP('Données projet'!$B$14,Paramètres!$A$1:$I$89,3,0)*VLOOKUP('Données projet'!$B$14,Paramètres!$A$1:$I$89,5,0)</f>
        <v>184.73832000000004</v>
      </c>
      <c r="DQ47" s="13">
        <f t="shared" si="43"/>
        <v>46.374775595471988</v>
      </c>
      <c r="DR47" s="20">
        <f t="shared" si="16"/>
        <v>402.52197482878046</v>
      </c>
      <c r="DS47" s="59">
        <f t="shared" si="17"/>
        <v>695.85530816211372</v>
      </c>
      <c r="DT47" s="59">
        <f ca="1">AVERAGE(OFFSET($DS$3,0,0,'Données projet'!$E$14+1,1))-AVERAGE(OFFSET($H$3,0,0,'Données projet'!$E$14+1,1))</f>
        <v>353.37479213497227</v>
      </c>
      <c r="DU47" s="59">
        <f t="shared" si="44"/>
        <v>345.4750813433123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10.272062037786226</v>
      </c>
      <c r="EB47" s="21">
        <f>EXP(-LN(2)/25)*EB46+(1-EXP(-LN(2)/25))/(LN(2)/25)*Calculateur!DW47*Calculateur!DY47*VLOOKUP('Données projet'!$B$14,Paramètres!$A$1:$I$89,3,0)*0.475*44/12</f>
        <v>15.70712484932173</v>
      </c>
      <c r="EC47" s="21">
        <f>EXP(-LN(2)/2)*EC46+(1-EXP(-LN(2)/2))/(LN(2)/2)*DW47*DZ47*VLOOKUP('Données projet'!$B$14,Paramètres!$A$1:$I$89,3,0)*0.475*44/12</f>
        <v>1.994623486836572</v>
      </c>
      <c r="ED47" s="22">
        <f t="shared" si="18"/>
        <v>27.973810373944531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-15.628571428571425</v>
      </c>
      <c r="EJ47" s="12">
        <f>IF('Données projet'!$A$192&gt;35,EJ46+EI47-ER46,IF(A47&lt;'Données projet'!$A$192,$EG$205^A47,IF(A47='Données projet'!$A$192,'Données projet'!$B$192,EJ46+EI47-ER46)))</f>
        <v>443.64285714285671</v>
      </c>
      <c r="EK47" s="17">
        <f>EJ47*VLOOKUP('Données projet'!$B$15,Paramètres!$A$1:$I$89,3,0)*VLOOKUP('Données projet'!$B$15,Paramètres!$A$1:$I$89,5,0)</f>
        <v>207.62485714285694</v>
      </c>
      <c r="EL47" s="13">
        <f t="shared" si="45"/>
        <v>51.416214127138396</v>
      </c>
      <c r="EM47" s="20">
        <f t="shared" si="19"/>
        <v>451.16319912857512</v>
      </c>
      <c r="EN47" s="59">
        <f t="shared" si="20"/>
        <v>744.49653246190837</v>
      </c>
      <c r="EO47" s="59">
        <f ca="1">AVERAGE(OFFSET($EN$3,0,0,'Données projet'!$E$15+1,1))-AVERAGE(OFFSET($H$3,0,0,'Données projet'!$E$15+1,1))</f>
        <v>433.05041777893922</v>
      </c>
      <c r="EP47" s="59">
        <f t="shared" si="46"/>
        <v>591.24088611958996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81.531135456468022</v>
      </c>
      <c r="EW47" s="21">
        <f>EXP(-LN(2)/25)*EW46+(1-EXP(-LN(2)/25))/(LN(2)/25)*Calculateur!ER47*Calculateur!ET47*VLOOKUP('Données projet'!$B$15,Paramètres!$A$1:$I$89,3,0)*0.475*44/12</f>
        <v>53.602540895923468</v>
      </c>
      <c r="EX47" s="21">
        <f>EXP(-LN(2)/2)*EX46+(1-EXP(-LN(2)/2))/(LN(2)/2)*ER47*EU47*VLOOKUP('Données projet'!$B$15,Paramètres!$A$1:$I$89,3,0)*0.475*44/12</f>
        <v>44.910590994254534</v>
      </c>
      <c r="EY47" s="22">
        <f t="shared" si="21"/>
        <v>180.04426734664602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3.0769230769230775</v>
      </c>
      <c r="FE47" s="12">
        <f>IF('Données projet'!$A$218&gt;35,FE46+FD47-FM46,IF(A47&lt;'Données projet'!$A$218,$FB$205^A47,IF(A47='Données projet'!$A$218,'Données projet'!$B$218,FE46+FD47-FM46)))</f>
        <v>78.333333333333343</v>
      </c>
      <c r="FF47" s="17">
        <f>FE47*VLOOKUP('Données projet'!$B$16,Paramètres!$A$1:$I$89,3,0)*VLOOKUP('Données projet'!$B$16,Paramètres!$A$1:$I$89,5,0)</f>
        <v>63.544000000000018</v>
      </c>
      <c r="FG47" s="13">
        <f t="shared" si="47"/>
        <v>18.06128879147133</v>
      </c>
      <c r="FH47" s="20">
        <f t="shared" si="22"/>
        <v>142.12921131181261</v>
      </c>
      <c r="FI47" s="59">
        <f t="shared" si="23"/>
        <v>435.46254464514595</v>
      </c>
      <c r="FJ47" s="59">
        <f ca="1">AVERAGE(OFFSET($FI$3,0,0,'Données projet'!$E$16+1,1))-AVERAGE(OFFSET($H$3,0,0,'Données projet'!$E$16+1,1))</f>
        <v>159.4660488566085</v>
      </c>
      <c r="FK47" s="59">
        <f t="shared" si="48"/>
        <v>135.33030558297088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1.9818113029396083</v>
      </c>
      <c r="FS47" s="21">
        <f>EXP(-LN(2)/2)*FS46+(1-EXP(-LN(2)/2))/(LN(2)/2)*FM47*FP47*VLOOKUP('Données projet'!$B$16,Paramètres!$A$1:$I$89,3,0)*0.475*44/12</f>
        <v>0.3711032942225414</v>
      </c>
      <c r="FT47" s="22">
        <f t="shared" si="24"/>
        <v>2.3529145971621497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10.110000000000001</v>
      </c>
      <c r="N48" s="13">
        <f>IF('Données projet'!$A$36&gt;35,N47+M48-V47,IF(A48&lt;'Données projet'!$A$36,$K$205^A48,IF(A48='Données projet'!$A$36,'Données projet'!$B$36,N47+M48-V47)))</f>
        <v>157.78000000000014</v>
      </c>
      <c r="O48" s="13">
        <f>N48*VLOOKUP('Données projet'!$B$9,Paramètres!$A$1:$I$89,3,0)*VLOOKUP('Données projet'!$B$9,Paramètres!$A$1:$I$89,5,0)</f>
        <v>159.98892000000018</v>
      </c>
      <c r="P48" s="13">
        <f t="shared" si="33"/>
        <v>40.840016271695262</v>
      </c>
      <c r="Q48" s="20">
        <f t="shared" si="53"/>
        <v>349.77706400653625</v>
      </c>
      <c r="R48" s="59">
        <f t="shared" si="0"/>
        <v>643.11039733986956</v>
      </c>
      <c r="S48" s="59">
        <f ca="1">AVERAGE(OFFSET($R$3,0,0,'Données projet'!$E$9+1,1))-AVERAGE(OFFSET($H$3,0,0,'Données projet'!$E$9+1,1))</f>
        <v>706.69239849991595</v>
      </c>
      <c r="T48" s="59">
        <f t="shared" si="34"/>
        <v>310.59887275116529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15.731283025044171</v>
      </c>
      <c r="AB48" s="21">
        <f>EXP(-LN(2)/2)*AB47+(1-EXP(-LN(2)/2))/(LN(2)/2)*V48*Y48*VLOOKUP('Données projet'!$B$9,Paramètres!$A$1:$I$89,3,0)*0.475*44/12</f>
        <v>3.0111670163306301</v>
      </c>
      <c r="AC48" s="22">
        <f t="shared" si="3"/>
        <v>18.742450041374802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103.84615384615384</v>
      </c>
      <c r="AG48" s="12">
        <f>VLOOKUP(A48,'Données projet'!$A$61:$I$81,9,0)</f>
        <v>4.1025641025641022</v>
      </c>
      <c r="AH48" s="12">
        <f t="array" ref="AH48">INDEX(AG:AG,MIN(IF(ISNUMBER(AG48:AG244),ROW(AG48:AG244),"")))</f>
        <v>4.1025641025641022</v>
      </c>
      <c r="AI48" s="13">
        <f>IF('Données projet'!$A$62&gt;35,AI47+AH48-AQ47,IF(A48&lt;'Données projet'!$A$62,$AF$205^A48,IF(A48='Données projet'!$A$62,'Données projet'!$B$62,AI47+AH48-AQ47)))</f>
        <v>103.84615384615384</v>
      </c>
      <c r="AJ48" s="13">
        <f>AI48*VLOOKUP('Données projet'!$B$10,Paramètres!$A$1:$I$89,3,0)*VLOOKUP('Données projet'!$B$10,Paramètres!$A$1:$I$89,5,0)</f>
        <v>108.54</v>
      </c>
      <c r="AK48" s="13">
        <f t="shared" si="35"/>
        <v>28.986730142355373</v>
      </c>
      <c r="AL48" s="20">
        <f t="shared" si="4"/>
        <v>239.52572166460229</v>
      </c>
      <c r="AM48" s="59">
        <f t="shared" si="5"/>
        <v>532.85905499793557</v>
      </c>
      <c r="AN48" s="59">
        <f ca="1">AVERAGE(OFFSET($AM$3,0,0,'Données projet'!$E$10+1,1))-AVERAGE(OFFSET($H$3,0,0,'Données projet'!$E$10+1,1))</f>
        <v>239.26156489359892</v>
      </c>
      <c r="AO48" s="59">
        <f t="shared" si="36"/>
        <v>213.97034450798111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12.179487179487179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0.215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14.303339734332848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14.303339734332848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205</v>
      </c>
      <c r="BB48" s="12">
        <f>VLOOKUP(A48,'Données projet'!$A$87:$I$107,9,0)</f>
        <v>8.1999999999999993</v>
      </c>
      <c r="BC48" s="12">
        <f t="array" ref="BC48">INDEX(BB:BB,MIN(IF(ISNUMBER(BB48:BB244),ROW(BB48:BB244),"")))</f>
        <v>8.1999999999999993</v>
      </c>
      <c r="BD48" s="12">
        <f>IF('Données projet'!$A$88&gt;35,BD47+BC48-BL47,IF(A48&lt;'Données projet'!$A$88,$BA$205^A48,IF(A48='Données projet'!$A$88,'Données projet'!$B$88,BD47+BC48-BL47)))</f>
        <v>204.99999999999994</v>
      </c>
      <c r="BE48" s="13">
        <f>BD48*VLOOKUP('Données projet'!$B$11,Paramètres!$A$1:$I$89,3,0)*VLOOKUP('Données projet'!$B$11,Paramètres!$A$1:$I$89,5,0)</f>
        <v>179.08799999999997</v>
      </c>
      <c r="BF48" s="13">
        <f t="shared" si="37"/>
        <v>45.119223023956835</v>
      </c>
      <c r="BG48" s="20">
        <f t="shared" si="7"/>
        <v>390.49424676672476</v>
      </c>
      <c r="BH48" s="59">
        <f t="shared" si="8"/>
        <v>683.82758010005807</v>
      </c>
      <c r="BI48" s="59">
        <f ca="1">AVERAGE(OFFSET($BH$3,0,0,'Données projet'!$E$11+1,1))-AVERAGE(OFFSET($H$3,0,0,'Données projet'!$E$11+1,1))</f>
        <v>324.86930206492627</v>
      </c>
      <c r="BJ48" s="59">
        <f t="shared" si="38"/>
        <v>317.03005098025352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22</v>
      </c>
      <c r="BM48" s="16">
        <f>IF(ISNA(VLOOKUP(A48,'Données projet'!$A$87:$I$107,5,0)),0%,VLOOKUP(A48,'Données projet'!$A$87:$I$107,5,0)*VLOOKUP('Données projet'!$B$11,Paramètres!$A$1:$I$89,7,0))</f>
        <v>0.13250000000000001</v>
      </c>
      <c r="BN48" s="16">
        <f>IF(ISNA(VLOOKUP(A48,'Données projet'!$A$87:$I$107,6,0)),0%,VLOOKUP(A48,'Données projet'!$A$87:$I$107,6,0)*VLOOKUP('Données projet'!$B$11,Paramètres!$A$1:$I$89,7,0))</f>
        <v>0.13250000000000001</v>
      </c>
      <c r="BO48" s="16">
        <f>IF(ISNA(VLOOKUP(A48,'Données projet'!$A$87:$I$107,7,0)),0%,VLOOKUP(A48,'Données projet'!$A$87:$I$107,7,0))</f>
        <v>0.25</v>
      </c>
      <c r="BP48" s="21">
        <f>EXP(-LN(2)/35)*BP47+(1-EXP(-LN(2)/35))/(LN(2)/35)*BL48*BM48*VLOOKUP('Données projet'!$B$11,Paramètres!$A$1:$I$89,3,0)*0.475*44/12</f>
        <v>8.9994109928604988</v>
      </c>
      <c r="BQ48" s="21">
        <f>EXP(-LN(2)/25)*BQ47+(1-EXP(-LN(2)/25))/(LN(2)/25)*Calculateur!BL48*Calculateur!BN48*VLOOKUP('Données projet'!$B$11,Paramètres!$A$1:$I$89,3,0)*0.475*44/12</f>
        <v>15.636304815278034</v>
      </c>
      <c r="BR48" s="21">
        <f>EXP(-LN(2)/2)*BR47+(1-EXP(-LN(2)/2))/(LN(2)/2)*BL48*BO48*VLOOKUP('Données projet'!$B$11,Paramètres!$A$1:$I$89,3,0)*0.475*44/12</f>
        <v>5.7723414272572642</v>
      </c>
      <c r="BS48" s="22">
        <f t="shared" si="9"/>
        <v>30.408057235395798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3.3603333333333336</v>
      </c>
      <c r="BY48" s="12">
        <f>IF('Données projet'!$A$114&gt;35,BY47+BX48-CG47,IF(A48&lt;'Données projet'!$A$114,$BV$205^A48,IF(A48='Données projet'!$A$114,'Données projet'!$B$114,BY47+BX48-CG47)))</f>
        <v>151.21499999999995</v>
      </c>
      <c r="BZ48" s="13">
        <f>BY48*VLOOKUP('Données projet'!$B$12,Paramètres!$A$1:$I$89,3,0)*VLOOKUP('Données projet'!$B$12,Paramètres!$A$1:$I$89,5,0)</f>
        <v>172.20364199999995</v>
      </c>
      <c r="CA48" s="13">
        <f t="shared" si="39"/>
        <v>43.583195531641088</v>
      </c>
      <c r="CB48" s="20">
        <f t="shared" si="10"/>
        <v>375.82874203427474</v>
      </c>
      <c r="CC48" s="59">
        <f t="shared" si="11"/>
        <v>669.16207536760805</v>
      </c>
      <c r="CD48" s="59">
        <f ca="1">AVERAGE(OFFSET($CC$3,0,0,'Données projet'!$E$12+1,1))-AVERAGE(OFFSET($H$3,0,0,'Données projet'!$E$12+1,1))</f>
        <v>593.28343396240075</v>
      </c>
      <c r="CE48" s="59">
        <f t="shared" si="40"/>
        <v>289.66477662068695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10.110000000000001</v>
      </c>
      <c r="CT48" s="12">
        <f>IF('Données projet'!$A$140&gt;35,CT47+CS48-DB47,IF(A48&lt;'Données projet'!$A$140,$CQ$205^A48,IF(A48='Données projet'!$A$140,'Données projet'!$B$140,CT47+CS48-DB47)))</f>
        <v>157.78000000000014</v>
      </c>
      <c r="CU48" s="17">
        <f>CT48*VLOOKUP('Données projet'!$B$13,Paramètres!$A$1:$I$89,3,0)*VLOOKUP('Données projet'!$B$13,Paramètres!$A$1:$I$89,5,0)</f>
        <v>169.83439200000015</v>
      </c>
      <c r="CV48" s="13">
        <f t="shared" si="41"/>
        <v>43.052930798699016</v>
      </c>
      <c r="CW48" s="20">
        <f t="shared" si="13"/>
        <v>370.77875387440105</v>
      </c>
      <c r="CX48" s="59">
        <f t="shared" si="14"/>
        <v>664.11208720773436</v>
      </c>
      <c r="CY48" s="59">
        <f ca="1">AVERAGE(OFFSET($CX$3,0,0,'Données projet'!$E$13+1,1))-AVERAGE(OFFSET($H$3,0,0,'Données projet'!$E$13+1,1))</f>
        <v>747.18304127457918</v>
      </c>
      <c r="CZ48" s="59">
        <f t="shared" si="42"/>
        <v>327.03701004966723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16.699361980431501</v>
      </c>
      <c r="DH48" s="21">
        <f>EXP(-LN(2)/2)*DH47+(1-EXP(-LN(2)/2))/(LN(2)/2)*DB48*DE48*VLOOKUP('Données projet'!$B$13,Paramètres!$A$1:$I$89,3,0)*0.475*44/12</f>
        <v>3.1964696019509771</v>
      </c>
      <c r="DI48" s="22">
        <f t="shared" si="15"/>
        <v>19.895831582382478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242</v>
      </c>
      <c r="DM48" s="12">
        <f>VLOOKUP(A48,'Données projet'!$A$165:$I$185,9,0)</f>
        <v>9.8000000000000007</v>
      </c>
      <c r="DN48" s="12">
        <f t="array" ref="DN48">INDEX(DM:DM,MIN(IF(ISNUMBER(DM48:DM244),ROW(DM48:DM244),"")))</f>
        <v>9.8000000000000007</v>
      </c>
      <c r="DO48" s="12">
        <f>IF('Données projet'!$A$166&gt;35,DO47+DN48-DW47,IF(A48&lt;'Données projet'!$A$166,$DL$205^A48,IF(A48='Données projet'!$A$166,'Données projet'!$B$166,DO47+DN48-DW47)))</f>
        <v>242.00000000000006</v>
      </c>
      <c r="DP48" s="17">
        <f>DO48*VLOOKUP('Données projet'!$B$14,Paramètres!$A$1:$I$89,3,0)*VLOOKUP('Données projet'!$B$14,Paramètres!$A$1:$I$89,5,0)</f>
        <v>192.53520000000006</v>
      </c>
      <c r="DQ48" s="13">
        <f t="shared" si="43"/>
        <v>48.100016456123079</v>
      </c>
      <c r="DR48" s="20">
        <f t="shared" si="16"/>
        <v>419.10633532774779</v>
      </c>
      <c r="DS48" s="59">
        <f t="shared" si="17"/>
        <v>712.4396686610811</v>
      </c>
      <c r="DT48" s="59">
        <f ca="1">AVERAGE(OFFSET($DS$3,0,0,'Données projet'!$E$14+1,1))-AVERAGE(OFFSET($H$3,0,0,'Données projet'!$E$14+1,1))</f>
        <v>353.37479213497227</v>
      </c>
      <c r="DU48" s="59">
        <f t="shared" si="44"/>
        <v>345.4750813433123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24</v>
      </c>
      <c r="DX48" s="16">
        <f>IF(ISNA(VLOOKUP(A48,'Données projet'!$A$165:$I$185,5,0)),0%,VLOOKUP(A48,'Données projet'!$A$165:$I$185,5,0)*VLOOKUP('Données projet'!$B$14,Paramètres!$A$1:$I$89,7,0))</f>
        <v>0.13250000000000001</v>
      </c>
      <c r="DY48" s="16">
        <f>IF(ISNA(VLOOKUP(A48,'Données projet'!$A$165:$I$185,6,0)),0%,VLOOKUP(A48,'Données projet'!$A$165:$I$185,6,0)*VLOOKUP('Données projet'!$B$14,Paramètres!$A$1:$I$89,7,0))</f>
        <v>0.13250000000000001</v>
      </c>
      <c r="DZ48" s="16">
        <f>IF(ISNA(VLOOKUP(A48,'Données projet'!$A$165:$I$185,7,0)),0%,VLOOKUP(A48,'Données projet'!$A$165:$I$185,7,0))</f>
        <v>0.25</v>
      </c>
      <c r="EA48" s="21">
        <f>EXP(-LN(2)/35)*EA47+(1-EXP(-LN(2)/35))/(LN(2)/35)*DW48*DX48*VLOOKUP('Données projet'!$B$14,Paramètres!$A$1:$I$89,3,0)*0.475*44/12</f>
        <v>12.867482070545831</v>
      </c>
      <c r="EB48" s="21">
        <f>EXP(-LN(2)/25)*EB47+(1-EXP(-LN(2)/25))/(LN(2)/25)*Calculateur!DW48*Calculateur!DY48*VLOOKUP('Données projet'!$B$14,Paramètres!$A$1:$I$89,3,0)*0.475*44/12</f>
        <v>18.063449338478677</v>
      </c>
      <c r="EC48" s="21">
        <f>EXP(-LN(2)/2)*EC47+(1-EXP(-LN(2)/2))/(LN(2)/2)*DW48*DZ48*VLOOKUP('Données projet'!$B$14,Paramètres!$A$1:$I$89,3,0)*0.475*44/12</f>
        <v>5.914431873016377</v>
      </c>
      <c r="ED48" s="22">
        <f t="shared" si="18"/>
        <v>36.845363282040886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-15.628571428571425</v>
      </c>
      <c r="EJ48" s="12">
        <f>IF('Données projet'!$A$192&gt;35,EJ47+EI48-ER47,IF(A48&lt;'Données projet'!$A$192,$EG$205^A48,IF(A48='Données projet'!$A$192,'Données projet'!$B$192,EJ47+EI48-ER47)))</f>
        <v>428.01428571428528</v>
      </c>
      <c r="EK48" s="17">
        <f>EJ48*VLOOKUP('Données projet'!$B$15,Paramètres!$A$1:$I$89,3,0)*VLOOKUP('Données projet'!$B$15,Paramètres!$A$1:$I$89,5,0)</f>
        <v>200.31068571428551</v>
      </c>
      <c r="EL48" s="13">
        <f t="shared" si="45"/>
        <v>49.812440872325823</v>
      </c>
      <c r="EM48" s="20">
        <f t="shared" si="19"/>
        <v>435.63111213834804</v>
      </c>
      <c r="EN48" s="59">
        <f t="shared" si="20"/>
        <v>728.9644454716813</v>
      </c>
      <c r="EO48" s="59">
        <f ca="1">AVERAGE(OFFSET($EN$3,0,0,'Données projet'!$E$15+1,1))-AVERAGE(OFFSET($H$3,0,0,'Données projet'!$E$15+1,1))</f>
        <v>433.05041777893922</v>
      </c>
      <c r="EP48" s="59">
        <f t="shared" si="46"/>
        <v>591.24088611958996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79.93235961924897</v>
      </c>
      <c r="EW48" s="21">
        <f>EXP(-LN(2)/25)*EW47+(1-EXP(-LN(2)/25))/(LN(2)/25)*Calculateur!ER48*Calculateur!ET48*VLOOKUP('Données projet'!$B$15,Paramètres!$A$1:$I$89,3,0)*0.475*44/12</f>
        <v>52.136776596289323</v>
      </c>
      <c r="EX48" s="21">
        <f>EXP(-LN(2)/2)*EX47+(1-EXP(-LN(2)/2))/(LN(2)/2)*ER48*EU48*VLOOKUP('Données projet'!$B$15,Paramètres!$A$1:$I$89,3,0)*0.475*44/12</f>
        <v>31.756583439132875</v>
      </c>
      <c r="EY48" s="22">
        <f t="shared" si="21"/>
        <v>163.82571965467116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81.410256410256409</v>
      </c>
      <c r="FC48" s="12">
        <f>VLOOKUP(A48,'Données projet'!$A$217:$I$237,9,0)</f>
        <v>3.0769230769230775</v>
      </c>
      <c r="FD48" s="12">
        <f t="array" ref="FD48">INDEX(FC:FC,MIN(IF(ISNUMBER(FC48:FC244),ROW(FC48:FC244),"")))</f>
        <v>3.0769230769230775</v>
      </c>
      <c r="FE48" s="12">
        <f>IF('Données projet'!$A$218&gt;35,FE47+FD48-FM47,IF(A48&lt;'Données projet'!$A$218,$FB$205^A48,IF(A48='Données projet'!$A$218,'Données projet'!$B$218,FE47+FD48-FM47)))</f>
        <v>81.410256410256423</v>
      </c>
      <c r="FF48" s="17">
        <f>FE48*VLOOKUP('Données projet'!$B$16,Paramètres!$A$1:$I$89,3,0)*VLOOKUP('Données projet'!$B$16,Paramètres!$A$1:$I$89,5,0)</f>
        <v>66.04000000000002</v>
      </c>
      <c r="FG48" s="13">
        <f t="shared" si="47"/>
        <v>18.686741897950633</v>
      </c>
      <c r="FH48" s="20">
        <f t="shared" si="22"/>
        <v>147.56574213893074</v>
      </c>
      <c r="FI48" s="59">
        <f t="shared" si="23"/>
        <v>440.89907547226403</v>
      </c>
      <c r="FJ48" s="59">
        <f ca="1">AVERAGE(OFFSET($FI$3,0,0,'Données projet'!$E$16+1,1))-AVERAGE(OFFSET($H$3,0,0,'Données projet'!$E$16+1,1))</f>
        <v>159.4660488566085</v>
      </c>
      <c r="FK48" s="59">
        <f t="shared" si="48"/>
        <v>135.33030558297088</v>
      </c>
      <c r="FL48" s="15">
        <f>IF(ISNA(VLOOKUP(A48,'Données projet'!$A$217:$I$237,3,0)),0,VLOOKUP(A48,'Données projet'!$A$217:$I$237,3,0))</f>
        <v>7</v>
      </c>
      <c r="FM48" s="15">
        <f>IF(ISNA(VLOOKUP(A48,'Données projet'!$A$217:$I$237,4,0)),0,VLOOKUP(A48,'Données projet'!$A$217:$I$237,4,0))</f>
        <v>7.0512820512820511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0.1075</v>
      </c>
      <c r="FP48" s="16">
        <f>IF(ISNA(VLOOKUP(A48,'Données projet'!$A$217:$I$237,7,0)),0%,VLOOKUP(A48,'Données projet'!$A$217:$I$237,7,0))</f>
        <v>0.25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2.6046958555500215</v>
      </c>
      <c r="FS48" s="21">
        <f>EXP(-LN(2)/2)*FS47+(1-EXP(-LN(2)/2))/(LN(2)/2)*FM48*FP48*VLOOKUP('Données projet'!$B$16,Paramètres!$A$1:$I$89,3,0)*0.475*44/12</f>
        <v>1.611653143751131</v>
      </c>
      <c r="FT48" s="22">
        <f t="shared" si="24"/>
        <v>4.216348999301152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10.110000000000001</v>
      </c>
      <c r="N49" s="13">
        <f>IF('Données projet'!$A$36&gt;35,N48+M49-V48,IF(A49&lt;'Données projet'!$A$36,$K$205^A49,IF(A49='Données projet'!$A$36,'Données projet'!$B$36,N48+M49-V48)))</f>
        <v>167.89000000000016</v>
      </c>
      <c r="O49" s="13">
        <f>N49*VLOOKUP('Données projet'!$B$9,Paramètres!$A$1:$I$89,3,0)*VLOOKUP('Données projet'!$B$9,Paramètres!$A$1:$I$89,5,0)</f>
        <v>170.24046000000016</v>
      </c>
      <c r="P49" s="13">
        <f t="shared" si="33"/>
        <v>43.143874195121747</v>
      </c>
      <c r="Q49" s="20">
        <f t="shared" si="53"/>
        <v>371.64438205650396</v>
      </c>
      <c r="R49" s="59">
        <f t="shared" si="0"/>
        <v>664.97771538983727</v>
      </c>
      <c r="S49" s="59">
        <f ca="1">AVERAGE(OFFSET($R$3,0,0,'Données projet'!$E$9+1,1))-AVERAGE(OFFSET($H$3,0,0,'Données projet'!$E$9+1,1))</f>
        <v>706.69239849991595</v>
      </c>
      <c r="T49" s="59">
        <f t="shared" si="34"/>
        <v>310.59887275116529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15.301110263452118</v>
      </c>
      <c r="AB49" s="21">
        <f>EXP(-LN(2)/2)*AB48+(1-EXP(-LN(2)/2))/(LN(2)/2)*V49*Y49*VLOOKUP('Données projet'!$B$9,Paramètres!$A$1:$I$89,3,0)*0.475*44/12</f>
        <v>2.129216616532652</v>
      </c>
      <c r="AC49" s="22">
        <f t="shared" si="3"/>
        <v>17.430326879984769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3.8461538461538454</v>
      </c>
      <c r="AI49" s="13">
        <f>IF('Données projet'!$A$62&gt;35,AI48+AH49-AQ48,IF(A49&lt;'Données projet'!$A$62,$AF$205^A49,IF(A49='Données projet'!$A$62,'Données projet'!$B$62,AI48+AH49-AQ48)))</f>
        <v>95.512820512820497</v>
      </c>
      <c r="AJ49" s="13">
        <f>AI49*VLOOKUP('Données projet'!$B$10,Paramètres!$A$1:$I$89,3,0)*VLOOKUP('Données projet'!$B$10,Paramètres!$A$1:$I$89,5,0)</f>
        <v>99.83</v>
      </c>
      <c r="AK49" s="13">
        <f t="shared" si="35"/>
        <v>26.92149338297099</v>
      </c>
      <c r="AL49" s="20">
        <f t="shared" si="4"/>
        <v>220.75885097534115</v>
      </c>
      <c r="AM49" s="59">
        <f t="shared" si="5"/>
        <v>514.0921843086744</v>
      </c>
      <c r="AN49" s="59">
        <f ca="1">AVERAGE(OFFSET($AM$3,0,0,'Données projet'!$E$10+1,1))-AVERAGE(OFFSET($H$3,0,0,'Données projet'!$E$10+1,1))</f>
        <v>239.26156489359892</v>
      </c>
      <c r="AO49" s="59">
        <f t="shared" si="36"/>
        <v>213.97034450798111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13.912214157117571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13.912214157117571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7.2</v>
      </c>
      <c r="BD49" s="12">
        <f>IF('Données projet'!$A$88&gt;35,BD48+BC49-BL48,IF(A49&lt;'Données projet'!$A$88,$BA$205^A49,IF(A49='Données projet'!$A$88,'Données projet'!$B$88,BD48+BC49-BL48)))</f>
        <v>190.19999999999993</v>
      </c>
      <c r="BE49" s="13">
        <f>BD49*VLOOKUP('Données projet'!$B$11,Paramètres!$A$1:$I$89,3,0)*VLOOKUP('Données projet'!$B$11,Paramètres!$A$1:$I$89,5,0)</f>
        <v>166.15871999999996</v>
      </c>
      <c r="BF49" s="13">
        <f t="shared" si="37"/>
        <v>42.228563636586387</v>
      </c>
      <c r="BG49" s="20">
        <f t="shared" si="7"/>
        <v>362.94118566705453</v>
      </c>
      <c r="BH49" s="59">
        <f t="shared" si="8"/>
        <v>656.27451900038784</v>
      </c>
      <c r="BI49" s="59">
        <f ca="1">AVERAGE(OFFSET($BH$3,0,0,'Données projet'!$E$11+1,1))-AVERAGE(OFFSET($H$3,0,0,'Données projet'!$E$11+1,1))</f>
        <v>324.86930206492627</v>
      </c>
      <c r="BJ49" s="59">
        <f t="shared" si="38"/>
        <v>317.03005098025352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8.8229380323892066</v>
      </c>
      <c r="BQ49" s="21">
        <f>EXP(-LN(2)/25)*BQ48+(1-EXP(-LN(2)/25))/(LN(2)/25)*Calculateur!BL49*Calculateur!BN49*VLOOKUP('Données projet'!$B$11,Paramètres!$A$1:$I$89,3,0)*0.475*44/12</f>
        <v>15.208729237826724</v>
      </c>
      <c r="BR49" s="21">
        <f>EXP(-LN(2)/2)*BR48+(1-EXP(-LN(2)/2))/(LN(2)/2)*BL49*BO49*VLOOKUP('Données projet'!$B$11,Paramètres!$A$1:$I$89,3,0)*0.475*44/12</f>
        <v>4.0816617665376462</v>
      </c>
      <c r="BS49" s="22">
        <f t="shared" si="9"/>
        <v>28.113329036753576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3.3603333333333336</v>
      </c>
      <c r="BY49" s="12">
        <f>IF('Données projet'!$A$114&gt;35,BY48+BX49-CG48,IF(A49&lt;'Données projet'!$A$114,$BV$205^A49,IF(A49='Données projet'!$A$114,'Données projet'!$B$114,BY48+BX49-CG48)))</f>
        <v>154.57533333333328</v>
      </c>
      <c r="BZ49" s="13">
        <f>BY49*VLOOKUP('Données projet'!$B$12,Paramètres!$A$1:$I$89,3,0)*VLOOKUP('Données projet'!$B$12,Paramètres!$A$1:$I$89,5,0)</f>
        <v>176.03038959999992</v>
      </c>
      <c r="CA49" s="13">
        <f t="shared" si="39"/>
        <v>44.437878026410679</v>
      </c>
      <c r="CB49" s="20">
        <f t="shared" si="10"/>
        <v>383.98223278266511</v>
      </c>
      <c r="CC49" s="59">
        <f t="shared" si="11"/>
        <v>677.31556611599842</v>
      </c>
      <c r="CD49" s="59">
        <f ca="1">AVERAGE(OFFSET($CC$3,0,0,'Données projet'!$E$12+1,1))-AVERAGE(OFFSET($H$3,0,0,'Données projet'!$E$12+1,1))</f>
        <v>593.28343396240075</v>
      </c>
      <c r="CE49" s="59">
        <f t="shared" si="40"/>
        <v>289.66477662068695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10.110000000000001</v>
      </c>
      <c r="CT49" s="12">
        <f>IF('Données projet'!$A$140&gt;35,CT48+CS49-DB48,IF(A49&lt;'Données projet'!$A$140,$CQ$205^A49,IF(A49='Données projet'!$A$140,'Données projet'!$B$140,CT48+CS49-DB48)))</f>
        <v>167.89000000000016</v>
      </c>
      <c r="CU49" s="17">
        <f>CT49*VLOOKUP('Données projet'!$B$13,Paramètres!$A$1:$I$89,3,0)*VLOOKUP('Données projet'!$B$13,Paramètres!$A$1:$I$89,5,0)</f>
        <v>180.71679600000016</v>
      </c>
      <c r="CV49" s="13">
        <f t="shared" si="41"/>
        <v>45.481623164721867</v>
      </c>
      <c r="CW49" s="20">
        <f t="shared" si="13"/>
        <v>393.96224671189083</v>
      </c>
      <c r="CX49" s="59">
        <f t="shared" si="14"/>
        <v>687.29558004522414</v>
      </c>
      <c r="CY49" s="59">
        <f ca="1">AVERAGE(OFFSET($CX$3,0,0,'Données projet'!$E$13+1,1))-AVERAGE(OFFSET($H$3,0,0,'Données projet'!$E$13+1,1))</f>
        <v>747.18304127457918</v>
      </c>
      <c r="CZ49" s="59">
        <f t="shared" si="42"/>
        <v>327.03701004966723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16.242717048895322</v>
      </c>
      <c r="DH49" s="21">
        <f>EXP(-LN(2)/2)*DH48+(1-EXP(-LN(2)/2))/(LN(2)/2)*DB49*DE49*VLOOKUP('Données projet'!$B$13,Paramètres!$A$1:$I$89,3,0)*0.475*44/12</f>
        <v>2.2602453313962005</v>
      </c>
      <c r="DI49" s="22">
        <f t="shared" si="15"/>
        <v>18.502962380291521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8.6</v>
      </c>
      <c r="DO49" s="12">
        <f>IF('Données projet'!$A$166&gt;35,DO48+DN49-DW48,IF(A49&lt;'Données projet'!$A$166,$DL$205^A49,IF(A49='Données projet'!$A$166,'Données projet'!$B$166,DO48+DN49-DW48)))</f>
        <v>226.60000000000005</v>
      </c>
      <c r="DP49" s="17">
        <f>DO49*VLOOKUP('Données projet'!$B$14,Paramètres!$A$1:$I$89,3,0)*VLOOKUP('Données projet'!$B$14,Paramètres!$A$1:$I$89,5,0)</f>
        <v>180.28296000000006</v>
      </c>
      <c r="DQ49" s="13">
        <f t="shared" si="43"/>
        <v>45.385133797071397</v>
      </c>
      <c r="DR49" s="20">
        <f t="shared" si="16"/>
        <v>393.03859669656612</v>
      </c>
      <c r="DS49" s="59">
        <f t="shared" si="17"/>
        <v>686.37193002989943</v>
      </c>
      <c r="DT49" s="59">
        <f ca="1">AVERAGE(OFFSET($DS$3,0,0,'Données projet'!$E$14+1,1))-AVERAGE(OFFSET($H$3,0,0,'Données projet'!$E$14+1,1))</f>
        <v>353.37479213497227</v>
      </c>
      <c r="DU49" s="59">
        <f t="shared" si="44"/>
        <v>345.4750813433123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12.615158595531527</v>
      </c>
      <c r="EB49" s="21">
        <f>EXP(-LN(2)/25)*EB48+(1-EXP(-LN(2)/25))/(LN(2)/25)*Calculateur!DW49*Calculateur!DY49*VLOOKUP('Données projet'!$B$14,Paramètres!$A$1:$I$89,3,0)*0.475*44/12</f>
        <v>17.569503366402461</v>
      </c>
      <c r="EC49" s="21">
        <f>EXP(-LN(2)/2)*EC48+(1-EXP(-LN(2)/2))/(LN(2)/2)*DW49*DZ49*VLOOKUP('Données projet'!$B$14,Paramètres!$A$1:$I$89,3,0)*0.475*44/12</f>
        <v>4.182134884275734</v>
      </c>
      <c r="ED49" s="22">
        <f t="shared" si="18"/>
        <v>34.366796846209724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-15.628571428571425</v>
      </c>
      <c r="EJ49" s="12">
        <f>IF('Données projet'!$A$192&gt;35,EJ48+EI49-ER48,IF(A49&lt;'Données projet'!$A$192,$EG$205^A49,IF(A49='Données projet'!$A$192,'Données projet'!$B$192,EJ48+EI49-ER48)))</f>
        <v>412.38571428571385</v>
      </c>
      <c r="EK49" s="17">
        <f>EJ49*VLOOKUP('Données projet'!$B$15,Paramètres!$A$1:$I$89,3,0)*VLOOKUP('Données projet'!$B$15,Paramètres!$A$1:$I$89,5,0)</f>
        <v>192.99651428571406</v>
      </c>
      <c r="EL49" s="13">
        <f t="shared" si="45"/>
        <v>48.201835070863595</v>
      </c>
      <c r="EM49" s="20">
        <f t="shared" si="19"/>
        <v>420.08712512937274</v>
      </c>
      <c r="EN49" s="59">
        <f t="shared" si="20"/>
        <v>713.42045846270605</v>
      </c>
      <c r="EO49" s="59">
        <f ca="1">AVERAGE(OFFSET($EN$3,0,0,'Données projet'!$E$15+1,1))-AVERAGE(OFFSET($H$3,0,0,'Données projet'!$E$15+1,1))</f>
        <v>433.05041777893922</v>
      </c>
      <c r="EP49" s="59">
        <f t="shared" si="46"/>
        <v>591.24088611958996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78.364934801040818</v>
      </c>
      <c r="EW49" s="21">
        <f>EXP(-LN(2)/25)*EW48+(1-EXP(-LN(2)/25))/(LN(2)/25)*Calculateur!ER49*Calculateur!ET49*VLOOKUP('Données projet'!$B$15,Paramètres!$A$1:$I$89,3,0)*0.475*44/12</f>
        <v>50.71109369850987</v>
      </c>
      <c r="EX49" s="21">
        <f>EXP(-LN(2)/2)*EX48+(1-EXP(-LN(2)/2))/(LN(2)/2)*ER49*EU49*VLOOKUP('Données projet'!$B$15,Paramètres!$A$1:$I$89,3,0)*0.475*44/12</f>
        <v>22.45529549712727</v>
      </c>
      <c r="EY49" s="22">
        <f t="shared" si="21"/>
        <v>151.53132399667797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2.9487179487179445</v>
      </c>
      <c r="FE49" s="12">
        <f>IF('Données projet'!$A$218&gt;35,FE48+FD49-FM48,IF(A49&lt;'Données projet'!$A$218,$FB$205^A49,IF(A49='Données projet'!$A$218,'Données projet'!$B$218,FE48+FD49-FM48)))</f>
        <v>77.307692307692321</v>
      </c>
      <c r="FF49" s="17">
        <f>FE49*VLOOKUP('Données projet'!$B$16,Paramètres!$A$1:$I$89,3,0)*VLOOKUP('Données projet'!$B$16,Paramètres!$A$1:$I$89,5,0)</f>
        <v>62.712000000000018</v>
      </c>
      <c r="FG49" s="13">
        <f t="shared" si="47"/>
        <v>17.85217356216183</v>
      </c>
      <c r="FH49" s="20">
        <f t="shared" si="22"/>
        <v>140.3159356207652</v>
      </c>
      <c r="FI49" s="59">
        <f t="shared" si="23"/>
        <v>433.64926895409849</v>
      </c>
      <c r="FJ49" s="59">
        <f ca="1">AVERAGE(OFFSET($FI$3,0,0,'Données projet'!$E$16+1,1))-AVERAGE(OFFSET($H$3,0,0,'Données projet'!$E$16+1,1))</f>
        <v>159.4660488566085</v>
      </c>
      <c r="FK49" s="59">
        <f t="shared" si="48"/>
        <v>135.33030558297088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2.5334703104050043</v>
      </c>
      <c r="FS49" s="21">
        <f>EXP(-LN(2)/2)*FS48+(1-EXP(-LN(2)/2))/(LN(2)/2)*FM49*FP49*VLOOKUP('Données projet'!$B$16,Paramètres!$A$1:$I$89,3,0)*0.475*44/12</f>
        <v>1.1396108668670424</v>
      </c>
      <c r="FT49" s="22">
        <f t="shared" si="24"/>
        <v>3.6730811772720466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10.110000000000001</v>
      </c>
      <c r="N50" s="13">
        <f>IF('Données projet'!$A$36&gt;35,N49+M50-V49,IF(A50&lt;'Données projet'!$A$36,$K$205^A50,IF(A50='Données projet'!$A$36,'Données projet'!$B$36,N49+M50-V49)))</f>
        <v>178.00000000000017</v>
      </c>
      <c r="O50" s="13">
        <f>N50*VLOOKUP('Données projet'!$B$9,Paramètres!$A$1:$I$89,3,0)*VLOOKUP('Données projet'!$B$9,Paramètres!$A$1:$I$89,5,0)</f>
        <v>180.49200000000019</v>
      </c>
      <c r="P50" s="13">
        <f t="shared" si="33"/>
        <v>45.431629706642696</v>
      </c>
      <c r="Q50" s="20">
        <f t="shared" si="53"/>
        <v>393.48365507240305</v>
      </c>
      <c r="R50" s="59">
        <f t="shared" si="0"/>
        <v>686.81698840573631</v>
      </c>
      <c r="S50" s="59">
        <f ca="1">AVERAGE(OFFSET($R$3,0,0,'Données projet'!$E$9+1,1))-AVERAGE(OFFSET($H$3,0,0,'Données projet'!$E$9+1,1))</f>
        <v>706.69239849991595</v>
      </c>
      <c r="T50" s="59">
        <f t="shared" si="34"/>
        <v>310.59887275116529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14.882700598647602</v>
      </c>
      <c r="AB50" s="21">
        <f>EXP(-LN(2)/2)*AB49+(1-EXP(-LN(2)/2))/(LN(2)/2)*V50*Y50*VLOOKUP('Données projet'!$B$9,Paramètres!$A$1:$I$89,3,0)*0.475*44/12</f>
        <v>1.5055835081653151</v>
      </c>
      <c r="AC50" s="22">
        <f t="shared" si="3"/>
        <v>16.388284106812918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3.8461538461538454</v>
      </c>
      <c r="AI50" s="13">
        <f>IF('Données projet'!$A$62&gt;35,AI49+AH50-AQ49,IF(A50&lt;'Données projet'!$A$62,$AF$205^A50,IF(A50='Données projet'!$A$62,'Données projet'!$B$62,AI49+AH50-AQ49)))</f>
        <v>99.358974358974336</v>
      </c>
      <c r="AJ50" s="13">
        <f>AI50*VLOOKUP('Données projet'!$B$10,Paramètres!$A$1:$I$89,3,0)*VLOOKUP('Données projet'!$B$10,Paramètres!$A$1:$I$89,5,0)</f>
        <v>103.84999999999998</v>
      </c>
      <c r="AK50" s="13">
        <f t="shared" si="35"/>
        <v>27.877180626240445</v>
      </c>
      <c r="AL50" s="20">
        <f t="shared" si="4"/>
        <v>229.42483959070205</v>
      </c>
      <c r="AM50" s="59">
        <f t="shared" si="5"/>
        <v>522.75817292403531</v>
      </c>
      <c r="AN50" s="59">
        <f ca="1">AVERAGE(OFFSET($AM$3,0,0,'Données projet'!$E$10+1,1))-AVERAGE(OFFSET($H$3,0,0,'Données projet'!$E$10+1,1))</f>
        <v>239.26156489359892</v>
      </c>
      <c r="AO50" s="59">
        <f t="shared" si="36"/>
        <v>213.97034450798111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13.531783929379646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13.531783929379646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7.2</v>
      </c>
      <c r="BD50" s="12">
        <f>IF('Données projet'!$A$88&gt;35,BD49+BC50-BL49,IF(A50&lt;'Données projet'!$A$88,$BA$205^A50,IF(A50='Données projet'!$A$88,'Données projet'!$B$88,BD49+BC50-BL49)))</f>
        <v>197.39999999999992</v>
      </c>
      <c r="BE50" s="13">
        <f>BD50*VLOOKUP('Données projet'!$B$11,Paramètres!$A$1:$I$89,3,0)*VLOOKUP('Données projet'!$B$11,Paramètres!$A$1:$I$89,5,0)</f>
        <v>172.44863999999995</v>
      </c>
      <c r="BF50" s="13">
        <f t="shared" si="37"/>
        <v>43.637980200453676</v>
      </c>
      <c r="BG50" s="20">
        <f t="shared" si="7"/>
        <v>376.35086351579008</v>
      </c>
      <c r="BH50" s="59">
        <f t="shared" si="8"/>
        <v>669.6841968491234</v>
      </c>
      <c r="BI50" s="59">
        <f ca="1">AVERAGE(OFFSET($BH$3,0,0,'Données projet'!$E$11+1,1))-AVERAGE(OFFSET($H$3,0,0,'Données projet'!$E$11+1,1))</f>
        <v>324.86930206492627</v>
      </c>
      <c r="BJ50" s="59">
        <f t="shared" si="38"/>
        <v>317.03005098025352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8.6499255990348782</v>
      </c>
      <c r="BQ50" s="21">
        <f>EXP(-LN(2)/25)*BQ49+(1-EXP(-LN(2)/25))/(LN(2)/25)*Calculateur!BL50*Calculateur!BN50*VLOOKUP('Données projet'!$B$11,Paramètres!$A$1:$I$89,3,0)*0.475*44/12</f>
        <v>14.792845737026042</v>
      </c>
      <c r="BR50" s="21">
        <f>EXP(-LN(2)/2)*BR49+(1-EXP(-LN(2)/2))/(LN(2)/2)*BL50*BO50*VLOOKUP('Données projet'!$B$11,Paramètres!$A$1:$I$89,3,0)*0.475*44/12</f>
        <v>2.8861707136286325</v>
      </c>
      <c r="BS50" s="22">
        <f t="shared" si="9"/>
        <v>26.328942049689555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3.3603333333333336</v>
      </c>
      <c r="BY50" s="12">
        <f>IF('Données projet'!$A$114&gt;35,BY49+BX50-CG49,IF(A50&lt;'Données projet'!$A$114,$BV$205^A50,IF(A50='Données projet'!$A$114,'Données projet'!$B$114,BY49+BX50-CG49)))</f>
        <v>157.93566666666661</v>
      </c>
      <c r="BZ50" s="13">
        <f>BY50*VLOOKUP('Données projet'!$B$12,Paramètres!$A$1:$I$89,3,0)*VLOOKUP('Données projet'!$B$12,Paramètres!$A$1:$I$89,5,0)</f>
        <v>179.85713719999993</v>
      </c>
      <c r="CA50" s="13">
        <f t="shared" si="39"/>
        <v>45.290400357029107</v>
      </c>
      <c r="CB50" s="20">
        <f t="shared" si="10"/>
        <v>392.13196124515889</v>
      </c>
      <c r="CC50" s="59">
        <f t="shared" si="11"/>
        <v>685.46529457849215</v>
      </c>
      <c r="CD50" s="59">
        <f ca="1">AVERAGE(OFFSET($CC$3,0,0,'Données projet'!$E$12+1,1))-AVERAGE(OFFSET($H$3,0,0,'Données projet'!$E$12+1,1))</f>
        <v>593.28343396240075</v>
      </c>
      <c r="CE50" s="59">
        <f t="shared" si="40"/>
        <v>289.66477662068695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10.110000000000001</v>
      </c>
      <c r="CT50" s="12">
        <f>IF('Données projet'!$A$140&gt;35,CT49+CS50-DB49,IF(A50&lt;'Données projet'!$A$140,$CQ$205^A50,IF(A50='Données projet'!$A$140,'Données projet'!$B$140,CT49+CS50-DB49)))</f>
        <v>178.00000000000017</v>
      </c>
      <c r="CU50" s="17">
        <f>CT50*VLOOKUP('Données projet'!$B$13,Paramètres!$A$1:$I$89,3,0)*VLOOKUP('Données projet'!$B$13,Paramètres!$A$1:$I$89,5,0)</f>
        <v>191.59920000000017</v>
      </c>
      <c r="CV50" s="13">
        <f t="shared" si="41"/>
        <v>47.893340610341859</v>
      </c>
      <c r="CW50" s="20">
        <f t="shared" si="13"/>
        <v>417.11617489634568</v>
      </c>
      <c r="CX50" s="59">
        <f t="shared" si="14"/>
        <v>710.44950822967894</v>
      </c>
      <c r="CY50" s="59">
        <f ca="1">AVERAGE(OFFSET($CX$3,0,0,'Données projet'!$E$13+1,1))-AVERAGE(OFFSET($H$3,0,0,'Données projet'!$E$13+1,1))</f>
        <v>747.18304127457918</v>
      </c>
      <c r="CZ50" s="59">
        <f t="shared" si="42"/>
        <v>327.03701004966723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15.798559097025914</v>
      </c>
      <c r="DH50" s="21">
        <f>EXP(-LN(2)/2)*DH49+(1-EXP(-LN(2)/2))/(LN(2)/2)*DB50*DE50*VLOOKUP('Données projet'!$B$13,Paramètres!$A$1:$I$89,3,0)*0.475*44/12</f>
        <v>1.598234800975489</v>
      </c>
      <c r="DI50" s="22">
        <f t="shared" si="15"/>
        <v>17.396793898001402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8.6</v>
      </c>
      <c r="DO50" s="12">
        <f>IF('Données projet'!$A$166&gt;35,DO49+DN50-DW49,IF(A50&lt;'Données projet'!$A$166,$DL$205^A50,IF(A50='Données projet'!$A$166,'Données projet'!$B$166,DO49+DN50-DW49)))</f>
        <v>235.20000000000005</v>
      </c>
      <c r="DP50" s="17">
        <f>DO50*VLOOKUP('Données projet'!$B$14,Paramètres!$A$1:$I$89,3,0)*VLOOKUP('Données projet'!$B$14,Paramètres!$A$1:$I$89,5,0)</f>
        <v>187.12512000000004</v>
      </c>
      <c r="DQ50" s="13">
        <f t="shared" si="43"/>
        <v>46.903794805770545</v>
      </c>
      <c r="DR50" s="20">
        <f t="shared" si="16"/>
        <v>407.60035995338376</v>
      </c>
      <c r="DS50" s="59">
        <f t="shared" si="17"/>
        <v>700.93369328671702</v>
      </c>
      <c r="DT50" s="59">
        <f ca="1">AVERAGE(OFFSET($DS$3,0,0,'Données projet'!$E$14+1,1))-AVERAGE(OFFSET($H$3,0,0,'Données projet'!$E$14+1,1))</f>
        <v>353.37479213497227</v>
      </c>
      <c r="DU50" s="59">
        <f t="shared" si="44"/>
        <v>345.4750813433123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12.36778302996013</v>
      </c>
      <c r="EB50" s="21">
        <f>EXP(-LN(2)/25)*EB49+(1-EXP(-LN(2)/25))/(LN(2)/25)*Calculateur!DW50*Calculateur!DY50*VLOOKUP('Données projet'!$B$14,Paramètres!$A$1:$I$89,3,0)*0.475*44/12</f>
        <v>17.089064372908158</v>
      </c>
      <c r="EC50" s="21">
        <f>EXP(-LN(2)/2)*EC49+(1-EXP(-LN(2)/2))/(LN(2)/2)*DW50*DZ50*VLOOKUP('Données projet'!$B$14,Paramètres!$A$1:$I$89,3,0)*0.475*44/12</f>
        <v>2.9572159365081889</v>
      </c>
      <c r="ED50" s="22">
        <f t="shared" si="18"/>
        <v>32.414063339376476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-15.628571428571425</v>
      </c>
      <c r="EJ50" s="12">
        <f>IF('Données projet'!$A$192&gt;35,EJ49+EI50-ER49,IF(A50&lt;'Données projet'!$A$192,$EG$205^A50,IF(A50='Données projet'!$A$192,'Données projet'!$B$192,EJ49+EI50-ER49)))</f>
        <v>396.75714285714241</v>
      </c>
      <c r="EK50" s="17">
        <f>EJ50*VLOOKUP('Données projet'!$B$15,Paramètres!$A$1:$I$89,3,0)*VLOOKUP('Données projet'!$B$15,Paramètres!$A$1:$I$89,5,0)</f>
        <v>185.68234285714266</v>
      </c>
      <c r="EL50" s="13">
        <f t="shared" si="45"/>
        <v>46.584106867558681</v>
      </c>
      <c r="EM50" s="20">
        <f t="shared" si="19"/>
        <v>404.53073327052147</v>
      </c>
      <c r="EN50" s="59">
        <f t="shared" si="20"/>
        <v>697.86406660385478</v>
      </c>
      <c r="EO50" s="59">
        <f ca="1">AVERAGE(OFFSET($EN$3,0,0,'Données projet'!$E$15+1,1))-AVERAGE(OFFSET($H$3,0,0,'Données projet'!$E$15+1,1))</f>
        <v>433.05041777893922</v>
      </c>
      <c r="EP50" s="59">
        <f t="shared" si="46"/>
        <v>591.24088611958996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76.828246227482992</v>
      </c>
      <c r="EW50" s="21">
        <f>EXP(-LN(2)/25)*EW49+(1-EXP(-LN(2)/25))/(LN(2)/25)*Calculateur!ER50*Calculateur!ET50*VLOOKUP('Données projet'!$B$15,Paramètres!$A$1:$I$89,3,0)*0.475*44/12</f>
        <v>49.324396174543601</v>
      </c>
      <c r="EX50" s="21">
        <f>EXP(-LN(2)/2)*EX49+(1-EXP(-LN(2)/2))/(LN(2)/2)*ER50*EU50*VLOOKUP('Données projet'!$B$15,Paramètres!$A$1:$I$89,3,0)*0.475*44/12</f>
        <v>15.878291719566439</v>
      </c>
      <c r="EY50" s="22">
        <f t="shared" si="21"/>
        <v>142.03093412159305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2.9487179487179445</v>
      </c>
      <c r="FE50" s="12">
        <f>IF('Données projet'!$A$218&gt;35,FE49+FD50-FM49,IF(A50&lt;'Données projet'!$A$218,$FB$205^A50,IF(A50='Données projet'!$A$218,'Données projet'!$B$218,FE49+FD50-FM49)))</f>
        <v>80.256410256410263</v>
      </c>
      <c r="FF50" s="17">
        <f>FE50*VLOOKUP('Données projet'!$B$16,Paramètres!$A$1:$I$89,3,0)*VLOOKUP('Données projet'!$B$16,Paramètres!$A$1:$I$89,5,0)</f>
        <v>65.104000000000013</v>
      </c>
      <c r="FG50" s="13">
        <f t="shared" si="47"/>
        <v>18.452525080925881</v>
      </c>
      <c r="FH50" s="20">
        <f t="shared" si="22"/>
        <v>145.52761451594594</v>
      </c>
      <c r="FI50" s="59">
        <f t="shared" si="23"/>
        <v>438.86094784927923</v>
      </c>
      <c r="FJ50" s="59">
        <f ca="1">AVERAGE(OFFSET($FI$3,0,0,'Données projet'!$E$16+1,1))-AVERAGE(OFFSET($H$3,0,0,'Données projet'!$E$16+1,1))</f>
        <v>159.4660488566085</v>
      </c>
      <c r="FK50" s="59">
        <f t="shared" si="48"/>
        <v>135.33030558297088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2.4641924315375663</v>
      </c>
      <c r="FS50" s="21">
        <f>EXP(-LN(2)/2)*FS49+(1-EXP(-LN(2)/2))/(LN(2)/2)*FM50*FP50*VLOOKUP('Données projet'!$B$16,Paramètres!$A$1:$I$89,3,0)*0.475*44/12</f>
        <v>0.8058265718755655</v>
      </c>
      <c r="FT50" s="22">
        <f t="shared" si="24"/>
        <v>3.2700190034131316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10.110000000000001</v>
      </c>
      <c r="N51" s="13">
        <f>IF('Données projet'!$A$36&gt;35,N50+M51-V50,IF(A51&lt;'Données projet'!$A$36,$K$205^A51,IF(A51='Données projet'!$A$36,'Données projet'!$B$36,N50+M51-V50)))</f>
        <v>188.11000000000018</v>
      </c>
      <c r="O51" s="13">
        <f>N51*VLOOKUP('Données projet'!$B$9,Paramètres!$A$1:$I$89,3,0)*VLOOKUP('Données projet'!$B$9,Paramètres!$A$1:$I$89,5,0)</f>
        <v>190.74354000000019</v>
      </c>
      <c r="P51" s="13">
        <f t="shared" si="33"/>
        <v>47.704301602434754</v>
      </c>
      <c r="Q51" s="20">
        <f t="shared" si="53"/>
        <v>415.29665745757416</v>
      </c>
      <c r="R51" s="59">
        <f t="shared" si="0"/>
        <v>708.62999079090741</v>
      </c>
      <c r="S51" s="59">
        <f ca="1">AVERAGE(OFFSET($R$3,0,0,'Données projet'!$E$9+1,1))-AVERAGE(OFFSET($H$3,0,0,'Données projet'!$E$9+1,1))</f>
        <v>706.69239849991595</v>
      </c>
      <c r="T51" s="59">
        <f t="shared" si="34"/>
        <v>310.59887275116529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14.475732368130375</v>
      </c>
      <c r="AB51" s="21">
        <f>EXP(-LN(2)/2)*AB50+(1-EXP(-LN(2)/2))/(LN(2)/2)*V51*Y51*VLOOKUP('Données projet'!$B$9,Paramètres!$A$1:$I$89,3,0)*0.475*44/12</f>
        <v>1.064608308266326</v>
      </c>
      <c r="AC51" s="22">
        <f t="shared" si="3"/>
        <v>15.540340676396701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3.8461538461538454</v>
      </c>
      <c r="AI51" s="13">
        <f>IF('Données projet'!$A$62&gt;35,AI50+AH51-AQ50,IF(A51&lt;'Données projet'!$A$62,$AF$205^A51,IF(A51='Données projet'!$A$62,'Données projet'!$B$62,AI50+AH51-AQ50)))</f>
        <v>103.20512820512818</v>
      </c>
      <c r="AJ51" s="13">
        <f>AI51*VLOOKUP('Données projet'!$B$10,Paramètres!$A$1:$I$89,3,0)*VLOOKUP('Données projet'!$B$10,Paramètres!$A$1:$I$89,5,0)</f>
        <v>107.86999999999998</v>
      </c>
      <c r="AK51" s="13">
        <f t="shared" si="35"/>
        <v>28.828570280930691</v>
      </c>
      <c r="AL51" s="20">
        <f t="shared" si="4"/>
        <v>238.08334323928753</v>
      </c>
      <c r="AM51" s="59">
        <f t="shared" si="5"/>
        <v>531.41667657262087</v>
      </c>
      <c r="AN51" s="59">
        <f ca="1">AVERAGE(OFFSET($AM$3,0,0,'Données projet'!$E$10+1,1))-AVERAGE(OFFSET($H$3,0,0,'Données projet'!$E$10+1,1))</f>
        <v>239.26156489359892</v>
      </c>
      <c r="AO51" s="59">
        <f t="shared" si="36"/>
        <v>213.97034450798111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13.16175658622517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13.16175658622517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7.2</v>
      </c>
      <c r="BD51" s="12">
        <f>IF('Données projet'!$A$88&gt;35,BD50+BC51-BL50,IF(A51&lt;'Données projet'!$A$88,$BA$205^A51,IF(A51='Données projet'!$A$88,'Données projet'!$B$88,BD50+BC51-BL50)))</f>
        <v>204.59999999999991</v>
      </c>
      <c r="BE51" s="13">
        <f>BD51*VLOOKUP('Données projet'!$B$11,Paramètres!$A$1:$I$89,3,0)*VLOOKUP('Données projet'!$B$11,Paramètres!$A$1:$I$89,5,0)</f>
        <v>178.73855999999995</v>
      </c>
      <c r="BF51" s="13">
        <f t="shared" si="37"/>
        <v>45.041424241265332</v>
      </c>
      <c r="BG51" s="20">
        <f t="shared" si="7"/>
        <v>389.75013922020366</v>
      </c>
      <c r="BH51" s="59">
        <f t="shared" si="8"/>
        <v>683.08347255353692</v>
      </c>
      <c r="BI51" s="59">
        <f ca="1">AVERAGE(OFFSET($BH$3,0,0,'Données projet'!$E$11+1,1))-AVERAGE(OFFSET($H$3,0,0,'Données projet'!$E$11+1,1))</f>
        <v>324.86930206492627</v>
      </c>
      <c r="BJ51" s="59">
        <f t="shared" si="38"/>
        <v>317.03005098025352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8.4803058339714639</v>
      </c>
      <c r="BQ51" s="21">
        <f>EXP(-LN(2)/25)*BQ50+(1-EXP(-LN(2)/25))/(LN(2)/25)*Calculateur!BL51*Calculateur!BN51*VLOOKUP('Données projet'!$B$11,Paramètres!$A$1:$I$89,3,0)*0.475*44/12</f>
        <v>14.388334592425117</v>
      </c>
      <c r="BR51" s="21">
        <f>EXP(-LN(2)/2)*BR50+(1-EXP(-LN(2)/2))/(LN(2)/2)*BL51*BO51*VLOOKUP('Données projet'!$B$11,Paramètres!$A$1:$I$89,3,0)*0.475*44/12</f>
        <v>2.0408308832688231</v>
      </c>
      <c r="BS51" s="22">
        <f t="shared" si="9"/>
        <v>24.909471309665406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3.3603333333333336</v>
      </c>
      <c r="BY51" s="12">
        <f>IF('Données projet'!$A$114&gt;35,BY50+BX51-CG50,IF(A51&lt;'Données projet'!$A$114,$BV$205^A51,IF(A51='Données projet'!$A$114,'Données projet'!$B$114,BY50+BX51-CG50)))</f>
        <v>161.29599999999994</v>
      </c>
      <c r="BZ51" s="13">
        <f>BY51*VLOOKUP('Données projet'!$B$12,Paramètres!$A$1:$I$89,3,0)*VLOOKUP('Données projet'!$B$12,Paramètres!$A$1:$I$89,5,0)</f>
        <v>183.68388479999993</v>
      </c>
      <c r="CA51" s="13">
        <f t="shared" si="39"/>
        <v>46.140813778613008</v>
      </c>
      <c r="CB51" s="20">
        <f t="shared" si="10"/>
        <v>400.27801669108413</v>
      </c>
      <c r="CC51" s="59">
        <f t="shared" si="11"/>
        <v>693.61135002441745</v>
      </c>
      <c r="CD51" s="59">
        <f ca="1">AVERAGE(OFFSET($CC$3,0,0,'Données projet'!$E$12+1,1))-AVERAGE(OFFSET($H$3,0,0,'Données projet'!$E$12+1,1))</f>
        <v>593.28343396240075</v>
      </c>
      <c r="CE51" s="59">
        <f t="shared" si="40"/>
        <v>289.66477662068695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10.110000000000001</v>
      </c>
      <c r="CT51" s="12">
        <f>IF('Données projet'!$A$140&gt;35,CT50+CS51-DB50,IF(A51&lt;'Données projet'!$A$140,$CQ$205^A51,IF(A51='Données projet'!$A$140,'Données projet'!$B$140,CT50+CS51-DB50)))</f>
        <v>188.11000000000018</v>
      </c>
      <c r="CU51" s="17">
        <f>CT51*VLOOKUP('Données projet'!$B$13,Paramètres!$A$1:$I$89,3,0)*VLOOKUP('Données projet'!$B$13,Paramètres!$A$1:$I$89,5,0)</f>
        <v>202.4816040000002</v>
      </c>
      <c r="CV51" s="13">
        <f t="shared" si="41"/>
        <v>50.289157135162888</v>
      </c>
      <c r="CW51" s="20">
        <f t="shared" si="13"/>
        <v>440.24240897707568</v>
      </c>
      <c r="CX51" s="59">
        <f t="shared" si="14"/>
        <v>733.57574231040894</v>
      </c>
      <c r="CY51" s="59">
        <f ca="1">AVERAGE(OFFSET($CX$3,0,0,'Données projet'!$E$13+1,1))-AVERAGE(OFFSET($H$3,0,0,'Données projet'!$E$13+1,1))</f>
        <v>747.18304127457918</v>
      </c>
      <c r="CZ51" s="59">
        <f t="shared" si="42"/>
        <v>327.03701004966723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15.366546667707626</v>
      </c>
      <c r="DH51" s="21">
        <f>EXP(-LN(2)/2)*DH50+(1-EXP(-LN(2)/2))/(LN(2)/2)*DB51*DE51*VLOOKUP('Données projet'!$B$13,Paramètres!$A$1:$I$89,3,0)*0.475*44/12</f>
        <v>1.1301226656981005</v>
      </c>
      <c r="DI51" s="22">
        <f t="shared" si="15"/>
        <v>16.496669333405727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8.6</v>
      </c>
      <c r="DO51" s="12">
        <f>IF('Données projet'!$A$166&gt;35,DO50+DN51-DW50,IF(A51&lt;'Données projet'!$A$166,$DL$205^A51,IF(A51='Données projet'!$A$166,'Données projet'!$B$166,DO50+DN51-DW50)))</f>
        <v>243.80000000000004</v>
      </c>
      <c r="DP51" s="17">
        <f>DO51*VLOOKUP('Données projet'!$B$14,Paramètres!$A$1:$I$89,3,0)*VLOOKUP('Données projet'!$B$14,Paramètres!$A$1:$I$89,5,0)</f>
        <v>193.96728000000004</v>
      </c>
      <c r="DQ51" s="13">
        <f t="shared" si="43"/>
        <v>48.41600442423902</v>
      </c>
      <c r="DR51" s="20">
        <f t="shared" si="16"/>
        <v>422.15088703888301</v>
      </c>
      <c r="DS51" s="59">
        <f t="shared" si="17"/>
        <v>715.48422037221633</v>
      </c>
      <c r="DT51" s="59">
        <f ca="1">AVERAGE(OFFSET($DS$3,0,0,'Données projet'!$E$14+1,1))-AVERAGE(OFFSET($H$3,0,0,'Données projet'!$E$14+1,1))</f>
        <v>353.37479213497227</v>
      </c>
      <c r="DU51" s="59">
        <f t="shared" si="44"/>
        <v>345.4750813433123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12.12525834834539</v>
      </c>
      <c r="EB51" s="21">
        <f>EXP(-LN(2)/25)*EB50+(1-EXP(-LN(2)/25))/(LN(2)/25)*Calculateur!DW51*Calculateur!DY51*VLOOKUP('Données projet'!$B$14,Paramètres!$A$1:$I$89,3,0)*0.475*44/12</f>
        <v>16.621763008956147</v>
      </c>
      <c r="EC51" s="21">
        <f>EXP(-LN(2)/2)*EC50+(1-EXP(-LN(2)/2))/(LN(2)/2)*DW51*DZ51*VLOOKUP('Données projet'!$B$14,Paramètres!$A$1:$I$89,3,0)*0.475*44/12</f>
        <v>2.0910674421378674</v>
      </c>
      <c r="ED51" s="22">
        <f t="shared" si="18"/>
        <v>30.838088799439404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-15.628571428571425</v>
      </c>
      <c r="EJ51" s="12">
        <f>IF('Données projet'!$A$192&gt;35,EJ50+EI51-ER50,IF(A51&lt;'Données projet'!$A$192,$EG$205^A51,IF(A51='Données projet'!$A$192,'Données projet'!$B$192,EJ50+EI51-ER50)))</f>
        <v>381.12857142857098</v>
      </c>
      <c r="EK51" s="17">
        <f>EJ51*VLOOKUP('Données projet'!$B$15,Paramètres!$A$1:$I$89,3,0)*VLOOKUP('Données projet'!$B$15,Paramètres!$A$1:$I$89,5,0)</f>
        <v>178.3681714285712</v>
      </c>
      <c r="EL51" s="13">
        <f t="shared" si="45"/>
        <v>44.958942169674259</v>
      </c>
      <c r="EM51" s="20">
        <f t="shared" si="19"/>
        <v>388.96138951694417</v>
      </c>
      <c r="EN51" s="59">
        <f t="shared" si="20"/>
        <v>682.29472285027748</v>
      </c>
      <c r="EO51" s="59">
        <f ca="1">AVERAGE(OFFSET($EN$3,0,0,'Données projet'!$E$15+1,1))-AVERAGE(OFFSET($H$3,0,0,'Données projet'!$E$15+1,1))</f>
        <v>433.05041777893922</v>
      </c>
      <c r="EP51" s="59">
        <f t="shared" si="46"/>
        <v>591.24088611958996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75.32169117956515</v>
      </c>
      <c r="EW51" s="21">
        <f>EXP(-LN(2)/25)*EW50+(1-EXP(-LN(2)/25))/(LN(2)/25)*Calculateur!ER51*Calculateur!ET51*VLOOKUP('Données projet'!$B$15,Paramètres!$A$1:$I$89,3,0)*0.475*44/12</f>
        <v>47.975617967293445</v>
      </c>
      <c r="EX51" s="21">
        <f>EXP(-LN(2)/2)*EX50+(1-EXP(-LN(2)/2))/(LN(2)/2)*ER51*EU51*VLOOKUP('Données projet'!$B$15,Paramètres!$A$1:$I$89,3,0)*0.475*44/12</f>
        <v>11.227647748563637</v>
      </c>
      <c r="EY51" s="22">
        <f t="shared" si="21"/>
        <v>134.52495689542224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2.9487179487179445</v>
      </c>
      <c r="FE51" s="12">
        <f>IF('Données projet'!$A$218&gt;35,FE50+FD51-FM50,IF(A51&lt;'Données projet'!$A$218,$FB$205^A51,IF(A51='Données projet'!$A$218,'Données projet'!$B$218,FE50+FD51-FM50)))</f>
        <v>83.205128205128204</v>
      </c>
      <c r="FF51" s="17">
        <f>FE51*VLOOKUP('Données projet'!$B$16,Paramètres!$A$1:$I$89,3,0)*VLOOKUP('Données projet'!$B$16,Paramètres!$A$1:$I$89,5,0)</f>
        <v>67.495999999999995</v>
      </c>
      <c r="FG51" s="13">
        <f t="shared" si="47"/>
        <v>19.050313963345932</v>
      </c>
      <c r="FH51" s="20">
        <f t="shared" si="22"/>
        <v>150.73483015282747</v>
      </c>
      <c r="FI51" s="59">
        <f t="shared" si="23"/>
        <v>444.06816348616076</v>
      </c>
      <c r="FJ51" s="59">
        <f ca="1">AVERAGE(OFFSET($FI$3,0,0,'Données projet'!$E$16+1,1))-AVERAGE(OFFSET($H$3,0,0,'Données projet'!$E$16+1,1))</f>
        <v>159.4660488566085</v>
      </c>
      <c r="FK51" s="59">
        <f t="shared" si="48"/>
        <v>135.33030558297088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2.3968089599109237</v>
      </c>
      <c r="FS51" s="21">
        <f>EXP(-LN(2)/2)*FS50+(1-EXP(-LN(2)/2))/(LN(2)/2)*FM51*FP51*VLOOKUP('Données projet'!$B$16,Paramètres!$A$1:$I$89,3,0)*0.475*44/12</f>
        <v>0.56980543343352119</v>
      </c>
      <c r="FT51" s="22">
        <f t="shared" si="24"/>
        <v>2.9666143933444449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10.110000000000001</v>
      </c>
      <c r="N52" s="13">
        <f>IF('Données projet'!$A$36&gt;35,N51+M52-V51,IF(A52&lt;'Données projet'!$A$36,$K$205^A52,IF(A52='Données projet'!$A$36,'Données projet'!$B$36,N51+M52-V51)))</f>
        <v>198.2200000000002</v>
      </c>
      <c r="O52" s="13">
        <f>N52*VLOOKUP('Données projet'!$B$9,Paramètres!$A$1:$I$89,3,0)*VLOOKUP('Données projet'!$B$9,Paramètres!$A$1:$I$89,5,0)</f>
        <v>200.9950800000002</v>
      </c>
      <c r="P52" s="13">
        <f t="shared" si="33"/>
        <v>49.962792983004405</v>
      </c>
      <c r="Q52" s="20">
        <f t="shared" si="53"/>
        <v>437.08496211206631</v>
      </c>
      <c r="R52" s="59">
        <f t="shared" si="0"/>
        <v>730.41829544539962</v>
      </c>
      <c r="S52" s="59">
        <f ca="1">AVERAGE(OFFSET($R$3,0,0,'Données projet'!$E$9+1,1))-AVERAGE(OFFSET($H$3,0,0,'Données projet'!$E$9+1,1))</f>
        <v>706.69239849991595</v>
      </c>
      <c r="T52" s="59">
        <f t="shared" si="34"/>
        <v>310.59887275116529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14.079892705278169</v>
      </c>
      <c r="AB52" s="21">
        <f>EXP(-LN(2)/2)*AB51+(1-EXP(-LN(2)/2))/(LN(2)/2)*V52*Y52*VLOOKUP('Données projet'!$B$9,Paramètres!$A$1:$I$89,3,0)*0.475*44/12</f>
        <v>0.75279175408265753</v>
      </c>
      <c r="AC52" s="22">
        <f t="shared" si="3"/>
        <v>14.832684459360827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3.8461538461538454</v>
      </c>
      <c r="AI52" s="13">
        <f>IF('Données projet'!$A$62&gt;35,AI51+AH52-AQ51,IF(A52&lt;'Données projet'!$A$62,$AF$205^A52,IF(A52='Données projet'!$A$62,'Données projet'!$B$62,AI51+AH52-AQ51)))</f>
        <v>107.05128205128202</v>
      </c>
      <c r="AJ52" s="13">
        <f>AI52*VLOOKUP('Données projet'!$B$10,Paramètres!$A$1:$I$89,3,0)*VLOOKUP('Données projet'!$B$10,Paramètres!$A$1:$I$89,5,0)</f>
        <v>111.88999999999997</v>
      </c>
      <c r="AK52" s="13">
        <f t="shared" si="35"/>
        <v>29.775840844916228</v>
      </c>
      <c r="AL52" s="20">
        <f t="shared" si="4"/>
        <v>246.73467280489569</v>
      </c>
      <c r="AM52" s="59">
        <f t="shared" si="5"/>
        <v>540.06800613822907</v>
      </c>
      <c r="AN52" s="59">
        <f ca="1">AVERAGE(OFFSET($AM$3,0,0,'Données projet'!$E$10+1,1))-AVERAGE(OFFSET($H$3,0,0,'Données projet'!$E$10+1,1))</f>
        <v>239.26156489359892</v>
      </c>
      <c r="AO52" s="59">
        <f t="shared" si="36"/>
        <v>213.97034450798111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12.801847660228146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12.801847660228146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7.2</v>
      </c>
      <c r="BD52" s="12">
        <f>IF('Données projet'!$A$88&gt;35,BD51+BC52-BL51,IF(A52&lt;'Données projet'!$A$88,$BA$205^A52,IF(A52='Données projet'!$A$88,'Données projet'!$B$88,BD51+BC52-BL51)))</f>
        <v>211.7999999999999</v>
      </c>
      <c r="BE52" s="13">
        <f>BD52*VLOOKUP('Données projet'!$B$11,Paramètres!$A$1:$I$89,3,0)*VLOOKUP('Données projet'!$B$11,Paramètres!$A$1:$I$89,5,0)</f>
        <v>185.02847999999992</v>
      </c>
      <c r="BF52" s="13">
        <f t="shared" si="37"/>
        <v>46.439130018745807</v>
      </c>
      <c r="BG52" s="20">
        <f t="shared" si="7"/>
        <v>403.13942078264876</v>
      </c>
      <c r="BH52" s="59">
        <f t="shared" si="8"/>
        <v>696.47275411598207</v>
      </c>
      <c r="BI52" s="59">
        <f ca="1">AVERAGE(OFFSET($BH$3,0,0,'Données projet'!$E$11+1,1))-AVERAGE(OFFSET($H$3,0,0,'Données projet'!$E$11+1,1))</f>
        <v>324.86930206492627</v>
      </c>
      <c r="BJ52" s="59">
        <f t="shared" si="38"/>
        <v>317.03005098025352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8.3140122090431028</v>
      </c>
      <c r="BQ52" s="21">
        <f>EXP(-LN(2)/25)*BQ51+(1-EXP(-LN(2)/25))/(LN(2)/25)*Calculateur!BL52*Calculateur!BN52*VLOOKUP('Données projet'!$B$11,Paramètres!$A$1:$I$89,3,0)*0.475*44/12</f>
        <v>13.994884826345622</v>
      </c>
      <c r="BR52" s="21">
        <f>EXP(-LN(2)/2)*BR51+(1-EXP(-LN(2)/2))/(LN(2)/2)*BL52*BO52*VLOOKUP('Données projet'!$B$11,Paramètres!$A$1:$I$89,3,0)*0.475*44/12</f>
        <v>1.4430853568143163</v>
      </c>
      <c r="BS52" s="22">
        <f t="shared" si="9"/>
        <v>23.75198239220304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3.3603333333333336</v>
      </c>
      <c r="BY52" s="12">
        <f>IF('Données projet'!$A$114&gt;35,BY51+BX52-CG51,IF(A52&lt;'Données projet'!$A$114,$BV$205^A52,IF(A52='Données projet'!$A$114,'Données projet'!$B$114,BY51+BX52-CG51)))</f>
        <v>164.65633333333327</v>
      </c>
      <c r="BZ52" s="13">
        <f>BY52*VLOOKUP('Données projet'!$B$12,Paramètres!$A$1:$I$89,3,0)*VLOOKUP('Données projet'!$B$12,Paramètres!$A$1:$I$89,5,0)</f>
        <v>187.51063239999991</v>
      </c>
      <c r="CA52" s="13">
        <f t="shared" si="39"/>
        <v>46.989167288603106</v>
      </c>
      <c r="CB52" s="20">
        <f t="shared" si="10"/>
        <v>408.42048445765022</v>
      </c>
      <c r="CC52" s="59">
        <f t="shared" si="11"/>
        <v>701.75381779098348</v>
      </c>
      <c r="CD52" s="59">
        <f ca="1">AVERAGE(OFFSET($CC$3,0,0,'Données projet'!$E$12+1,1))-AVERAGE(OFFSET($H$3,0,0,'Données projet'!$E$12+1,1))</f>
        <v>593.28343396240075</v>
      </c>
      <c r="CE52" s="59">
        <f t="shared" si="40"/>
        <v>289.66477662068695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10.110000000000001</v>
      </c>
      <c r="CT52" s="12">
        <f>IF('Données projet'!$A$140&gt;35,CT51+CS52-DB51,IF(A52&lt;'Données projet'!$A$140,$CQ$205^A52,IF(A52='Données projet'!$A$140,'Données projet'!$B$140,CT51+CS52-DB51)))</f>
        <v>198.2200000000002</v>
      </c>
      <c r="CU52" s="17">
        <f>CT52*VLOOKUP('Données projet'!$B$13,Paramètres!$A$1:$I$89,3,0)*VLOOKUP('Données projet'!$B$13,Paramètres!$A$1:$I$89,5,0)</f>
        <v>213.36400800000021</v>
      </c>
      <c r="CV52" s="13">
        <f t="shared" si="41"/>
        <v>52.670024774153262</v>
      </c>
      <c r="CW52" s="20">
        <f t="shared" si="13"/>
        <v>463.34260708165061</v>
      </c>
      <c r="CX52" s="59">
        <f t="shared" si="14"/>
        <v>756.67594041498387</v>
      </c>
      <c r="CY52" s="59">
        <f ca="1">AVERAGE(OFFSET($CX$3,0,0,'Données projet'!$E$13+1,1))-AVERAGE(OFFSET($H$3,0,0,'Données projet'!$E$13+1,1))</f>
        <v>747.18304127457918</v>
      </c>
      <c r="CZ52" s="59">
        <f t="shared" si="42"/>
        <v>327.03701004966723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14.946347640987591</v>
      </c>
      <c r="DH52" s="21">
        <f>EXP(-LN(2)/2)*DH51+(1-EXP(-LN(2)/2))/(LN(2)/2)*DB52*DE52*VLOOKUP('Données projet'!$B$13,Paramètres!$A$1:$I$89,3,0)*0.475*44/12</f>
        <v>0.7991174004877446</v>
      </c>
      <c r="DI52" s="22">
        <f t="shared" si="15"/>
        <v>15.745465041475336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8.6</v>
      </c>
      <c r="DO52" s="12">
        <f>IF('Données projet'!$A$166&gt;35,DO51+DN52-DW51,IF(A52&lt;'Données projet'!$A$166,$DL$205^A52,IF(A52='Données projet'!$A$166,'Données projet'!$B$166,DO51+DN52-DW51)))</f>
        <v>252.40000000000003</v>
      </c>
      <c r="DP52" s="17">
        <f>DO52*VLOOKUP('Données projet'!$B$14,Paramètres!$A$1:$I$89,3,0)*VLOOKUP('Données projet'!$B$14,Paramètres!$A$1:$I$89,5,0)</f>
        <v>200.80944000000002</v>
      </c>
      <c r="DQ52" s="13">
        <f t="shared" si="43"/>
        <v>49.922016299484312</v>
      </c>
      <c r="DR52" s="20">
        <f t="shared" si="16"/>
        <v>436.69061972160188</v>
      </c>
      <c r="DS52" s="59">
        <f t="shared" si="17"/>
        <v>730.02395305493519</v>
      </c>
      <c r="DT52" s="59">
        <f ca="1">AVERAGE(OFFSET($DS$3,0,0,'Données projet'!$E$14+1,1))-AVERAGE(OFFSET($H$3,0,0,'Données projet'!$E$14+1,1))</f>
        <v>353.37479213497227</v>
      </c>
      <c r="DU52" s="59">
        <f t="shared" si="44"/>
        <v>345.4750813433123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11.887489427811667</v>
      </c>
      <c r="EB52" s="21">
        <f>EXP(-LN(2)/25)*EB51+(1-EXP(-LN(2)/25))/(LN(2)/25)*Calculateur!DW52*Calculateur!DY52*VLOOKUP('Données projet'!$B$14,Paramètres!$A$1:$I$89,3,0)*0.475*44/12</f>
        <v>16.167240025375715</v>
      </c>
      <c r="EC52" s="21">
        <f>EXP(-LN(2)/2)*EC51+(1-EXP(-LN(2)/2))/(LN(2)/2)*DW52*DZ52*VLOOKUP('Données projet'!$B$14,Paramètres!$A$1:$I$89,3,0)*0.475*44/12</f>
        <v>1.4786079682540947</v>
      </c>
      <c r="ED52" s="22">
        <f t="shared" si="18"/>
        <v>29.53333742144148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>
        <f>VLOOKUP(A52,'Données projet'!$A$191:$I$211,2,0)</f>
        <v>365.5</v>
      </c>
      <c r="EH52" s="12">
        <f>VLOOKUP(A52,'Données projet'!$A$191:$I$211,9,0)</f>
        <v>-15.628571428571425</v>
      </c>
      <c r="EI52" s="12">
        <f t="array" ref="EI52">INDEX(EH:EH,MIN(IF(ISNUMBER(EH52:EH248),ROW(EH52:EH248),"")))</f>
        <v>-15.628571428571425</v>
      </c>
      <c r="EJ52" s="12">
        <f>IF('Données projet'!$A$192&gt;35,EJ51+EI52-ER51,IF(A52&lt;'Données projet'!$A$192,$EG$205^A52,IF(A52='Données projet'!$A$192,'Données projet'!$B$192,EJ51+EI52-ER51)))</f>
        <v>365.49999999999955</v>
      </c>
      <c r="EK52" s="17">
        <f>EJ52*VLOOKUP('Données projet'!$B$15,Paramètres!$A$1:$I$89,3,0)*VLOOKUP('Données projet'!$B$15,Paramètres!$A$1:$I$89,5,0)</f>
        <v>171.0539999999998</v>
      </c>
      <c r="EL52" s="13">
        <f t="shared" si="45"/>
        <v>43.325999538979005</v>
      </c>
      <c r="EM52" s="20">
        <f t="shared" si="19"/>
        <v>373.37849919705474</v>
      </c>
      <c r="EN52" s="59">
        <f t="shared" si="20"/>
        <v>666.71183253038805</v>
      </c>
      <c r="EO52" s="59">
        <f ca="1">AVERAGE(OFFSET($EN$3,0,0,'Données projet'!$E$15+1,1))-AVERAGE(OFFSET($H$3,0,0,'Données projet'!$E$15+1,1))</f>
        <v>433.05041777893922</v>
      </c>
      <c r="EP52" s="59">
        <f t="shared" si="46"/>
        <v>591.24088611958996</v>
      </c>
      <c r="EQ52" s="15">
        <f>IF(ISNA(VLOOKUP(A52,'Données projet'!$A$191:$I$211,3,0)),0,VLOOKUP(A52,'Données projet'!$A$191:$I$211,3,0))</f>
        <v>2</v>
      </c>
      <c r="ER52" s="15">
        <f>IF(ISNA(VLOOKUP(A52,'Données projet'!$A$191:$I$211,4,0)),0,VLOOKUP(A52,'Données projet'!$A$191:$I$211,4,0))</f>
        <v>101.22000000000003</v>
      </c>
      <c r="ES52" s="16">
        <f>IF(ISNA(VLOOKUP(A52,'Données projet'!$A$191:$I$211,5,0)),0%,VLOOKUP(A52,'Données projet'!$A$191:$I$211,5,0)*VLOOKUP('Données projet'!$B$15,Paramètres!$A$1:$I$89,7,0))</f>
        <v>0.33</v>
      </c>
      <c r="ET52" s="16">
        <f>IF(ISNA(VLOOKUP(A52,'Données projet'!$A$191:$I$211,6,0)),0%,VLOOKUP(A52,'Données projet'!$A$191:$I$211,6,0)*VLOOKUP('Données projet'!$B$15,Paramètres!$A$1:$I$89,7,0))</f>
        <v>0.11000000000000001</v>
      </c>
      <c r="EU52" s="16">
        <f>IF(ISNA(VLOOKUP(A52,'Données projet'!$A$191:$I$211,7,0)),0%,VLOOKUP(A52,'Données projet'!$A$191:$I$211,7,0))</f>
        <v>0.2</v>
      </c>
      <c r="EV52" s="21">
        <f>EXP(-LN(2)/35)*EV51+(1-EXP(-LN(2)/35))/(LN(2)/35)*ER52*ES52*VLOOKUP('Données projet'!$B$15,Paramètres!$A$1:$I$89,3,0)*0.475*44/12</f>
        <v>94.582087236725059</v>
      </c>
      <c r="EW52" s="21">
        <f>EXP(-LN(2)/25)*EW51+(1-EXP(-LN(2)/25))/(LN(2)/25)*Calculateur!ER52*Calculateur!ET52*VLOOKUP('Données projet'!$B$15,Paramètres!$A$1:$I$89,3,0)*0.475*44/12</f>
        <v>53.548974637963056</v>
      </c>
      <c r="EX52" s="21">
        <f>EXP(-LN(2)/2)*EX51+(1-EXP(-LN(2)/2))/(LN(2)/2)*ER52*EU52*VLOOKUP('Données projet'!$B$15,Paramètres!$A$1:$I$89,3,0)*0.475*44/12</f>
        <v>18.666132035150088</v>
      </c>
      <c r="EY52" s="22">
        <f t="shared" si="21"/>
        <v>166.7971939098382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2.9487179487179445</v>
      </c>
      <c r="FE52" s="12">
        <f>IF('Données projet'!$A$218&gt;35,FE51+FD52-FM51,IF(A52&lt;'Données projet'!$A$218,$FB$205^A52,IF(A52='Données projet'!$A$218,'Données projet'!$B$218,FE51+FD52-FM51)))</f>
        <v>86.153846153846146</v>
      </c>
      <c r="FF52" s="17">
        <f>FE52*VLOOKUP('Données projet'!$B$16,Paramètres!$A$1:$I$89,3,0)*VLOOKUP('Données projet'!$B$16,Paramètres!$A$1:$I$89,5,0)</f>
        <v>69.887999999999991</v>
      </c>
      <c r="FG52" s="13">
        <f t="shared" si="47"/>
        <v>19.645641432461961</v>
      </c>
      <c r="FH52" s="20">
        <f t="shared" si="22"/>
        <v>155.93775882820455</v>
      </c>
      <c r="FI52" s="59">
        <f t="shared" si="23"/>
        <v>449.27109216153787</v>
      </c>
      <c r="FJ52" s="59">
        <f ca="1">AVERAGE(OFFSET($FI$3,0,0,'Données projet'!$E$16+1,1))-AVERAGE(OFFSET($H$3,0,0,'Données projet'!$E$16+1,1))</f>
        <v>159.4660488566085</v>
      </c>
      <c r="FK52" s="59">
        <f t="shared" si="48"/>
        <v>135.33030558297088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2.3312680928594545</v>
      </c>
      <c r="FS52" s="21">
        <f>EXP(-LN(2)/2)*FS51+(1-EXP(-LN(2)/2))/(LN(2)/2)*FM52*FP52*VLOOKUP('Données projet'!$B$16,Paramètres!$A$1:$I$89,3,0)*0.475*44/12</f>
        <v>0.40291328593778275</v>
      </c>
      <c r="FT52" s="22">
        <f t="shared" si="24"/>
        <v>2.7341813787972371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208.33</v>
      </c>
      <c r="L53" s="12">
        <f>VLOOKUP(A53,'Données projet'!$A$35:$I$55,9,0)</f>
        <v>10.110000000000001</v>
      </c>
      <c r="M53" s="12">
        <f t="array" ref="M53">INDEX(L:L,MIN(IF(ISNUMBER(L53:L249),ROW(L53:L249),"")))</f>
        <v>10.110000000000001</v>
      </c>
      <c r="N53" s="13">
        <f>IF('Données projet'!$A$36&gt;35,N52+M53-V52,IF(A53&lt;'Données projet'!$A$36,$K$205^A53,IF(A53='Données projet'!$A$36,'Données projet'!$B$36,N52+M53-V52)))</f>
        <v>208.33000000000021</v>
      </c>
      <c r="O53" s="13">
        <f>N53*VLOOKUP('Données projet'!$B$9,Paramètres!$A$1:$I$89,3,0)*VLOOKUP('Données projet'!$B$9,Paramètres!$A$1:$I$89,5,0)</f>
        <v>211.24662000000023</v>
      </c>
      <c r="P53" s="13">
        <f t="shared" si="33"/>
        <v>52.207909621932217</v>
      </c>
      <c r="Q53" s="20">
        <f t="shared" si="53"/>
        <v>458.84997242486565</v>
      </c>
      <c r="R53" s="59">
        <f t="shared" si="0"/>
        <v>752.18330575819891</v>
      </c>
      <c r="S53" s="59">
        <f ca="1">AVERAGE(OFFSET($R$3,0,0,'Données projet'!$E$9+1,1))-AVERAGE(OFFSET($H$3,0,0,'Données projet'!$E$9+1,1))</f>
        <v>706.69239849991595</v>
      </c>
      <c r="T53" s="59">
        <f t="shared" si="34"/>
        <v>310.59887275116529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37.54000000000002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28.113521264944488</v>
      </c>
      <c r="AB53" s="21">
        <f>EXP(-LN(2)/2)*AB52+(1-EXP(-LN(2)/2))/(LN(2)/2)*V53*Y53*VLOOKUP('Données projet'!$B$9,Paramètres!$A$1:$I$89,3,0)*0.475*44/12</f>
        <v>7.7154802300384224</v>
      </c>
      <c r="AC53" s="22">
        <f t="shared" si="3"/>
        <v>35.829001494982911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110.89743589743588</v>
      </c>
      <c r="AG53" s="12">
        <f>VLOOKUP(A53,'Données projet'!$A$61:$I$81,9,0)</f>
        <v>3.8461538461538454</v>
      </c>
      <c r="AH53" s="12">
        <f t="array" ref="AH53">INDEX(AG:AG,MIN(IF(ISNUMBER(AG53:AG249),ROW(AG53:AG249),"")))</f>
        <v>3.8461538461538454</v>
      </c>
      <c r="AI53" s="13">
        <f>IF('Données projet'!$A$62&gt;35,AI52+AH53-AQ52,IF(A53&lt;'Données projet'!$A$62,$AF$205^A53,IF(A53='Données projet'!$A$62,'Données projet'!$B$62,AI52+AH53-AQ52)))</f>
        <v>110.89743589743586</v>
      </c>
      <c r="AJ53" s="13">
        <f>AI53*VLOOKUP('Données projet'!$B$10,Paramètres!$A$1:$I$89,3,0)*VLOOKUP('Données projet'!$B$10,Paramètres!$A$1:$I$89,5,0)</f>
        <v>115.90999999999997</v>
      </c>
      <c r="AK53" s="13">
        <f t="shared" si="35"/>
        <v>30.719157262842881</v>
      </c>
      <c r="AL53" s="20">
        <f t="shared" si="4"/>
        <v>255.37911556611792</v>
      </c>
      <c r="AM53" s="59">
        <f t="shared" si="5"/>
        <v>548.71244889945126</v>
      </c>
      <c r="AN53" s="59">
        <f ca="1">AVERAGE(OFFSET($AM$3,0,0,'Données projet'!$E$10+1,1))-AVERAGE(OFFSET($H$3,0,0,'Données projet'!$E$10+1,1))</f>
        <v>239.26156489359892</v>
      </c>
      <c r="AO53" s="59">
        <f t="shared" si="36"/>
        <v>213.97034450798111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11.538461538461538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0.215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15.306868602639014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15.306868602639014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219</v>
      </c>
      <c r="BB53" s="12">
        <f>VLOOKUP(A53,'Données projet'!$A$87:$I$107,9,0)</f>
        <v>7.2</v>
      </c>
      <c r="BC53" s="12">
        <f t="array" ref="BC53">INDEX(BB:BB,MIN(IF(ISNUMBER(BB53:BB249),ROW(BB53:BB249),"")))</f>
        <v>7.2</v>
      </c>
      <c r="BD53" s="12">
        <f>IF('Données projet'!$A$88&gt;35,BD52+BC53-BL52,IF(A53&lt;'Données projet'!$A$88,$BA$205^A53,IF(A53='Données projet'!$A$88,'Données projet'!$B$88,BD52+BC53-BL52)))</f>
        <v>218.99999999999989</v>
      </c>
      <c r="BE53" s="13">
        <f>BD53*VLOOKUP('Données projet'!$B$11,Paramètres!$A$1:$I$89,3,0)*VLOOKUP('Données projet'!$B$11,Paramètres!$A$1:$I$89,5,0)</f>
        <v>191.31839999999991</v>
      </c>
      <c r="BF53" s="13">
        <f t="shared" si="37"/>
        <v>47.831314962098354</v>
      </c>
      <c r="BG53" s="20">
        <f t="shared" si="7"/>
        <v>416.51908689232118</v>
      </c>
      <c r="BH53" s="59">
        <f t="shared" si="8"/>
        <v>709.85242022565444</v>
      </c>
      <c r="BI53" s="59">
        <f ca="1">AVERAGE(OFFSET($BH$3,0,0,'Données projet'!$E$11+1,1))-AVERAGE(OFFSET($H$3,0,0,'Données projet'!$E$11+1,1))</f>
        <v>324.86930206492627</v>
      </c>
      <c r="BJ53" s="59">
        <f t="shared" si="38"/>
        <v>317.03005098025352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17</v>
      </c>
      <c r="BM53" s="16">
        <f>IF(ISNA(VLOOKUP(A53,'Données projet'!$A$87:$I$107,5,0)),0%,VLOOKUP(A53,'Données projet'!$A$87:$I$107,5,0)*VLOOKUP('Données projet'!$B$11,Paramètres!$A$1:$I$89,7,0))</f>
        <v>0.13250000000000001</v>
      </c>
      <c r="BN53" s="16">
        <f>IF(ISNA(VLOOKUP(A53,'Données projet'!$A$87:$I$107,6,0)),0%,VLOOKUP(A53,'Données projet'!$A$87:$I$107,6,0)*VLOOKUP('Données projet'!$B$11,Paramètres!$A$1:$I$89,7,0))</f>
        <v>0.13250000000000001</v>
      </c>
      <c r="BO53" s="16">
        <f>IF(ISNA(VLOOKUP(A53,'Données projet'!$A$87:$I$107,7,0)),0%,VLOOKUP(A53,'Données projet'!$A$87:$I$107,7,0))</f>
        <v>0.25</v>
      </c>
      <c r="BP53" s="21">
        <f>EXP(-LN(2)/35)*BP52+(1-EXP(-LN(2)/35))/(LN(2)/35)*BL53*BM53*VLOOKUP('Données projet'!$B$11,Paramètres!$A$1:$I$89,3,0)*0.475*44/12</f>
        <v>10.326306425989358</v>
      </c>
      <c r="BQ53" s="21">
        <f>EXP(-LN(2)/25)*BQ52+(1-EXP(-LN(2)/25))/(LN(2)/25)*Calculateur!BL53*Calculateur!BN53*VLOOKUP('Données projet'!$B$11,Paramètres!$A$1:$I$89,3,0)*0.475*44/12</f>
        <v>15.77895579915954</v>
      </c>
      <c r="BR53" s="21">
        <f>EXP(-LN(2)/2)*BR52+(1-EXP(-LN(2)/2))/(LN(2)/2)*BL53*BO53*VLOOKUP('Données projet'!$B$11,Paramètres!$A$1:$I$89,3,0)*0.475*44/12</f>
        <v>4.5235421701812975</v>
      </c>
      <c r="BS53" s="22">
        <f t="shared" si="9"/>
        <v>30.628804395330196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3.3603333333333336</v>
      </c>
      <c r="BY53" s="12">
        <f>IF('Données projet'!$A$114&gt;35,BY52+BX53-CG52,IF(A53&lt;'Données projet'!$A$114,$BV$205^A53,IF(A53='Données projet'!$A$114,'Données projet'!$B$114,BY52+BX53-CG52)))</f>
        <v>168.01666666666659</v>
      </c>
      <c r="BZ53" s="13">
        <f>BY53*VLOOKUP('Données projet'!$B$12,Paramètres!$A$1:$I$89,3,0)*VLOOKUP('Données projet'!$B$12,Paramètres!$A$1:$I$89,5,0)</f>
        <v>191.33737999999994</v>
      </c>
      <c r="CA53" s="13">
        <f t="shared" si="39"/>
        <v>47.835507770222058</v>
      </c>
      <c r="CB53" s="20">
        <f t="shared" si="10"/>
        <v>416.55944619980323</v>
      </c>
      <c r="CC53" s="59">
        <f t="shared" si="11"/>
        <v>709.89277953313649</v>
      </c>
      <c r="CD53" s="59">
        <f ca="1">AVERAGE(OFFSET($CC$3,0,0,'Données projet'!$E$12+1,1))-AVERAGE(OFFSET($H$3,0,0,'Données projet'!$E$12+1,1))</f>
        <v>593.28343396240075</v>
      </c>
      <c r="CE53" s="59">
        <f t="shared" si="40"/>
        <v>289.66477662068695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208.33</v>
      </c>
      <c r="CR53" s="12">
        <f>VLOOKUP(A53,'Données projet'!$A$139:$I$159,9,0)</f>
        <v>10.110000000000001</v>
      </c>
      <c r="CS53" s="12">
        <f t="array" ref="CS53">INDEX(CR:CR,MIN(IF(ISNUMBER(CR53:CR249),ROW(CR53:CR249),"")))</f>
        <v>10.110000000000001</v>
      </c>
      <c r="CT53" s="12">
        <f>IF('Données projet'!$A$140&gt;35,CT52+CS53-DB52,IF(A53&lt;'Données projet'!$A$140,$CQ$205^A53,IF(A53='Données projet'!$A$140,'Données projet'!$B$140,CT52+CS53-DB52)))</f>
        <v>208.33000000000021</v>
      </c>
      <c r="CU53" s="17">
        <f>CT53*VLOOKUP('Données projet'!$B$13,Paramètres!$A$1:$I$89,3,0)*VLOOKUP('Données projet'!$B$13,Paramètres!$A$1:$I$89,5,0)</f>
        <v>224.24641200000019</v>
      </c>
      <c r="CV53" s="13">
        <f t="shared" si="41"/>
        <v>55.036792961700719</v>
      </c>
      <c r="CW53" s="20">
        <f t="shared" si="13"/>
        <v>486.41824864162896</v>
      </c>
      <c r="CX53" s="59">
        <f t="shared" si="14"/>
        <v>779.75158197496228</v>
      </c>
      <c r="CY53" s="59">
        <f ca="1">AVERAGE(OFFSET($CX$3,0,0,'Données projet'!$E$13+1,1))-AVERAGE(OFFSET($H$3,0,0,'Données projet'!$E$13+1,1))</f>
        <v>747.18304127457918</v>
      </c>
      <c r="CZ53" s="59">
        <f t="shared" si="42"/>
        <v>327.03701004966723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37.54000000000002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0.34400000000000003</v>
      </c>
      <c r="DE53" s="16">
        <f>IF(ISNA(VLOOKUP(A53,'Données projet'!$A$139:$I$159,7,0)),0%,VLOOKUP(A53,'Données projet'!$A$139:$I$159,7,0))</f>
        <v>0.2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29.843584112017989</v>
      </c>
      <c r="DH53" s="21">
        <f>EXP(-LN(2)/2)*DH52+(1-EXP(-LN(2)/2))/(LN(2)/2)*DB53*DE53*VLOOKUP('Données projet'!$B$13,Paramètres!$A$1:$I$89,3,0)*0.475*44/12</f>
        <v>8.1902790134254033</v>
      </c>
      <c r="DI53" s="22">
        <f t="shared" si="15"/>
        <v>38.033863125443389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261</v>
      </c>
      <c r="DM53" s="12">
        <f>VLOOKUP(A53,'Données projet'!$A$165:$I$185,9,0)</f>
        <v>8.6</v>
      </c>
      <c r="DN53" s="12">
        <f t="array" ref="DN53">INDEX(DM:DM,MIN(IF(ISNUMBER(DM53:DM249),ROW(DM53:DM249),"")))</f>
        <v>8.6</v>
      </c>
      <c r="DO53" s="12">
        <f>IF('Données projet'!$A$166&gt;35,DO52+DN53-DW52,IF(A53&lt;'Données projet'!$A$166,$DL$205^A53,IF(A53='Données projet'!$A$166,'Données projet'!$B$166,DO52+DN53-DW52)))</f>
        <v>261.00000000000006</v>
      </c>
      <c r="DP53" s="17">
        <f>DO53*VLOOKUP('Données projet'!$B$14,Paramètres!$A$1:$I$89,3,0)*VLOOKUP('Données projet'!$B$14,Paramètres!$A$1:$I$89,5,0)</f>
        <v>207.65160000000006</v>
      </c>
      <c r="DQ53" s="13">
        <f t="shared" si="43"/>
        <v>51.422065813018108</v>
      </c>
      <c r="DR53" s="20">
        <f t="shared" si="16"/>
        <v>451.2199679576733</v>
      </c>
      <c r="DS53" s="59">
        <f t="shared" si="17"/>
        <v>744.55330129100662</v>
      </c>
      <c r="DT53" s="59">
        <f ca="1">AVERAGE(OFFSET($DS$3,0,0,'Données projet'!$E$14+1,1))-AVERAGE(OFFSET($H$3,0,0,'Données projet'!$E$14+1,1))</f>
        <v>353.37479213497227</v>
      </c>
      <c r="DU53" s="59">
        <f t="shared" si="44"/>
        <v>345.4750813433123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19</v>
      </c>
      <c r="DX53" s="16">
        <f>IF(ISNA(VLOOKUP(A53,'Données projet'!$A$165:$I$185,5,0)),0%,VLOOKUP(A53,'Données projet'!$A$165:$I$185,5,0)*VLOOKUP('Données projet'!$B$14,Paramètres!$A$1:$I$89,7,0))</f>
        <v>0.13250000000000001</v>
      </c>
      <c r="DY53" s="16">
        <f>IF(ISNA(VLOOKUP(A53,'Données projet'!$A$165:$I$185,6,0)),0%,VLOOKUP(A53,'Données projet'!$A$165:$I$185,6,0)*VLOOKUP('Données projet'!$B$14,Paramètres!$A$1:$I$89,7,0))</f>
        <v>0.13250000000000001</v>
      </c>
      <c r="DZ53" s="16">
        <f>IF(ISNA(VLOOKUP(A53,'Données projet'!$A$165:$I$185,7,0)),0%,VLOOKUP(A53,'Données projet'!$A$165:$I$185,7,0))</f>
        <v>0.25</v>
      </c>
      <c r="EA53" s="21">
        <f>EXP(-LN(2)/35)*EA52+(1-EXP(-LN(2)/35))/(LN(2)/35)*DW53*DX53*VLOOKUP('Données projet'!$B$14,Paramètres!$A$1:$I$89,3,0)*0.475*44/12</f>
        <v>13.868555059770163</v>
      </c>
      <c r="EB53" s="21">
        <f>EXP(-LN(2)/25)*EB52+(1-EXP(-LN(2)/25))/(LN(2)/25)*Calculateur!DW53*Calculateur!DY53*VLOOKUP('Données projet'!$B$14,Paramètres!$A$1:$I$89,3,0)*0.475*44/12</f>
        <v>17.93060000664634</v>
      </c>
      <c r="EC53" s="21">
        <f>EXP(-LN(2)/2)*EC52+(1-EXP(-LN(2)/2))/(LN(2)/2)*DW53*DZ53*VLOOKUP('Données projet'!$B$14,Paramètres!$A$1:$I$89,3,0)*0.475*44/12</f>
        <v>4.6112162840541568</v>
      </c>
      <c r="ED53" s="22">
        <f t="shared" si="18"/>
        <v>36.410371350470662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375.69</v>
      </c>
      <c r="EH53" s="12">
        <f>VLOOKUP(A53,'Données projet'!$A$191:$I$211,9,0)</f>
        <v>111.41000000000003</v>
      </c>
      <c r="EI53" s="12">
        <f t="array" ref="EI53">INDEX(EH:EH,MIN(IF(ISNUMBER(EH53:EH249),ROW(EH53:EH249),"")))</f>
        <v>111.41000000000003</v>
      </c>
      <c r="EJ53" s="12">
        <f>IF('Données projet'!$A$192&gt;35,EJ52+EI53-ER52,IF(A53&lt;'Données projet'!$A$192,$EG$205^A53,IF(A53='Données projet'!$A$192,'Données projet'!$B$192,EJ52+EI53-ER52)))</f>
        <v>375.68999999999954</v>
      </c>
      <c r="EK53" s="17">
        <f>EJ53*VLOOKUP('Données projet'!$B$15,Paramètres!$A$1:$I$89,3,0)*VLOOKUP('Données projet'!$B$15,Paramètres!$A$1:$I$89,5,0)</f>
        <v>175.82291999999978</v>
      </c>
      <c r="EL53" s="13">
        <f t="shared" si="45"/>
        <v>44.391596716593199</v>
      </c>
      <c r="EM53" s="20">
        <f t="shared" si="19"/>
        <v>383.54028328139947</v>
      </c>
      <c r="EN53" s="59">
        <f t="shared" si="20"/>
        <v>676.87361661473278</v>
      </c>
      <c r="EO53" s="59">
        <f ca="1">AVERAGE(OFFSET($EN$3,0,0,'Données projet'!$E$15+1,1))-AVERAGE(OFFSET($H$3,0,0,'Données projet'!$E$15+1,1))</f>
        <v>433.05041777893922</v>
      </c>
      <c r="EP53" s="59">
        <f t="shared" si="46"/>
        <v>591.24088611958996</v>
      </c>
      <c r="EQ53" s="15">
        <f>IF(ISNA(VLOOKUP(A53,'Données projet'!$A$191:$I$211,3,0)),0,VLOOKUP(A53,'Données projet'!$A$191:$I$211,3,0))</f>
        <v>2</v>
      </c>
      <c r="ER53" s="15">
        <f>IF(ISNA(VLOOKUP(A53,'Données projet'!$A$191:$I$211,4,0)),0,VLOOKUP(A53,'Données projet'!$A$191:$I$211,4,0))</f>
        <v>108.07</v>
      </c>
      <c r="ES53" s="16">
        <f>IF(ISNA(VLOOKUP(A53,'Données projet'!$A$191:$I$211,5,0)),0%,VLOOKUP(A53,'Données projet'!$A$191:$I$211,5,0)*VLOOKUP('Données projet'!$B$15,Paramètres!$A$1:$I$89,7,0))</f>
        <v>0.33</v>
      </c>
      <c r="ET53" s="16">
        <f>IF(ISNA(VLOOKUP(A53,'Données projet'!$A$191:$I$211,6,0)),0%,VLOOKUP(A53,'Données projet'!$A$191:$I$211,6,0)*VLOOKUP('Données projet'!$B$15,Paramètres!$A$1:$I$89,7,0))</f>
        <v>0.11000000000000001</v>
      </c>
      <c r="EU53" s="16">
        <f>IF(ISNA(VLOOKUP(A53,'Données projet'!$A$191:$I$211,7,0)),0%,VLOOKUP(A53,'Données projet'!$A$191:$I$211,7,0))</f>
        <v>0.2</v>
      </c>
      <c r="EV53" s="21">
        <f>EXP(-LN(2)/35)*EV52+(1-EXP(-LN(2)/35))/(LN(2)/35)*ER53*ES53*VLOOKUP('Données projet'!$B$15,Paramètres!$A$1:$I$89,3,0)*0.475*44/12</f>
        <v>114.86818978419753</v>
      </c>
      <c r="EW53" s="21">
        <f>EXP(-LN(2)/25)*EW52+(1-EXP(-LN(2)/25))/(LN(2)/25)*Calculateur!ER53*Calculateur!ET53*VLOOKUP('Données projet'!$B$15,Paramètres!$A$1:$I$89,3,0)*0.475*44/12</f>
        <v>59.435882718643306</v>
      </c>
      <c r="EX53" s="21">
        <f>EXP(-LN(2)/2)*EX52+(1-EXP(-LN(2)/2))/(LN(2)/2)*ER53*EU53*VLOOKUP('Données projet'!$B$15,Paramètres!$A$1:$I$89,3,0)*0.475*44/12</f>
        <v>24.651876775827013</v>
      </c>
      <c r="EY53" s="22">
        <f t="shared" si="21"/>
        <v>198.95594927866784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89.102564102564088</v>
      </c>
      <c r="FC53" s="12">
        <f>VLOOKUP(A53,'Données projet'!$A$217:$I$237,9,0)</f>
        <v>2.9487179487179445</v>
      </c>
      <c r="FD53" s="12">
        <f t="array" ref="FD53">INDEX(FC:FC,MIN(IF(ISNUMBER(FC53:FC249),ROW(FC53:FC249),"")))</f>
        <v>2.9487179487179445</v>
      </c>
      <c r="FE53" s="12">
        <f>IF('Données projet'!$A$218&gt;35,FE52+FD53-FM52,IF(A53&lt;'Données projet'!$A$218,$FB$205^A53,IF(A53='Données projet'!$A$218,'Données projet'!$B$218,FE52+FD53-FM52)))</f>
        <v>89.102564102564088</v>
      </c>
      <c r="FF53" s="17">
        <f>FE53*VLOOKUP('Données projet'!$B$16,Paramètres!$A$1:$I$89,3,0)*VLOOKUP('Données projet'!$B$16,Paramètres!$A$1:$I$89,5,0)</f>
        <v>72.28</v>
      </c>
      <c r="FG53" s="13">
        <f t="shared" si="47"/>
        <v>20.238601389325545</v>
      </c>
      <c r="FH53" s="20">
        <f t="shared" si="22"/>
        <v>161.13656408640864</v>
      </c>
      <c r="FI53" s="59">
        <f t="shared" si="23"/>
        <v>454.46989741974198</v>
      </c>
      <c r="FJ53" s="59">
        <f ca="1">AVERAGE(OFFSET($FI$3,0,0,'Données projet'!$E$16+1,1))-AVERAGE(OFFSET($H$3,0,0,'Données projet'!$E$16+1,1))</f>
        <v>159.4660488566085</v>
      </c>
      <c r="FK53" s="59">
        <f t="shared" si="48"/>
        <v>135.33030558297088</v>
      </c>
      <c r="FL53" s="15">
        <f>IF(ISNA(VLOOKUP(A53,'Données projet'!$A$217:$I$237,3,0)),0,VLOOKUP(A53,'Données projet'!$A$217:$I$237,3,0))</f>
        <v>8</v>
      </c>
      <c r="FM53" s="15">
        <f>IF(ISNA(VLOOKUP(A53,'Données projet'!$A$217:$I$237,4,0)),0,VLOOKUP(A53,'Données projet'!$A$217:$I$237,4,0))</f>
        <v>7.0512820512820511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0.1075</v>
      </c>
      <c r="FP53" s="16">
        <f>IF(ISNA(VLOOKUP(A53,'Données projet'!$A$217:$I$237,7,0)),0%,VLOOKUP(A53,'Données projet'!$A$217:$I$237,7,0))</f>
        <v>0.25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2.9445967311723757</v>
      </c>
      <c r="FS53" s="21">
        <f>EXP(-LN(2)/2)*FS52+(1-EXP(-LN(2)/2))/(LN(2)/2)*FM53*FP53*VLOOKUP('Données projet'!$B$16,Paramètres!$A$1:$I$89,3,0)*0.475*44/12</f>
        <v>1.634146204602466</v>
      </c>
      <c r="FT53" s="22">
        <f t="shared" si="24"/>
        <v>4.5787429357748417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10.36375</v>
      </c>
      <c r="N54" s="13">
        <f>IF('Données projet'!$A$36&gt;35,N53+M54-V53,IF(A54&lt;'Données projet'!$A$36,$K$205^A54,IF(A54='Données projet'!$A$36,'Données projet'!$B$36,N53+M54-V53)))</f>
        <v>181.1537500000002</v>
      </c>
      <c r="O54" s="13">
        <f>N54*VLOOKUP('Données projet'!$B$9,Paramètres!$A$1:$I$89,3,0)*VLOOKUP('Données projet'!$B$9,Paramètres!$A$1:$I$89,5,0)</f>
        <v>183.68990250000022</v>
      </c>
      <c r="P54" s="13">
        <f t="shared" si="33"/>
        <v>46.142149449949819</v>
      </c>
      <c r="Q54" s="20">
        <f t="shared" si="53"/>
        <v>400.29082381282961</v>
      </c>
      <c r="R54" s="59">
        <f t="shared" si="0"/>
        <v>693.62415714616293</v>
      </c>
      <c r="S54" s="59">
        <f ca="1">AVERAGE(OFFSET($R$3,0,0,'Données projet'!$E$9+1,1))-AVERAGE(OFFSET($H$3,0,0,'Données projet'!$E$9+1,1))</f>
        <v>706.69239849991595</v>
      </c>
      <c r="T54" s="59">
        <f t="shared" si="34"/>
        <v>310.59887275116529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27.344755547528752</v>
      </c>
      <c r="AB54" s="21">
        <f>EXP(-LN(2)/2)*AB53+(1-EXP(-LN(2)/2))/(LN(2)/2)*V54*Y54*VLOOKUP('Données projet'!$B$9,Paramètres!$A$1:$I$89,3,0)*0.475*44/12</f>
        <v>5.4556683907709127</v>
      </c>
      <c r="AC54" s="22">
        <f t="shared" si="3"/>
        <v>32.800423938299666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3.3333333333333344</v>
      </c>
      <c r="AI54" s="13">
        <f>IF('Données projet'!$A$62&gt;35,AI53+AH54-AQ53,IF(A54&lt;'Données projet'!$A$62,$AF$205^A54,IF(A54='Données projet'!$A$62,'Données projet'!$B$62,AI53+AH54-AQ53)))</f>
        <v>102.69230769230765</v>
      </c>
      <c r="AJ54" s="13">
        <f>AI54*VLOOKUP('Données projet'!$B$10,Paramètres!$A$1:$I$89,3,0)*VLOOKUP('Données projet'!$B$10,Paramètres!$A$1:$I$89,5,0)</f>
        <v>107.33399999999996</v>
      </c>
      <c r="AK54" s="13">
        <f t="shared" si="35"/>
        <v>28.701960070059993</v>
      </c>
      <c r="AL54" s="20">
        <f t="shared" si="4"/>
        <v>236.9292971220211</v>
      </c>
      <c r="AM54" s="59">
        <f t="shared" si="5"/>
        <v>530.26263045535438</v>
      </c>
      <c r="AN54" s="59">
        <f ca="1">AVERAGE(OFFSET($AM$3,0,0,'Données projet'!$E$10+1,1))-AVERAGE(OFFSET($H$3,0,0,'Données projet'!$E$10+1,1))</f>
        <v>239.26156489359892</v>
      </c>
      <c r="AO54" s="59">
        <f t="shared" si="36"/>
        <v>213.97034450798111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14.888301475746614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14.888301475746614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</v>
      </c>
      <c r="BD54" s="12">
        <f>IF('Données projet'!$A$88&gt;35,BD53+BC54-BL53,IF(A54&lt;'Données projet'!$A$88,$BA$205^A54,IF(A54='Données projet'!$A$88,'Données projet'!$B$88,BD53+BC54-BL53)))</f>
        <v>207.99999999999989</v>
      </c>
      <c r="BE54" s="13">
        <f>BD54*VLOOKUP('Données projet'!$B$11,Paramètres!$A$1:$I$89,3,0)*VLOOKUP('Données projet'!$B$11,Paramètres!$A$1:$I$89,5,0)</f>
        <v>181.70879999999991</v>
      </c>
      <c r="BF54" s="13">
        <f t="shared" si="37"/>
        <v>45.702153370067769</v>
      </c>
      <c r="BG54" s="20">
        <f t="shared" si="7"/>
        <v>396.07407711953448</v>
      </c>
      <c r="BH54" s="59">
        <f t="shared" si="8"/>
        <v>689.40741045286779</v>
      </c>
      <c r="BI54" s="59">
        <f ca="1">AVERAGE(OFFSET($BH$3,0,0,'Données projet'!$E$11+1,1))-AVERAGE(OFFSET($H$3,0,0,'Données projet'!$E$11+1,1))</f>
        <v>324.86930206492627</v>
      </c>
      <c r="BJ54" s="59">
        <f t="shared" si="38"/>
        <v>317.03005098025352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10.123813855400709</v>
      </c>
      <c r="BQ54" s="21">
        <f>EXP(-LN(2)/25)*BQ53+(1-EXP(-LN(2)/25))/(LN(2)/25)*Calculateur!BL54*Calculateur!BN54*VLOOKUP('Données projet'!$B$11,Paramètres!$A$1:$I$89,3,0)*0.475*44/12</f>
        <v>15.347479423052301</v>
      </c>
      <c r="BR54" s="21">
        <f>EXP(-LN(2)/2)*BR53+(1-EXP(-LN(2)/2))/(LN(2)/2)*BL54*BO54*VLOOKUP('Données projet'!$B$11,Paramètres!$A$1:$I$89,3,0)*0.475*44/12</f>
        <v>3.1986273435185071</v>
      </c>
      <c r="BS54" s="22">
        <f t="shared" si="9"/>
        <v>28.669920621971517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3.3603333333333336</v>
      </c>
      <c r="BY54" s="12">
        <f>IF('Données projet'!$A$114&gt;35,BY53+BX54-CG53,IF(A54&lt;'Données projet'!$A$114,$BV$205^A54,IF(A54='Données projet'!$A$114,'Données projet'!$B$114,BY53+BX54-CG53)))</f>
        <v>171.37699999999992</v>
      </c>
      <c r="BZ54" s="13">
        <f>BY54*VLOOKUP('Données projet'!$B$12,Paramètres!$A$1:$I$89,3,0)*VLOOKUP('Données projet'!$B$12,Paramètres!$A$1:$I$89,5,0)</f>
        <v>195.16412759999992</v>
      </c>
      <c r="CA54" s="13">
        <f t="shared" si="39"/>
        <v>48.679880124131074</v>
      </c>
      <c r="CB54" s="20">
        <f t="shared" si="10"/>
        <v>424.69498011952811</v>
      </c>
      <c r="CC54" s="59">
        <f t="shared" si="11"/>
        <v>718.02831345286143</v>
      </c>
      <c r="CD54" s="59">
        <f ca="1">AVERAGE(OFFSET($CC$3,0,0,'Données projet'!$E$12+1,1))-AVERAGE(OFFSET($H$3,0,0,'Données projet'!$E$12+1,1))</f>
        <v>593.28343396240075</v>
      </c>
      <c r="CE54" s="59">
        <f t="shared" si="40"/>
        <v>289.66477662068695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10.36375</v>
      </c>
      <c r="CT54" s="12">
        <f>IF('Données projet'!$A$140&gt;35,CT53+CS54-DB53,IF(A54&lt;'Données projet'!$A$140,$CQ$205^A54,IF(A54='Données projet'!$A$140,'Données projet'!$B$140,CT53+CS54-DB53)))</f>
        <v>181.1537500000002</v>
      </c>
      <c r="CU54" s="17">
        <f>CT54*VLOOKUP('Données projet'!$B$13,Paramètres!$A$1:$I$89,3,0)*VLOOKUP('Données projet'!$B$13,Paramètres!$A$1:$I$89,5,0)</f>
        <v>194.9938965000002</v>
      </c>
      <c r="CV54" s="13">
        <f t="shared" si="41"/>
        <v>48.642359835412826</v>
      </c>
      <c r="CW54" s="20">
        <f t="shared" si="13"/>
        <v>424.33314645084437</v>
      </c>
      <c r="CX54" s="59">
        <f t="shared" si="14"/>
        <v>717.66647978417768</v>
      </c>
      <c r="CY54" s="59">
        <f ca="1">AVERAGE(OFFSET($CX$3,0,0,'Données projet'!$E$13+1,1))-AVERAGE(OFFSET($H$3,0,0,'Données projet'!$E$13+1,1))</f>
        <v>747.18304127457918</v>
      </c>
      <c r="CZ54" s="59">
        <f t="shared" si="42"/>
        <v>327.03701004966723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29.027509735068978</v>
      </c>
      <c r="DH54" s="21">
        <f>EXP(-LN(2)/2)*DH53+(1-EXP(-LN(2)/2))/(LN(2)/2)*DB54*DE54*VLOOKUP('Données projet'!$B$13,Paramètres!$A$1:$I$89,3,0)*0.475*44/12</f>
        <v>5.7914018302029691</v>
      </c>
      <c r="DI54" s="22">
        <f t="shared" si="15"/>
        <v>34.818911565271947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7.4</v>
      </c>
      <c r="DO54" s="12">
        <f>IF('Données projet'!$A$166&gt;35,DO53+DN54-DW53,IF(A54&lt;'Données projet'!$A$166,$DL$205^A54,IF(A54='Données projet'!$A$166,'Données projet'!$B$166,DO53+DN54-DW53)))</f>
        <v>249.40000000000003</v>
      </c>
      <c r="DP54" s="17">
        <f>DO54*VLOOKUP('Données projet'!$B$14,Paramètres!$A$1:$I$89,3,0)*VLOOKUP('Données projet'!$B$14,Paramètres!$A$1:$I$89,5,0)</f>
        <v>198.42264000000003</v>
      </c>
      <c r="DQ54" s="13">
        <f t="shared" si="43"/>
        <v>49.397352151183256</v>
      </c>
      <c r="DR54" s="20">
        <f t="shared" si="16"/>
        <v>431.61981966331086</v>
      </c>
      <c r="DS54" s="59">
        <f t="shared" si="17"/>
        <v>724.95315299664412</v>
      </c>
      <c r="DT54" s="59">
        <f ca="1">AVERAGE(OFFSET($DS$3,0,0,'Données projet'!$E$14+1,1))-AVERAGE(OFFSET($H$3,0,0,'Données projet'!$E$14+1,1))</f>
        <v>353.37479213497227</v>
      </c>
      <c r="DU54" s="59">
        <f t="shared" si="44"/>
        <v>345.4750813433123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13.596601154031401</v>
      </c>
      <c r="EB54" s="21">
        <f>EXP(-LN(2)/25)*EB53+(1-EXP(-LN(2)/25))/(LN(2)/25)*Calculateur!DW54*Calculateur!DY54*VLOOKUP('Données projet'!$B$14,Paramètres!$A$1:$I$89,3,0)*0.475*44/12</f>
        <v>17.440286806535322</v>
      </c>
      <c r="EC54" s="21">
        <f>EXP(-LN(2)/2)*EC53+(1-EXP(-LN(2)/2))/(LN(2)/2)*DW54*DZ54*VLOOKUP('Données projet'!$B$14,Paramètres!$A$1:$I$89,3,0)*0.475*44/12</f>
        <v>3.2606223039725277</v>
      </c>
      <c r="ED54" s="22">
        <f t="shared" si="18"/>
        <v>34.297510264539248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19.421666666666663</v>
      </c>
      <c r="EJ54" s="12">
        <f>IF('Données projet'!$A$192&gt;35,EJ53+EI54-ER53,IF(A54&lt;'Données projet'!$A$192,$EG$205^A54,IF(A54='Données projet'!$A$192,'Données projet'!$B$192,EJ53+EI54-ER53)))</f>
        <v>287.04166666666623</v>
      </c>
      <c r="EK54" s="17">
        <f>EJ54*VLOOKUP('Données projet'!$B$15,Paramètres!$A$1:$I$89,3,0)*VLOOKUP('Données projet'!$B$15,Paramètres!$A$1:$I$89,5,0)</f>
        <v>134.3354999999998</v>
      </c>
      <c r="EL54" s="13">
        <f t="shared" si="45"/>
        <v>34.996245327120924</v>
      </c>
      <c r="EM54" s="20">
        <f t="shared" si="19"/>
        <v>294.91945644473526</v>
      </c>
      <c r="EN54" s="59">
        <f t="shared" si="20"/>
        <v>588.25278977806852</v>
      </c>
      <c r="EO54" s="59">
        <f ca="1">AVERAGE(OFFSET($EN$3,0,0,'Données projet'!$E$15+1,1))-AVERAGE(OFFSET($H$3,0,0,'Données projet'!$E$15+1,1))</f>
        <v>433.05041777893922</v>
      </c>
      <c r="EP54" s="59">
        <f t="shared" si="46"/>
        <v>591.24088611958996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112.61569464520707</v>
      </c>
      <c r="EW54" s="21">
        <f>EXP(-LN(2)/25)*EW53+(1-EXP(-LN(2)/25))/(LN(2)/25)*Calculateur!ER54*Calculateur!ET54*VLOOKUP('Données projet'!$B$15,Paramètres!$A$1:$I$89,3,0)*0.475*44/12</f>
        <v>57.810605380104775</v>
      </c>
      <c r="EX54" s="21">
        <f>EXP(-LN(2)/2)*EX53+(1-EXP(-LN(2)/2))/(LN(2)/2)*ER54*EU54*VLOOKUP('Données projet'!$B$15,Paramètres!$A$1:$I$89,3,0)*0.475*44/12</f>
        <v>17.431509237162444</v>
      </c>
      <c r="EY54" s="22">
        <f t="shared" si="21"/>
        <v>187.85780926247429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2.8205128205128234</v>
      </c>
      <c r="FE54" s="12">
        <f>IF('Données projet'!$A$218&gt;35,FE53+FD54-FM53,IF(A54&lt;'Données projet'!$A$218,$FB$205^A54,IF(A54='Données projet'!$A$218,'Données projet'!$B$218,FE53+FD54-FM53)))</f>
        <v>84.871794871794862</v>
      </c>
      <c r="FF54" s="17">
        <f>FE54*VLOOKUP('Données projet'!$B$16,Paramètres!$A$1:$I$89,3,0)*VLOOKUP('Données projet'!$B$16,Paramètres!$A$1:$I$89,5,0)</f>
        <v>68.847999999999999</v>
      </c>
      <c r="FG54" s="13">
        <f t="shared" si="47"/>
        <v>19.387099665751713</v>
      </c>
      <c r="FH54" s="20">
        <f t="shared" si="22"/>
        <v>153.67613191785088</v>
      </c>
      <c r="FI54" s="59">
        <f t="shared" si="23"/>
        <v>447.00946525118422</v>
      </c>
      <c r="FJ54" s="59">
        <f ca="1">AVERAGE(OFFSET($FI$3,0,0,'Données projet'!$E$16+1,1))-AVERAGE(OFFSET($H$3,0,0,'Données projet'!$E$16+1,1))</f>
        <v>159.4660488566085</v>
      </c>
      <c r="FK54" s="59">
        <f t="shared" si="48"/>
        <v>135.33030558297088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2.8640765787088549</v>
      </c>
      <c r="FS54" s="21">
        <f>EXP(-LN(2)/2)*FS53+(1-EXP(-LN(2)/2))/(LN(2)/2)*FM54*FP54*VLOOKUP('Données projet'!$B$16,Paramètres!$A$1:$I$89,3,0)*0.475*44/12</f>
        <v>1.1555158627246631</v>
      </c>
      <c r="FT54" s="22">
        <f t="shared" si="24"/>
        <v>4.0195924414335185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10.36375</v>
      </c>
      <c r="N55" s="13">
        <f>IF('Données projet'!$A$36&gt;35,N54+M55-V54,IF(A55&lt;'Données projet'!$A$36,$K$205^A55,IF(A55='Données projet'!$A$36,'Données projet'!$B$36,N54+M55-V54)))</f>
        <v>191.51750000000021</v>
      </c>
      <c r="O55" s="13">
        <f>N55*VLOOKUP('Données projet'!$B$9,Paramètres!$A$1:$I$89,3,0)*VLOOKUP('Données projet'!$B$9,Paramètres!$A$1:$I$89,5,0)</f>
        <v>194.19874500000023</v>
      </c>
      <c r="P55" s="13">
        <f t="shared" si="33"/>
        <v>48.467051557519213</v>
      </c>
      <c r="Q55" s="20">
        <f t="shared" si="53"/>
        <v>422.64292900434634</v>
      </c>
      <c r="R55" s="59">
        <f t="shared" si="0"/>
        <v>715.9762623376796</v>
      </c>
      <c r="S55" s="59">
        <f ca="1">AVERAGE(OFFSET($R$3,0,0,'Données projet'!$E$9+1,1))-AVERAGE(OFFSET($H$3,0,0,'Données projet'!$E$9+1,1))</f>
        <v>706.69239849991595</v>
      </c>
      <c r="T55" s="59">
        <f t="shared" si="34"/>
        <v>310.59887275116529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26.59701176908338</v>
      </c>
      <c r="AB55" s="21">
        <f>EXP(-LN(2)/2)*AB54+(1-EXP(-LN(2)/2))/(LN(2)/2)*V55*Y55*VLOOKUP('Données projet'!$B$9,Paramètres!$A$1:$I$89,3,0)*0.475*44/12</f>
        <v>3.8577401150192121</v>
      </c>
      <c r="AC55" s="22">
        <f t="shared" si="3"/>
        <v>30.454751884102592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3.3333333333333344</v>
      </c>
      <c r="AI55" s="13">
        <f>IF('Données projet'!$A$62&gt;35,AI54+AH55-AQ54,IF(A55&lt;'Données projet'!$A$62,$AF$205^A55,IF(A55='Données projet'!$A$62,'Données projet'!$B$62,AI54+AH55-AQ54)))</f>
        <v>106.02564102564098</v>
      </c>
      <c r="AJ55" s="13">
        <f>AI55*VLOOKUP('Données projet'!$B$10,Paramètres!$A$1:$I$89,3,0)*VLOOKUP('Données projet'!$B$10,Paramètres!$A$1:$I$89,5,0)</f>
        <v>110.81799999999996</v>
      </c>
      <c r="AK55" s="13">
        <f t="shared" si="35"/>
        <v>29.523628571023192</v>
      </c>
      <c r="AL55" s="20">
        <f t="shared" si="4"/>
        <v>244.42833642786528</v>
      </c>
      <c r="AM55" s="59">
        <f t="shared" si="5"/>
        <v>537.76166976119862</v>
      </c>
      <c r="AN55" s="59">
        <f ca="1">AVERAGE(OFFSET($AM$3,0,0,'Données projet'!$E$10+1,1))-AVERAGE(OFFSET($H$3,0,0,'Données projet'!$E$10+1,1))</f>
        <v>239.26156489359892</v>
      </c>
      <c r="AO55" s="59">
        <f t="shared" si="36"/>
        <v>213.97034450798111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14.481180088950575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14.481180088950575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</v>
      </c>
      <c r="BD55" s="12">
        <f>IF('Données projet'!$A$88&gt;35,BD54+BC55-BL54,IF(A55&lt;'Données projet'!$A$88,$BA$205^A55,IF(A55='Données projet'!$A$88,'Données projet'!$B$88,BD54+BC55-BL54)))</f>
        <v>213.99999999999989</v>
      </c>
      <c r="BE55" s="13">
        <f>BD55*VLOOKUP('Données projet'!$B$11,Paramètres!$A$1:$I$89,3,0)*VLOOKUP('Données projet'!$B$11,Paramètres!$A$1:$I$89,5,0)</f>
        <v>186.95039999999992</v>
      </c>
      <c r="BF55" s="13">
        <f t="shared" si="37"/>
        <v>46.86509597661761</v>
      </c>
      <c r="BG55" s="20">
        <f t="shared" si="7"/>
        <v>407.22865549260882</v>
      </c>
      <c r="BH55" s="59">
        <f t="shared" si="8"/>
        <v>700.56198882594208</v>
      </c>
      <c r="BI55" s="59">
        <f ca="1">AVERAGE(OFFSET($BH$3,0,0,'Données projet'!$E$11+1,1))-AVERAGE(OFFSET($H$3,0,0,'Données projet'!$E$11+1,1))</f>
        <v>324.86930206492627</v>
      </c>
      <c r="BJ55" s="59">
        <f t="shared" si="38"/>
        <v>317.03005098025352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9.9252920406130301</v>
      </c>
      <c r="BQ55" s="21">
        <f>EXP(-LN(2)/25)*BQ54+(1-EXP(-LN(2)/25))/(LN(2)/25)*Calculateur!BL55*Calculateur!BN55*VLOOKUP('Données projet'!$B$11,Paramètres!$A$1:$I$89,3,0)*0.475*44/12</f>
        <v>14.92780179114007</v>
      </c>
      <c r="BR55" s="21">
        <f>EXP(-LN(2)/2)*BR54+(1-EXP(-LN(2)/2))/(LN(2)/2)*BL55*BO55*VLOOKUP('Données projet'!$B$11,Paramètres!$A$1:$I$89,3,0)*0.475*44/12</f>
        <v>2.2617710850906487</v>
      </c>
      <c r="BS55" s="22">
        <f t="shared" si="9"/>
        <v>27.11486491684375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3.3603333333333336</v>
      </c>
      <c r="BY55" s="12">
        <f>IF('Données projet'!$A$114&gt;35,BY54+BX55-CG54,IF(A55&lt;'Données projet'!$A$114,$BV$205^A55,IF(A55='Données projet'!$A$114,'Données projet'!$B$114,BY54+BX55-CG54)))</f>
        <v>174.73733333333325</v>
      </c>
      <c r="BZ55" s="13">
        <f>BY55*VLOOKUP('Données projet'!$B$12,Paramètres!$A$1:$I$89,3,0)*VLOOKUP('Données projet'!$B$12,Paramètres!$A$1:$I$89,5,0)</f>
        <v>198.99087519999992</v>
      </c>
      <c r="CA55" s="13">
        <f t="shared" si="39"/>
        <v>49.522327389469048</v>
      </c>
      <c r="CB55" s="20">
        <f t="shared" si="10"/>
        <v>432.82716117665836</v>
      </c>
      <c r="CC55" s="59">
        <f t="shared" si="11"/>
        <v>726.16049450999162</v>
      </c>
      <c r="CD55" s="59">
        <f ca="1">AVERAGE(OFFSET($CC$3,0,0,'Données projet'!$E$12+1,1))-AVERAGE(OFFSET($H$3,0,0,'Données projet'!$E$12+1,1))</f>
        <v>593.28343396240075</v>
      </c>
      <c r="CE55" s="59">
        <f t="shared" si="40"/>
        <v>289.66477662068695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10.36375</v>
      </c>
      <c r="CT55" s="12">
        <f>IF('Données projet'!$A$140&gt;35,CT54+CS55-DB54,IF(A55&lt;'Données projet'!$A$140,$CQ$205^A55,IF(A55='Données projet'!$A$140,'Données projet'!$B$140,CT54+CS55-DB54)))</f>
        <v>191.51750000000021</v>
      </c>
      <c r="CU55" s="17">
        <f>CT55*VLOOKUP('Données projet'!$B$13,Paramètres!$A$1:$I$89,3,0)*VLOOKUP('Données projet'!$B$13,Paramètres!$A$1:$I$89,5,0)</f>
        <v>206.14943700000023</v>
      </c>
      <c r="CV55" s="13">
        <f t="shared" si="41"/>
        <v>51.09323666379229</v>
      </c>
      <c r="CW55" s="20">
        <f t="shared" si="13"/>
        <v>448.03098996443867</v>
      </c>
      <c r="CX55" s="59">
        <f t="shared" si="14"/>
        <v>741.36432329777199</v>
      </c>
      <c r="CY55" s="59">
        <f ca="1">AVERAGE(OFFSET($CX$3,0,0,'Données projet'!$E$13+1,1))-AVERAGE(OFFSET($H$3,0,0,'Données projet'!$E$13+1,1))</f>
        <v>747.18304127457918</v>
      </c>
      <c r="CZ55" s="59">
        <f t="shared" si="42"/>
        <v>327.03701004966723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28.233750954873123</v>
      </c>
      <c r="DH55" s="21">
        <f>EXP(-LN(2)/2)*DH54+(1-EXP(-LN(2)/2))/(LN(2)/2)*DB55*DE55*VLOOKUP('Données projet'!$B$13,Paramètres!$A$1:$I$89,3,0)*0.475*44/12</f>
        <v>4.0951395067127017</v>
      </c>
      <c r="DI55" s="22">
        <f t="shared" si="15"/>
        <v>32.328890461585829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7.4</v>
      </c>
      <c r="DO55" s="12">
        <f>IF('Données projet'!$A$166&gt;35,DO54+DN55-DW54,IF(A55&lt;'Données projet'!$A$166,$DL$205^A55,IF(A55='Données projet'!$A$166,'Données projet'!$B$166,DO54+DN55-DW54)))</f>
        <v>256.8</v>
      </c>
      <c r="DP55" s="17">
        <f>DO55*VLOOKUP('Données projet'!$B$14,Paramètres!$A$1:$I$89,3,0)*VLOOKUP('Données projet'!$B$14,Paramètres!$A$1:$I$89,5,0)</f>
        <v>204.31008000000003</v>
      </c>
      <c r="DQ55" s="13">
        <f t="shared" si="43"/>
        <v>50.690214235398379</v>
      </c>
      <c r="DR55" s="20">
        <f t="shared" si="16"/>
        <v>444.12551245998549</v>
      </c>
      <c r="DS55" s="59">
        <f t="shared" si="17"/>
        <v>737.4588457933188</v>
      </c>
      <c r="DT55" s="59">
        <f ca="1">AVERAGE(OFFSET($DS$3,0,0,'Données projet'!$E$14+1,1))-AVERAGE(OFFSET($H$3,0,0,'Données projet'!$E$14+1,1))</f>
        <v>353.37479213497227</v>
      </c>
      <c r="DU55" s="59">
        <f t="shared" si="44"/>
        <v>345.4750813433123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13.329980098508672</v>
      </c>
      <c r="EB55" s="21">
        <f>EXP(-LN(2)/25)*EB54+(1-EXP(-LN(2)/25))/(LN(2)/25)*Calculateur!DW55*Calculateur!DY55*VLOOKUP('Données projet'!$B$14,Paramètres!$A$1:$I$89,3,0)*0.475*44/12</f>
        <v>16.96338124666579</v>
      </c>
      <c r="EC55" s="21">
        <f>EXP(-LN(2)/2)*EC54+(1-EXP(-LN(2)/2))/(LN(2)/2)*DW55*DZ55*VLOOKUP('Données projet'!$B$14,Paramètres!$A$1:$I$89,3,0)*0.475*44/12</f>
        <v>2.3056081420270789</v>
      </c>
      <c r="ED55" s="22">
        <f t="shared" si="18"/>
        <v>32.598969487201536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19.421666666666663</v>
      </c>
      <c r="EJ55" s="12">
        <f>IF('Données projet'!$A$192&gt;35,EJ54+EI55-ER54,IF(A55&lt;'Données projet'!$A$192,$EG$205^A55,IF(A55='Données projet'!$A$192,'Données projet'!$B$192,EJ54+EI55-ER54)))</f>
        <v>306.46333333333291</v>
      </c>
      <c r="EK55" s="17">
        <f>EJ55*VLOOKUP('Données projet'!$B$15,Paramètres!$A$1:$I$89,3,0)*VLOOKUP('Données projet'!$B$15,Paramètres!$A$1:$I$89,5,0)</f>
        <v>143.42483999999982</v>
      </c>
      <c r="EL55" s="13">
        <f t="shared" si="45"/>
        <v>37.080481231780666</v>
      </c>
      <c r="EM55" s="20">
        <f t="shared" si="19"/>
        <v>314.38010114535103</v>
      </c>
      <c r="EN55" s="59">
        <f t="shared" si="20"/>
        <v>607.71343447868435</v>
      </c>
      <c r="EO55" s="59">
        <f ca="1">AVERAGE(OFFSET($EN$3,0,0,'Données projet'!$E$15+1,1))-AVERAGE(OFFSET($H$3,0,0,'Données projet'!$E$15+1,1))</f>
        <v>433.05041777893922</v>
      </c>
      <c r="EP55" s="59">
        <f t="shared" si="46"/>
        <v>591.24088611958996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110.40736956200584</v>
      </c>
      <c r="EW55" s="21">
        <f>EXP(-LN(2)/25)*EW54+(1-EXP(-LN(2)/25))/(LN(2)/25)*Calculateur!ER55*Calculateur!ET55*VLOOKUP('Données projet'!$B$15,Paramètres!$A$1:$I$89,3,0)*0.475*44/12</f>
        <v>56.229771335858203</v>
      </c>
      <c r="EX55" s="21">
        <f>EXP(-LN(2)/2)*EX54+(1-EXP(-LN(2)/2))/(LN(2)/2)*ER55*EU55*VLOOKUP('Données projet'!$B$15,Paramètres!$A$1:$I$89,3,0)*0.475*44/12</f>
        <v>12.325938387913508</v>
      </c>
      <c r="EY55" s="22">
        <f t="shared" si="21"/>
        <v>178.96307928577755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2.8205128205128234</v>
      </c>
      <c r="FE55" s="12">
        <f>IF('Données projet'!$A$218&gt;35,FE54+FD55-FM54,IF(A55&lt;'Données projet'!$A$218,$FB$205^A55,IF(A55='Données projet'!$A$218,'Données projet'!$B$218,FE54+FD55-FM54)))</f>
        <v>87.692307692307679</v>
      </c>
      <c r="FF55" s="17">
        <f>FE55*VLOOKUP('Données projet'!$B$16,Paramètres!$A$1:$I$89,3,0)*VLOOKUP('Données projet'!$B$16,Paramètres!$A$1:$I$89,5,0)</f>
        <v>71.135999999999996</v>
      </c>
      <c r="FG55" s="13">
        <f t="shared" si="47"/>
        <v>19.955301551927469</v>
      </c>
      <c r="FH55" s="20">
        <f t="shared" si="22"/>
        <v>158.65068353627368</v>
      </c>
      <c r="FI55" s="59">
        <f t="shared" si="23"/>
        <v>451.98401686960699</v>
      </c>
      <c r="FJ55" s="59">
        <f ca="1">AVERAGE(OFFSET($FI$3,0,0,'Données projet'!$E$16+1,1))-AVERAGE(OFFSET($H$3,0,0,'Données projet'!$E$16+1,1))</f>
        <v>159.4660488566085</v>
      </c>
      <c r="FK55" s="59">
        <f t="shared" si="48"/>
        <v>135.33030558297088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2.7857582540488197</v>
      </c>
      <c r="FS55" s="21">
        <f>EXP(-LN(2)/2)*FS54+(1-EXP(-LN(2)/2))/(LN(2)/2)*FM55*FP55*VLOOKUP('Données projet'!$B$16,Paramètres!$A$1:$I$89,3,0)*0.475*44/12</f>
        <v>0.81707310230123309</v>
      </c>
      <c r="FT55" s="22">
        <f t="shared" si="24"/>
        <v>3.6028313563500527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10.36375</v>
      </c>
      <c r="N56" s="13">
        <f>IF('Données projet'!$A$36&gt;35,N55+M56-V55,IF(A56&lt;'Données projet'!$A$36,$K$205^A56,IF(A56='Données projet'!$A$36,'Données projet'!$B$36,N55+M56-V55)))</f>
        <v>201.88125000000022</v>
      </c>
      <c r="O56" s="13">
        <f>N56*VLOOKUP('Données projet'!$B$9,Paramètres!$A$1:$I$89,3,0)*VLOOKUP('Données projet'!$B$9,Paramètres!$A$1:$I$89,5,0)</f>
        <v>204.70758750000024</v>
      </c>
      <c r="P56" s="13">
        <f t="shared" si="33"/>
        <v>50.777347948807439</v>
      </c>
      <c r="Q56" s="20">
        <f t="shared" si="53"/>
        <v>444.96959590667331</v>
      </c>
      <c r="R56" s="59">
        <f t="shared" si="0"/>
        <v>738.30292924000662</v>
      </c>
      <c r="S56" s="59">
        <f ca="1">AVERAGE(OFFSET($R$3,0,0,'Données projet'!$E$9+1,1))-AVERAGE(OFFSET($H$3,0,0,'Données projet'!$E$9+1,1))</f>
        <v>706.69239849991595</v>
      </c>
      <c r="T56" s="59">
        <f t="shared" si="34"/>
        <v>310.59887275116529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25.869715083581735</v>
      </c>
      <c r="AB56" s="21">
        <f>EXP(-LN(2)/2)*AB55+(1-EXP(-LN(2)/2))/(LN(2)/2)*V56*Y56*VLOOKUP('Données projet'!$B$9,Paramètres!$A$1:$I$89,3,0)*0.475*44/12</f>
        <v>2.7278341953854568</v>
      </c>
      <c r="AC56" s="22">
        <f t="shared" si="3"/>
        <v>28.597549278967193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3.3333333333333344</v>
      </c>
      <c r="AI56" s="13">
        <f>IF('Données projet'!$A$62&gt;35,AI55+AH56-AQ55,IF(A56&lt;'Données projet'!$A$62,$AF$205^A56,IF(A56='Données projet'!$A$62,'Données projet'!$B$62,AI55+AH56-AQ55)))</f>
        <v>109.35897435897431</v>
      </c>
      <c r="AJ56" s="13">
        <f>AI56*VLOOKUP('Données projet'!$B$10,Paramètres!$A$1:$I$89,3,0)*VLOOKUP('Données projet'!$B$10,Paramètres!$A$1:$I$89,5,0)</f>
        <v>114.30199999999996</v>
      </c>
      <c r="AK56" s="13">
        <f t="shared" si="35"/>
        <v>30.342295155235718</v>
      </c>
      <c r="AL56" s="20">
        <f t="shared" si="4"/>
        <v>251.9221473953688</v>
      </c>
      <c r="AM56" s="59">
        <f t="shared" si="5"/>
        <v>545.25548072870208</v>
      </c>
      <c r="AN56" s="59">
        <f ca="1">AVERAGE(OFFSET($AM$3,0,0,'Données projet'!$E$10+1,1))-AVERAGE(OFFSET($H$3,0,0,'Données projet'!$E$10+1,1))</f>
        <v>239.26156489359892</v>
      </c>
      <c r="AO56" s="59">
        <f t="shared" si="36"/>
        <v>213.97034450798111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14.085191457886058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14.085191457886058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</v>
      </c>
      <c r="BD56" s="12">
        <f>IF('Données projet'!$A$88&gt;35,BD55+BC56-BL55,IF(A56&lt;'Données projet'!$A$88,$BA$205^A56,IF(A56='Données projet'!$A$88,'Données projet'!$B$88,BD55+BC56-BL55)))</f>
        <v>219.99999999999989</v>
      </c>
      <c r="BE56" s="13">
        <f>BD56*VLOOKUP('Données projet'!$B$11,Paramètres!$A$1:$I$89,3,0)*VLOOKUP('Données projet'!$B$11,Paramètres!$A$1:$I$89,5,0)</f>
        <v>192.19199999999992</v>
      </c>
      <c r="BF56" s="13">
        <f t="shared" si="37"/>
        <v>48.02424892193244</v>
      </c>
      <c r="BG56" s="20">
        <f t="shared" si="7"/>
        <v>418.37663353903218</v>
      </c>
      <c r="BH56" s="59">
        <f t="shared" si="8"/>
        <v>711.7099668723655</v>
      </c>
      <c r="BI56" s="59">
        <f ca="1">AVERAGE(OFFSET($BH$3,0,0,'Données projet'!$E$11+1,1))-AVERAGE(OFFSET($H$3,0,0,'Données projet'!$E$11+1,1))</f>
        <v>324.86930206492627</v>
      </c>
      <c r="BJ56" s="59">
        <f t="shared" si="38"/>
        <v>317.03005098025352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9.7306631175269871</v>
      </c>
      <c r="BQ56" s="21">
        <f>EXP(-LN(2)/25)*BQ55+(1-EXP(-LN(2)/25))/(LN(2)/25)*Calculateur!BL56*Calculateur!BN56*VLOOKUP('Données projet'!$B$11,Paramètres!$A$1:$I$89,3,0)*0.475*44/12</f>
        <v>14.519600266142366</v>
      </c>
      <c r="BR56" s="21">
        <f>EXP(-LN(2)/2)*BR55+(1-EXP(-LN(2)/2))/(LN(2)/2)*BL56*BO56*VLOOKUP('Données projet'!$B$11,Paramètres!$A$1:$I$89,3,0)*0.475*44/12</f>
        <v>1.5993136717592535</v>
      </c>
      <c r="BS56" s="22">
        <f t="shared" si="9"/>
        <v>25.849577055428608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3.3603333333333336</v>
      </c>
      <c r="BY56" s="12">
        <f>IF('Données projet'!$A$114&gt;35,BY55+BX56-CG55,IF(A56&lt;'Données projet'!$A$114,$BV$205^A56,IF(A56='Données projet'!$A$114,'Données projet'!$B$114,BY55+BX56-CG55)))</f>
        <v>178.09766666666658</v>
      </c>
      <c r="BZ56" s="13">
        <f>BY56*VLOOKUP('Données projet'!$B$12,Paramètres!$A$1:$I$89,3,0)*VLOOKUP('Données projet'!$B$12,Paramètres!$A$1:$I$89,5,0)</f>
        <v>202.8176227999999</v>
      </c>
      <c r="CA56" s="13">
        <f t="shared" si="39"/>
        <v>50.362890855317765</v>
      </c>
      <c r="CB56" s="20">
        <f t="shared" si="10"/>
        <v>440.95606128301159</v>
      </c>
      <c r="CC56" s="59">
        <f t="shared" si="11"/>
        <v>734.28939461634491</v>
      </c>
      <c r="CD56" s="59">
        <f ca="1">AVERAGE(OFFSET($CC$3,0,0,'Données projet'!$E$12+1,1))-AVERAGE(OFFSET($H$3,0,0,'Données projet'!$E$12+1,1))</f>
        <v>593.28343396240075</v>
      </c>
      <c r="CE56" s="59">
        <f t="shared" si="40"/>
        <v>289.66477662068695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10.36375</v>
      </c>
      <c r="CT56" s="12">
        <f>IF('Données projet'!$A$140&gt;35,CT55+CS56-DB55,IF(A56&lt;'Données projet'!$A$140,$CQ$205^A56,IF(A56='Données projet'!$A$140,'Données projet'!$B$140,CT55+CS56-DB55)))</f>
        <v>201.88125000000022</v>
      </c>
      <c r="CU56" s="17">
        <f>CT56*VLOOKUP('Données projet'!$B$13,Paramètres!$A$1:$I$89,3,0)*VLOOKUP('Données projet'!$B$13,Paramètres!$A$1:$I$89,5,0)</f>
        <v>217.30497750000021</v>
      </c>
      <c r="CV56" s="13">
        <f t="shared" si="41"/>
        <v>53.528716365781243</v>
      </c>
      <c r="CW56" s="20">
        <f t="shared" si="13"/>
        <v>471.70201681623604</v>
      </c>
      <c r="CX56" s="59">
        <f t="shared" si="14"/>
        <v>765.03535014956935</v>
      </c>
      <c r="CY56" s="59">
        <f ca="1">AVERAGE(OFFSET($CX$3,0,0,'Données projet'!$E$13+1,1))-AVERAGE(OFFSET($H$3,0,0,'Données projet'!$E$13+1,1))</f>
        <v>747.18304127457918</v>
      </c>
      <c r="CZ56" s="59">
        <f t="shared" si="42"/>
        <v>327.03701004966723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27.461697550263683</v>
      </c>
      <c r="DH56" s="21">
        <f>EXP(-LN(2)/2)*DH55+(1-EXP(-LN(2)/2))/(LN(2)/2)*DB56*DE56*VLOOKUP('Données projet'!$B$13,Paramètres!$A$1:$I$89,3,0)*0.475*44/12</f>
        <v>2.8957009151014845</v>
      </c>
      <c r="DI56" s="22">
        <f t="shared" si="15"/>
        <v>30.357398465365169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7.4</v>
      </c>
      <c r="DO56" s="12">
        <f>IF('Données projet'!$A$166&gt;35,DO55+DN56-DW55,IF(A56&lt;'Données projet'!$A$166,$DL$205^A56,IF(A56='Données projet'!$A$166,'Données projet'!$B$166,DO55+DN56-DW55)))</f>
        <v>264.2</v>
      </c>
      <c r="DP56" s="17">
        <f>DO56*VLOOKUP('Données projet'!$B$14,Paramètres!$A$1:$I$89,3,0)*VLOOKUP('Données projet'!$B$14,Paramètres!$A$1:$I$89,5,0)</f>
        <v>210.19752</v>
      </c>
      <c r="DQ56" s="13">
        <f t="shared" si="43"/>
        <v>51.978746425856599</v>
      </c>
      <c r="DR56" s="20">
        <f t="shared" si="16"/>
        <v>456.62366402503358</v>
      </c>
      <c r="DS56" s="59">
        <f t="shared" si="17"/>
        <v>749.95699735836683</v>
      </c>
      <c r="DT56" s="59">
        <f ca="1">AVERAGE(OFFSET($DS$3,0,0,'Données projet'!$E$14+1,1))-AVERAGE(OFFSET($H$3,0,0,'Données projet'!$E$14+1,1))</f>
        <v>353.37479213497227</v>
      </c>
      <c r="DU56" s="59">
        <f t="shared" si="44"/>
        <v>345.4750813433123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13.068587319261958</v>
      </c>
      <c r="EB56" s="21">
        <f>EXP(-LN(2)/25)*EB55+(1-EXP(-LN(2)/25))/(LN(2)/25)*Calculateur!DW56*Calculateur!DY56*VLOOKUP('Données projet'!$B$14,Paramètres!$A$1:$I$89,3,0)*0.475*44/12</f>
        <v>16.499516694410264</v>
      </c>
      <c r="EC56" s="21">
        <f>EXP(-LN(2)/2)*EC55+(1-EXP(-LN(2)/2))/(LN(2)/2)*DW56*DZ56*VLOOKUP('Données projet'!$B$14,Paramètres!$A$1:$I$89,3,0)*0.475*44/12</f>
        <v>1.6303111519862641</v>
      </c>
      <c r="ED56" s="22">
        <f t="shared" si="18"/>
        <v>31.198415165658485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19.421666666666663</v>
      </c>
      <c r="EJ56" s="12">
        <f>IF('Données projet'!$A$192&gt;35,EJ55+EI56-ER55,IF(A56&lt;'Données projet'!$A$192,$EG$205^A56,IF(A56='Données projet'!$A$192,'Données projet'!$B$192,EJ55+EI56-ER55)))</f>
        <v>325.88499999999959</v>
      </c>
      <c r="EK56" s="17">
        <f>EJ56*VLOOKUP('Données projet'!$B$15,Paramètres!$A$1:$I$89,3,0)*VLOOKUP('Données projet'!$B$15,Paramètres!$A$1:$I$89,5,0)</f>
        <v>152.51417999999981</v>
      </c>
      <c r="EL56" s="13">
        <f t="shared" si="45"/>
        <v>39.149388134361864</v>
      </c>
      <c r="EM56" s="20">
        <f t="shared" si="19"/>
        <v>333.81404783401319</v>
      </c>
      <c r="EN56" s="59">
        <f t="shared" si="20"/>
        <v>627.14738116734657</v>
      </c>
      <c r="EO56" s="59">
        <f ca="1">AVERAGE(OFFSET($EN$3,0,0,'Données projet'!$E$15+1,1))-AVERAGE(OFFSET($H$3,0,0,'Données projet'!$E$15+1,1))</f>
        <v>433.05041777893922</v>
      </c>
      <c r="EP56" s="59">
        <f t="shared" si="46"/>
        <v>591.24088611958996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108.24234838674089</v>
      </c>
      <c r="EW56" s="21">
        <f>EXP(-LN(2)/25)*EW55+(1-EXP(-LN(2)/25))/(LN(2)/25)*Calculateur!ER56*Calculateur!ET56*VLOOKUP('Données projet'!$B$15,Paramètres!$A$1:$I$89,3,0)*0.475*44/12</f>
        <v>54.692165281683998</v>
      </c>
      <c r="EX56" s="21">
        <f>EXP(-LN(2)/2)*EX55+(1-EXP(-LN(2)/2))/(LN(2)/2)*ER56*EU56*VLOOKUP('Données projet'!$B$15,Paramètres!$A$1:$I$89,3,0)*0.475*44/12</f>
        <v>8.715754618581224</v>
      </c>
      <c r="EY56" s="22">
        <f t="shared" si="21"/>
        <v>171.6502682870061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2.8205128205128234</v>
      </c>
      <c r="FE56" s="12">
        <f>IF('Données projet'!$A$218&gt;35,FE55+FD56-FM55,IF(A56&lt;'Données projet'!$A$218,$FB$205^A56,IF(A56='Données projet'!$A$218,'Données projet'!$B$218,FE55+FD56-FM55)))</f>
        <v>90.512820512820497</v>
      </c>
      <c r="FF56" s="17">
        <f>FE56*VLOOKUP('Données projet'!$B$16,Paramètres!$A$1:$I$89,3,0)*VLOOKUP('Données projet'!$B$16,Paramètres!$A$1:$I$89,5,0)</f>
        <v>73.423999999999992</v>
      </c>
      <c r="FG56" s="13">
        <f t="shared" si="47"/>
        <v>20.521379760278482</v>
      </c>
      <c r="FH56" s="20">
        <f t="shared" si="22"/>
        <v>163.62153641581833</v>
      </c>
      <c r="FI56" s="59">
        <f t="shared" si="23"/>
        <v>456.95486974915161</v>
      </c>
      <c r="FJ56" s="59">
        <f ca="1">AVERAGE(OFFSET($FI$3,0,0,'Données projet'!$E$16+1,1))-AVERAGE(OFFSET($H$3,0,0,'Données projet'!$E$16+1,1))</f>
        <v>159.4660488566085</v>
      </c>
      <c r="FK56" s="59">
        <f t="shared" si="48"/>
        <v>135.33030558297088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2.709581548095195</v>
      </c>
      <c r="FS56" s="21">
        <f>EXP(-LN(2)/2)*FS55+(1-EXP(-LN(2)/2))/(LN(2)/2)*FM56*FP56*VLOOKUP('Données projet'!$B$16,Paramètres!$A$1:$I$89,3,0)*0.475*44/12</f>
        <v>0.57775793136233167</v>
      </c>
      <c r="FT56" s="22">
        <f t="shared" si="24"/>
        <v>3.2873394794575268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10.36375</v>
      </c>
      <c r="N57" s="13">
        <f>IF('Données projet'!$A$36&gt;35,N56+M57-V56,IF(A57&lt;'Données projet'!$A$36,$K$205^A57,IF(A57='Données projet'!$A$36,'Données projet'!$B$36,N56+M57-V56)))</f>
        <v>212.24500000000023</v>
      </c>
      <c r="O57" s="13">
        <f>N57*VLOOKUP('Données projet'!$B$9,Paramètres!$A$1:$I$89,3,0)*VLOOKUP('Données projet'!$B$9,Paramètres!$A$1:$I$89,5,0)</f>
        <v>215.21643000000026</v>
      </c>
      <c r="P57" s="13">
        <f t="shared" si="33"/>
        <v>53.073873953396202</v>
      </c>
      <c r="Q57" s="20">
        <f t="shared" si="53"/>
        <v>467.27227938549885</v>
      </c>
      <c r="R57" s="59">
        <f t="shared" si="0"/>
        <v>760.60561271883216</v>
      </c>
      <c r="S57" s="59">
        <f ca="1">AVERAGE(OFFSET($R$3,0,0,'Données projet'!$E$9+1,1))-AVERAGE(OFFSET($H$3,0,0,'Données projet'!$E$9+1,1))</f>
        <v>706.69239849991595</v>
      </c>
      <c r="T57" s="59">
        <f t="shared" si="34"/>
        <v>310.59887275116529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25.162306364192002</v>
      </c>
      <c r="AB57" s="21">
        <f>EXP(-LN(2)/2)*AB56+(1-EXP(-LN(2)/2))/(LN(2)/2)*V57*Y57*VLOOKUP('Données projet'!$B$9,Paramètres!$A$1:$I$89,3,0)*0.475*44/12</f>
        <v>1.9288700575096063</v>
      </c>
      <c r="AC57" s="22">
        <f t="shared" si="3"/>
        <v>27.091176421701608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3.3333333333333344</v>
      </c>
      <c r="AI57" s="13">
        <f>IF('Données projet'!$A$62&gt;35,AI56+AH57-AQ56,IF(A57&lt;'Données projet'!$A$62,$AF$205^A57,IF(A57='Données projet'!$A$62,'Données projet'!$B$62,AI56+AH57-AQ56)))</f>
        <v>112.69230769230764</v>
      </c>
      <c r="AJ57" s="13">
        <f>AI57*VLOOKUP('Données projet'!$B$10,Paramètres!$A$1:$I$89,3,0)*VLOOKUP('Données projet'!$B$10,Paramètres!$A$1:$I$89,5,0)</f>
        <v>117.78599999999996</v>
      </c>
      <c r="AK57" s="13">
        <f t="shared" si="35"/>
        <v>31.158061824774272</v>
      </c>
      <c r="AL57" s="20">
        <f t="shared" si="4"/>
        <v>259.41090767814842</v>
      </c>
      <c r="AM57" s="59">
        <f t="shared" si="5"/>
        <v>552.74424101148179</v>
      </c>
      <c r="AN57" s="59">
        <f ca="1">AVERAGE(OFFSET($AM$3,0,0,'Données projet'!$E$10+1,1))-AVERAGE(OFFSET($H$3,0,0,'Données projet'!$E$10+1,1))</f>
        <v>239.26156489359892</v>
      </c>
      <c r="AO57" s="59">
        <f t="shared" si="36"/>
        <v>213.97034450798111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13.700031156762137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13.700031156762137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</v>
      </c>
      <c r="BD57" s="12">
        <f>IF('Données projet'!$A$88&gt;35,BD56+BC57-BL56,IF(A57&lt;'Données projet'!$A$88,$BA$205^A57,IF(A57='Données projet'!$A$88,'Données projet'!$B$88,BD56+BC57-BL56)))</f>
        <v>225.99999999999989</v>
      </c>
      <c r="BE57" s="13">
        <f>BD57*VLOOKUP('Données projet'!$B$11,Paramètres!$A$1:$I$89,3,0)*VLOOKUP('Données projet'!$B$11,Paramètres!$A$1:$I$89,5,0)</f>
        <v>197.43359999999993</v>
      </c>
      <c r="BF57" s="13">
        <f t="shared" si="37"/>
        <v>49.179727436837609</v>
      </c>
      <c r="BG57" s="20">
        <f t="shared" si="7"/>
        <v>429.51821195249204</v>
      </c>
      <c r="BH57" s="59">
        <f t="shared" si="8"/>
        <v>722.8515452858253</v>
      </c>
      <c r="BI57" s="59">
        <f ca="1">AVERAGE(OFFSET($BH$3,0,0,'Données projet'!$E$11+1,1))-AVERAGE(OFFSET($H$3,0,0,'Données projet'!$E$11+1,1))</f>
        <v>324.86930206492627</v>
      </c>
      <c r="BJ57" s="59">
        <f t="shared" si="38"/>
        <v>317.03005098025352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9.5398507489107409</v>
      </c>
      <c r="BQ57" s="21">
        <f>EXP(-LN(2)/25)*BQ56+(1-EXP(-LN(2)/25))/(LN(2)/25)*Calculateur!BL57*Calculateur!BN57*VLOOKUP('Données projet'!$B$11,Paramètres!$A$1:$I$89,3,0)*0.475*44/12</f>
        <v>14.12256103331211</v>
      </c>
      <c r="BR57" s="21">
        <f>EXP(-LN(2)/2)*BR56+(1-EXP(-LN(2)/2))/(LN(2)/2)*BL57*BO57*VLOOKUP('Données projet'!$B$11,Paramètres!$A$1:$I$89,3,0)*0.475*44/12</f>
        <v>1.1308855425453244</v>
      </c>
      <c r="BS57" s="22">
        <f t="shared" si="9"/>
        <v>24.793297324768176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3.3603333333333336</v>
      </c>
      <c r="BY57" s="12">
        <f>IF('Données projet'!$A$114&gt;35,BY56+BX57-CG56,IF(A57&lt;'Données projet'!$A$114,$BV$205^A57,IF(A57='Données projet'!$A$114,'Données projet'!$B$114,BY56+BX57-CG56)))</f>
        <v>181.45799999999991</v>
      </c>
      <c r="BZ57" s="13">
        <f>BY57*VLOOKUP('Données projet'!$B$12,Paramètres!$A$1:$I$89,3,0)*VLOOKUP('Données projet'!$B$12,Paramètres!$A$1:$I$89,5,0)</f>
        <v>206.6443703999999</v>
      </c>
      <c r="CA57" s="13">
        <f t="shared" si="39"/>
        <v>51.201610163516591</v>
      </c>
      <c r="CB57" s="20">
        <f t="shared" si="10"/>
        <v>449.08174948145785</v>
      </c>
      <c r="CC57" s="59">
        <f t="shared" si="11"/>
        <v>742.41508281479116</v>
      </c>
      <c r="CD57" s="59">
        <f ca="1">AVERAGE(OFFSET($CC$3,0,0,'Données projet'!$E$12+1,1))-AVERAGE(OFFSET($H$3,0,0,'Données projet'!$E$12+1,1))</f>
        <v>593.28343396240075</v>
      </c>
      <c r="CE57" s="59">
        <f t="shared" si="40"/>
        <v>289.66477662068695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10.36375</v>
      </c>
      <c r="CT57" s="12">
        <f>IF('Données projet'!$A$140&gt;35,CT56+CS57-DB56,IF(A57&lt;'Données projet'!$A$140,$CQ$205^A57,IF(A57='Données projet'!$A$140,'Données projet'!$B$140,CT56+CS57-DB56)))</f>
        <v>212.24500000000023</v>
      </c>
      <c r="CU57" s="17">
        <f>CT57*VLOOKUP('Données projet'!$B$13,Paramètres!$A$1:$I$89,3,0)*VLOOKUP('Données projet'!$B$13,Paramètres!$A$1:$I$89,5,0)</f>
        <v>228.46051800000023</v>
      </c>
      <c r="CV57" s="13">
        <f t="shared" si="41"/>
        <v>55.949679533259207</v>
      </c>
      <c r="CW57" s="20">
        <f t="shared" si="13"/>
        <v>495.34776070376029</v>
      </c>
      <c r="CX57" s="59">
        <f t="shared" si="14"/>
        <v>788.68109403709354</v>
      </c>
      <c r="CY57" s="59">
        <f ca="1">AVERAGE(OFFSET($CX$3,0,0,'Données projet'!$E$13+1,1))-AVERAGE(OFFSET($H$3,0,0,'Données projet'!$E$13+1,1))</f>
        <v>747.18304127457918</v>
      </c>
      <c r="CZ57" s="59">
        <f t="shared" si="42"/>
        <v>327.03701004966723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26.710755986603811</v>
      </c>
      <c r="DH57" s="21">
        <f>EXP(-LN(2)/2)*DH56+(1-EXP(-LN(2)/2))/(LN(2)/2)*DB57*DE57*VLOOKUP('Données projet'!$B$13,Paramètres!$A$1:$I$89,3,0)*0.475*44/12</f>
        <v>2.0475697533563508</v>
      </c>
      <c r="DI57" s="22">
        <f t="shared" si="15"/>
        <v>28.758325739960164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7.4</v>
      </c>
      <c r="DO57" s="12">
        <f>IF('Données projet'!$A$166&gt;35,DO56+DN57-DW56,IF(A57&lt;'Données projet'!$A$166,$DL$205^A57,IF(A57='Données projet'!$A$166,'Données projet'!$B$166,DO56+DN57-DW56)))</f>
        <v>271.59999999999997</v>
      </c>
      <c r="DP57" s="17">
        <f>DO57*VLOOKUP('Données projet'!$B$14,Paramètres!$A$1:$I$89,3,0)*VLOOKUP('Données projet'!$B$14,Paramètres!$A$1:$I$89,5,0)</f>
        <v>216.08496</v>
      </c>
      <c r="DQ57" s="13">
        <f t="shared" si="43"/>
        <v>53.26308393083157</v>
      </c>
      <c r="DR57" s="20">
        <f t="shared" si="16"/>
        <v>469.11450984619825</v>
      </c>
      <c r="DS57" s="59">
        <f t="shared" si="17"/>
        <v>762.44784317953156</v>
      </c>
      <c r="DT57" s="59">
        <f ca="1">AVERAGE(OFFSET($DS$3,0,0,'Données projet'!$E$14+1,1))-AVERAGE(OFFSET($H$3,0,0,'Données projet'!$E$14+1,1))</f>
        <v>353.37479213497227</v>
      </c>
      <c r="DU57" s="59">
        <f t="shared" si="44"/>
        <v>345.4750813433123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12.81232029298242</v>
      </c>
      <c r="EB57" s="21">
        <f>EXP(-LN(2)/25)*EB56+(1-EXP(-LN(2)/25))/(LN(2)/25)*Calculateur!DW57*Calculateur!DY57*VLOOKUP('Données projet'!$B$14,Paramètres!$A$1:$I$89,3,0)*0.475*44/12</f>
        <v>16.048336542729743</v>
      </c>
      <c r="EC57" s="21">
        <f>EXP(-LN(2)/2)*EC56+(1-EXP(-LN(2)/2))/(LN(2)/2)*DW57*DZ57*VLOOKUP('Données projet'!$B$14,Paramètres!$A$1:$I$89,3,0)*0.475*44/12</f>
        <v>1.1528040710135394</v>
      </c>
      <c r="ED57" s="22">
        <f t="shared" si="18"/>
        <v>30.013460906725701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19.421666666666663</v>
      </c>
      <c r="EJ57" s="12">
        <f>IF('Données projet'!$A$192&gt;35,EJ56+EI57-ER56,IF(A57&lt;'Données projet'!$A$192,$EG$205^A57,IF(A57='Données projet'!$A$192,'Données projet'!$B$192,EJ56+EI57-ER56)))</f>
        <v>345.30666666666627</v>
      </c>
      <c r="EK57" s="17">
        <f>EJ57*VLOOKUP('Données projet'!$B$15,Paramètres!$A$1:$I$89,3,0)*VLOOKUP('Données projet'!$B$15,Paramètres!$A$1:$I$89,5,0)</f>
        <v>161.60351999999983</v>
      </c>
      <c r="EL57" s="13">
        <f t="shared" si="45"/>
        <v>41.203983641359244</v>
      </c>
      <c r="EM57" s="20">
        <f t="shared" si="19"/>
        <v>353.22306884203368</v>
      </c>
      <c r="EN57" s="59">
        <f t="shared" si="20"/>
        <v>646.556402175367</v>
      </c>
      <c r="EO57" s="59">
        <f ca="1">AVERAGE(OFFSET($EN$3,0,0,'Données projet'!$E$15+1,1))-AVERAGE(OFFSET($H$3,0,0,'Données projet'!$E$15+1,1))</f>
        <v>433.05041777893922</v>
      </c>
      <c r="EP57" s="59">
        <f t="shared" si="46"/>
        <v>591.24088611958996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106.11978195619035</v>
      </c>
      <c r="EW57" s="21">
        <f>EXP(-LN(2)/25)*EW56+(1-EXP(-LN(2)/25))/(LN(2)/25)*Calculateur!ER57*Calculateur!ET57*VLOOKUP('Données projet'!$B$15,Paramètres!$A$1:$I$89,3,0)*0.475*44/12</f>
        <v>53.19660514592038</v>
      </c>
      <c r="EX57" s="21">
        <f>EXP(-LN(2)/2)*EX56+(1-EXP(-LN(2)/2))/(LN(2)/2)*ER57*EU57*VLOOKUP('Données projet'!$B$15,Paramètres!$A$1:$I$89,3,0)*0.475*44/12</f>
        <v>6.162969193956755</v>
      </c>
      <c r="EY57" s="22">
        <f t="shared" si="21"/>
        <v>165.47935629606746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2.8205128205128234</v>
      </c>
      <c r="FE57" s="12">
        <f>IF('Données projet'!$A$218&gt;35,FE56+FD57-FM56,IF(A57&lt;'Données projet'!$A$218,$FB$205^A57,IF(A57='Données projet'!$A$218,'Données projet'!$B$218,FE56+FD57-FM56)))</f>
        <v>93.333333333333314</v>
      </c>
      <c r="FF57" s="17">
        <f>FE57*VLOOKUP('Données projet'!$B$16,Paramètres!$A$1:$I$89,3,0)*VLOOKUP('Données projet'!$B$16,Paramètres!$A$1:$I$89,5,0)</f>
        <v>75.711999999999989</v>
      </c>
      <c r="FG57" s="13">
        <f t="shared" si="47"/>
        <v>21.085408061126401</v>
      </c>
      <c r="FH57" s="20">
        <f t="shared" si="22"/>
        <v>168.58881903979511</v>
      </c>
      <c r="FI57" s="59">
        <f t="shared" si="23"/>
        <v>461.92215237312843</v>
      </c>
      <c r="FJ57" s="59">
        <f ca="1">AVERAGE(OFFSET($FI$3,0,0,'Données projet'!$E$16+1,1))-AVERAGE(OFFSET($H$3,0,0,'Données projet'!$E$16+1,1))</f>
        <v>159.4660488566085</v>
      </c>
      <c r="FK57" s="59">
        <f t="shared" si="48"/>
        <v>135.33030558297088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2.635487898171831</v>
      </c>
      <c r="FS57" s="21">
        <f>EXP(-LN(2)/2)*FS56+(1-EXP(-LN(2)/2))/(LN(2)/2)*FM57*FP57*VLOOKUP('Données projet'!$B$16,Paramètres!$A$1:$I$89,3,0)*0.475*44/12</f>
        <v>0.40853655115061666</v>
      </c>
      <c r="FT57" s="22">
        <f t="shared" si="24"/>
        <v>3.0440244493224475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10.36375</v>
      </c>
      <c r="N58" s="13">
        <f>IF('Données projet'!$A$36&gt;35,N57+M58-V57,IF(A58&lt;'Données projet'!$A$36,$K$205^A58,IF(A58='Données projet'!$A$36,'Données projet'!$B$36,N57+M58-V57)))</f>
        <v>222.60875000000024</v>
      </c>
      <c r="O58" s="13">
        <f>N58*VLOOKUP('Données projet'!$B$9,Paramètres!$A$1:$I$89,3,0)*VLOOKUP('Données projet'!$B$9,Paramètres!$A$1:$I$89,5,0)</f>
        <v>225.72527250000027</v>
      </c>
      <c r="P58" s="13">
        <f t="shared" si="33"/>
        <v>55.357378715128789</v>
      </c>
      <c r="Q58" s="20">
        <f t="shared" si="53"/>
        <v>489.55228419968324</v>
      </c>
      <c r="R58" s="59">
        <f t="shared" si="0"/>
        <v>782.88561753301656</v>
      </c>
      <c r="S58" s="59">
        <f ca="1">AVERAGE(OFFSET($R$3,0,0,'Données projet'!$E$9+1,1))-AVERAGE(OFFSET($H$3,0,0,'Données projet'!$E$9+1,1))</f>
        <v>706.69239849991595</v>
      </c>
      <c r="T58" s="59">
        <f t="shared" si="34"/>
        <v>310.59887275116529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24.47424177343499</v>
      </c>
      <c r="AB58" s="21">
        <f>EXP(-LN(2)/2)*AB57+(1-EXP(-LN(2)/2))/(LN(2)/2)*V58*Y58*VLOOKUP('Données projet'!$B$9,Paramètres!$A$1:$I$89,3,0)*0.475*44/12</f>
        <v>1.3639170976927286</v>
      </c>
      <c r="AC58" s="22">
        <f t="shared" si="3"/>
        <v>25.838158871127717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116.02564102564102</v>
      </c>
      <c r="AG58" s="12">
        <f>VLOOKUP(A58,'Données projet'!$A$61:$I$81,9,0)</f>
        <v>3.3333333333333344</v>
      </c>
      <c r="AH58" s="12">
        <f t="array" ref="AH58">INDEX(AG:AG,MIN(IF(ISNUMBER(AG58:AG254),ROW(AG58:AG254),"")))</f>
        <v>3.3333333333333344</v>
      </c>
      <c r="AI58" s="13">
        <f>IF('Données projet'!$A$62&gt;35,AI57+AH58-AQ57,IF(A58&lt;'Données projet'!$A$62,$AF$205^A58,IF(A58='Données projet'!$A$62,'Données projet'!$B$62,AI57+AH58-AQ57)))</f>
        <v>116.02564102564097</v>
      </c>
      <c r="AJ58" s="13">
        <f>AI58*VLOOKUP('Données projet'!$B$10,Paramètres!$A$1:$I$89,3,0)*VLOOKUP('Données projet'!$B$10,Paramètres!$A$1:$I$89,5,0)</f>
        <v>121.26999999999994</v>
      </c>
      <c r="AK58" s="13">
        <f t="shared" si="35"/>
        <v>31.971024204432702</v>
      </c>
      <c r="AL58" s="20">
        <f t="shared" si="4"/>
        <v>266.89478382272017</v>
      </c>
      <c r="AM58" s="59">
        <f t="shared" si="5"/>
        <v>560.22811715605349</v>
      </c>
      <c r="AN58" s="59">
        <f ca="1">AVERAGE(OFFSET($AM$3,0,0,'Données projet'!$E$10+1,1))-AVERAGE(OFFSET($H$3,0,0,'Données projet'!$E$10+1,1))</f>
        <v>239.26156489359892</v>
      </c>
      <c r="AO58" s="59">
        <f t="shared" si="36"/>
        <v>213.97034450798111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10.897435897435898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0.215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16.021875216454657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16.021875216454657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232</v>
      </c>
      <c r="BB58" s="12">
        <f>VLOOKUP(A58,'Données projet'!$A$87:$I$107,9,0)</f>
        <v>6</v>
      </c>
      <c r="BC58" s="12">
        <f t="array" ref="BC58">INDEX(BB:BB,MIN(IF(ISNUMBER(BB58:BB254),ROW(BB58:BB254),"")))</f>
        <v>6</v>
      </c>
      <c r="BD58" s="12">
        <f>IF('Données projet'!$A$88&gt;35,BD57+BC58-BL57,IF(A58&lt;'Données projet'!$A$88,$BA$205^A58,IF(A58='Données projet'!$A$88,'Données projet'!$B$88,BD57+BC58-BL57)))</f>
        <v>231.99999999999989</v>
      </c>
      <c r="BE58" s="13">
        <f>BD58*VLOOKUP('Données projet'!$B$11,Paramètres!$A$1:$I$89,3,0)*VLOOKUP('Données projet'!$B$11,Paramètres!$A$1:$I$89,5,0)</f>
        <v>202.67519999999993</v>
      </c>
      <c r="BF58" s="13">
        <f t="shared" si="37"/>
        <v>50.33164028531364</v>
      </c>
      <c r="BG58" s="20">
        <f t="shared" si="7"/>
        <v>440.65358016358778</v>
      </c>
      <c r="BH58" s="59">
        <f t="shared" si="8"/>
        <v>733.98691349692103</v>
      </c>
      <c r="BI58" s="59">
        <f ca="1">AVERAGE(OFFSET($BH$3,0,0,'Données projet'!$E$11+1,1))-AVERAGE(OFFSET($H$3,0,0,'Données projet'!$E$11+1,1))</f>
        <v>324.86930206492627</v>
      </c>
      <c r="BJ58" s="59">
        <f t="shared" si="38"/>
        <v>317.03005098025352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13</v>
      </c>
      <c r="BM58" s="16">
        <f>IF(ISNA(VLOOKUP(A58,'Données projet'!$A$87:$I$107,5,0)),0%,VLOOKUP(A58,'Données projet'!$A$87:$I$107,5,0)*VLOOKUP('Données projet'!$B$11,Paramètres!$A$1:$I$89,7,0))</f>
        <v>0.13250000000000001</v>
      </c>
      <c r="BN58" s="16">
        <f>IF(ISNA(VLOOKUP(A58,'Données projet'!$A$87:$I$107,6,0)),0%,VLOOKUP(A58,'Données projet'!$A$87:$I$107,6,0)*VLOOKUP('Données projet'!$B$11,Paramètres!$A$1:$I$89,7,0))</f>
        <v>0.13250000000000001</v>
      </c>
      <c r="BO58" s="16">
        <f>IF(ISNA(VLOOKUP(A58,'Données projet'!$A$87:$I$107,7,0)),0%,VLOOKUP(A58,'Données projet'!$A$87:$I$107,7,0))</f>
        <v>0.25</v>
      </c>
      <c r="BP58" s="21">
        <f>EXP(-LN(2)/35)*BP57+(1-EXP(-LN(2)/35))/(LN(2)/35)*BL58*BM58*VLOOKUP('Données projet'!$B$11,Paramètres!$A$1:$I$89,3,0)*0.475*44/12</f>
        <v>11.01626539029108</v>
      </c>
      <c r="BQ58" s="21">
        <f>EXP(-LN(2)/25)*BQ57+(1-EXP(-LN(2)/25))/(LN(2)/25)*Calculateur!BL58*Calculateur!BN58*VLOOKUP('Données projet'!$B$11,Paramètres!$A$1:$I$89,3,0)*0.475*44/12</f>
        <v>15.393314379567776</v>
      </c>
      <c r="BR58" s="21">
        <f>EXP(-LN(2)/2)*BR57+(1-EXP(-LN(2)/2))/(LN(2)/2)*BL58*BO58*VLOOKUP('Données projet'!$B$11,Paramètres!$A$1:$I$89,3,0)*0.475*44/12</f>
        <v>3.4785184518272452</v>
      </c>
      <c r="BS58" s="22">
        <f t="shared" si="9"/>
        <v>29.888098221686104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3.3603333333333336</v>
      </c>
      <c r="BY58" s="12">
        <f>IF('Données projet'!$A$114&gt;35,BY57+BX58-CG57,IF(A58&lt;'Données projet'!$A$114,$BV$205^A58,IF(A58='Données projet'!$A$114,'Données projet'!$B$114,BY57+BX58-CG57)))</f>
        <v>184.81833333333324</v>
      </c>
      <c r="BZ58" s="13">
        <f>BY58*VLOOKUP('Données projet'!$B$12,Paramètres!$A$1:$I$89,3,0)*VLOOKUP('Données projet'!$B$12,Paramètres!$A$1:$I$89,5,0)</f>
        <v>210.4711179999999</v>
      </c>
      <c r="CA58" s="13">
        <f t="shared" si="39"/>
        <v>52.038523403646074</v>
      </c>
      <c r="CB58" s="20">
        <f t="shared" si="10"/>
        <v>457.20429211135001</v>
      </c>
      <c r="CC58" s="59">
        <f t="shared" si="11"/>
        <v>750.53762544468327</v>
      </c>
      <c r="CD58" s="59">
        <f ca="1">AVERAGE(OFFSET($CC$3,0,0,'Données projet'!$E$12+1,1))-AVERAGE(OFFSET($H$3,0,0,'Données projet'!$E$12+1,1))</f>
        <v>593.28343396240075</v>
      </c>
      <c r="CE58" s="59">
        <f t="shared" si="40"/>
        <v>289.66477662068695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10.36375</v>
      </c>
      <c r="CT58" s="12">
        <f>IF('Données projet'!$A$140&gt;35,CT57+CS58-DB57,IF(A58&lt;'Données projet'!$A$140,$CQ$205^A58,IF(A58='Données projet'!$A$140,'Données projet'!$B$140,CT57+CS58-DB57)))</f>
        <v>222.60875000000024</v>
      </c>
      <c r="CU58" s="17">
        <f>CT58*VLOOKUP('Données projet'!$B$13,Paramètres!$A$1:$I$89,3,0)*VLOOKUP('Données projet'!$B$13,Paramètres!$A$1:$I$89,5,0)</f>
        <v>239.61605850000026</v>
      </c>
      <c r="CV58" s="13">
        <f t="shared" si="41"/>
        <v>58.356915902396231</v>
      </c>
      <c r="CW58" s="20">
        <f t="shared" si="13"/>
        <v>518.96959708417387</v>
      </c>
      <c r="CX58" s="59">
        <f t="shared" si="14"/>
        <v>812.30293041750724</v>
      </c>
      <c r="CY58" s="59">
        <f ca="1">AVERAGE(OFFSET($CX$3,0,0,'Données projet'!$E$13+1,1))-AVERAGE(OFFSET($H$3,0,0,'Données projet'!$E$13+1,1))</f>
        <v>747.18304127457918</v>
      </c>
      <c r="CZ58" s="59">
        <f t="shared" si="42"/>
        <v>327.03701004966723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25.98034895949252</v>
      </c>
      <c r="DH58" s="21">
        <f>EXP(-LN(2)/2)*DH57+(1-EXP(-LN(2)/2))/(LN(2)/2)*DB58*DE58*VLOOKUP('Données projet'!$B$13,Paramètres!$A$1:$I$89,3,0)*0.475*44/12</f>
        <v>1.4478504575507423</v>
      </c>
      <c r="DI58" s="22">
        <f t="shared" si="15"/>
        <v>27.428199417043263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279</v>
      </c>
      <c r="DM58" s="12">
        <f>VLOOKUP(A58,'Données projet'!$A$165:$I$185,9,0)</f>
        <v>7.4</v>
      </c>
      <c r="DN58" s="12">
        <f t="array" ref="DN58">INDEX(DM:DM,MIN(IF(ISNUMBER(DM58:DM254),ROW(DM58:DM254),"")))</f>
        <v>7.4</v>
      </c>
      <c r="DO58" s="12">
        <f>IF('Données projet'!$A$166&gt;35,DO57+DN58-DW57,IF(A58&lt;'Données projet'!$A$166,$DL$205^A58,IF(A58='Données projet'!$A$166,'Données projet'!$B$166,DO57+DN58-DW57)))</f>
        <v>278.99999999999994</v>
      </c>
      <c r="DP58" s="17">
        <f>DO58*VLOOKUP('Données projet'!$B$14,Paramètres!$A$1:$I$89,3,0)*VLOOKUP('Données projet'!$B$14,Paramètres!$A$1:$I$89,5,0)</f>
        <v>221.97239999999996</v>
      </c>
      <c r="DQ58" s="13">
        <f t="shared" si="43"/>
        <v>54.543354171476821</v>
      </c>
      <c r="DR58" s="20">
        <f t="shared" si="16"/>
        <v>481.59827184865543</v>
      </c>
      <c r="DS58" s="59">
        <f t="shared" si="17"/>
        <v>774.93160518198874</v>
      </c>
      <c r="DT58" s="59">
        <f ca="1">AVERAGE(OFFSET($DS$3,0,0,'Données projet'!$E$14+1,1))-AVERAGE(OFFSET($H$3,0,0,'Données projet'!$E$14+1,1))</f>
        <v>353.37479213497227</v>
      </c>
      <c r="DU58" s="59">
        <f t="shared" si="44"/>
        <v>345.4750813433123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16</v>
      </c>
      <c r="DX58" s="16">
        <f>IF(ISNA(VLOOKUP(A58,'Données projet'!$A$165:$I$185,5,0)),0%,VLOOKUP(A58,'Données projet'!$A$165:$I$185,5,0)*VLOOKUP('Données projet'!$B$14,Paramètres!$A$1:$I$89,7,0))</f>
        <v>0.13250000000000001</v>
      </c>
      <c r="DY58" s="16">
        <f>IF(ISNA(VLOOKUP(A58,'Données projet'!$A$165:$I$185,6,0)),0%,VLOOKUP(A58,'Données projet'!$A$165:$I$185,6,0)*VLOOKUP('Données projet'!$B$14,Paramètres!$A$1:$I$89,7,0))</f>
        <v>0.13250000000000001</v>
      </c>
      <c r="DZ58" s="16">
        <f>IF(ISNA(VLOOKUP(A58,'Données projet'!$A$165:$I$185,7,0)),0%,VLOOKUP(A58,'Données projet'!$A$165:$I$185,7,0))</f>
        <v>0.25</v>
      </c>
      <c r="EA58" s="21">
        <f>EXP(-LN(2)/35)*EA57+(1-EXP(-LN(2)/35))/(LN(2)/35)*DW58*DX58*VLOOKUP('Données projet'!$B$14,Paramètres!$A$1:$I$89,3,0)*0.475*44/12</f>
        <v>14.425644442768373</v>
      </c>
      <c r="EB58" s="21">
        <f>EXP(-LN(2)/25)*EB57+(1-EXP(-LN(2)/25))/(LN(2)/25)*Calculateur!DW58*Calculateur!DY58*VLOOKUP('Données projet'!$B$14,Paramètres!$A$1:$I$89,3,0)*0.475*44/12</f>
        <v>17.466718365465756</v>
      </c>
      <c r="EC58" s="21">
        <f>EXP(-LN(2)/2)*EC57+(1-EXP(-LN(2)/2))/(LN(2)/2)*DW58*DZ58*VLOOKUP('Données projet'!$B$14,Paramètres!$A$1:$I$89,3,0)*0.475*44/12</f>
        <v>3.8178356290333193</v>
      </c>
      <c r="ED58" s="22">
        <f t="shared" si="18"/>
        <v>35.710198437267451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19.421666666666663</v>
      </c>
      <c r="EJ58" s="12">
        <f>IF('Données projet'!$A$192&gt;35,EJ57+EI58-ER57,IF(A58&lt;'Données projet'!$A$192,$EG$205^A58,IF(A58='Données projet'!$A$192,'Données projet'!$B$192,EJ57+EI58-ER57)))</f>
        <v>364.72833333333296</v>
      </c>
      <c r="EK58" s="17">
        <f>EJ58*VLOOKUP('Données projet'!$B$15,Paramètres!$A$1:$I$89,3,0)*VLOOKUP('Données projet'!$B$15,Paramètres!$A$1:$I$89,5,0)</f>
        <v>170.69285999999983</v>
      </c>
      <c r="EL58" s="13">
        <f t="shared" si="45"/>
        <v>43.245164424045335</v>
      </c>
      <c r="EM58" s="20">
        <f t="shared" si="19"/>
        <v>372.60872587187868</v>
      </c>
      <c r="EN58" s="59">
        <f t="shared" si="20"/>
        <v>665.94205920521199</v>
      </c>
      <c r="EO58" s="59">
        <f ca="1">AVERAGE(OFFSET($EN$3,0,0,'Données projet'!$E$15+1,1))-AVERAGE(OFFSET($H$3,0,0,'Données projet'!$E$15+1,1))</f>
        <v>433.05041777893922</v>
      </c>
      <c r="EP58" s="59">
        <f t="shared" si="46"/>
        <v>591.24088611958996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104.03883775870523</v>
      </c>
      <c r="EW58" s="21">
        <f>EXP(-LN(2)/25)*EW57+(1-EXP(-LN(2)/25))/(LN(2)/25)*Calculateur!ER58*Calculateur!ET58*VLOOKUP('Données projet'!$B$15,Paramètres!$A$1:$I$89,3,0)*0.475*44/12</f>
        <v>51.741941180717305</v>
      </c>
      <c r="EX58" s="21">
        <f>EXP(-LN(2)/2)*EX57+(1-EXP(-LN(2)/2))/(LN(2)/2)*ER58*EU58*VLOOKUP('Données projet'!$B$15,Paramètres!$A$1:$I$89,3,0)*0.475*44/12</f>
        <v>4.3578773092906129</v>
      </c>
      <c r="EY58" s="22">
        <f t="shared" si="21"/>
        <v>160.13865624871315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96.15384615384616</v>
      </c>
      <c r="FC58" s="12">
        <f>VLOOKUP(A58,'Données projet'!$A$217:$I$237,9,0)</f>
        <v>2.8205128205128234</v>
      </c>
      <c r="FD58" s="12">
        <f t="array" ref="FD58">INDEX(FC:FC,MIN(IF(ISNUMBER(FC58:FC254),ROW(FC58:FC254),"")))</f>
        <v>2.8205128205128234</v>
      </c>
      <c r="FE58" s="12">
        <f>IF('Données projet'!$A$218&gt;35,FE57+FD58-FM57,IF(A58&lt;'Données projet'!$A$218,$FB$205^A58,IF(A58='Données projet'!$A$218,'Données projet'!$B$218,FE57+FD58-FM57)))</f>
        <v>96.153846153846132</v>
      </c>
      <c r="FF58" s="17">
        <f>FE58*VLOOKUP('Données projet'!$B$16,Paramètres!$A$1:$I$89,3,0)*VLOOKUP('Données projet'!$B$16,Paramètres!$A$1:$I$89,5,0)</f>
        <v>77.999999999999986</v>
      </c>
      <c r="FG58" s="13">
        <f t="shared" si="47"/>
        <v>21.647455512768612</v>
      </c>
      <c r="FH58" s="20">
        <f t="shared" si="22"/>
        <v>173.55265168473863</v>
      </c>
      <c r="FI58" s="59">
        <f t="shared" si="23"/>
        <v>466.88598501807195</v>
      </c>
      <c r="FJ58" s="59">
        <f ca="1">AVERAGE(OFFSET($FI$3,0,0,'Données projet'!$E$16+1,1))-AVERAGE(OFFSET($H$3,0,0,'Données projet'!$E$16+1,1))</f>
        <v>159.4660488566085</v>
      </c>
      <c r="FK58" s="59">
        <f t="shared" si="48"/>
        <v>135.33030558297088</v>
      </c>
      <c r="FL58" s="15">
        <f>IF(ISNA(VLOOKUP(A58,'Données projet'!$A$217:$I$237,3,0)),0,VLOOKUP(A58,'Données projet'!$A$217:$I$237,3,0))</f>
        <v>9</v>
      </c>
      <c r="FM58" s="15">
        <f>IF(ISNA(VLOOKUP(A58,'Données projet'!$A$217:$I$237,4,0)),0,VLOOKUP(A58,'Données projet'!$A$217:$I$237,4,0))</f>
        <v>7.0512820512820511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0.1075</v>
      </c>
      <c r="FP58" s="16">
        <f>IF(ISNA(VLOOKUP(A58,'Données projet'!$A$217:$I$237,7,0)),0%,VLOOKUP(A58,'Données projet'!$A$217:$I$237,7,0))</f>
        <v>0.25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3.2404976299102612</v>
      </c>
      <c r="FS58" s="21">
        <f>EXP(-LN(2)/2)*FS57+(1-EXP(-LN(2)/2))/(LN(2)/2)*FM58*FP58*VLOOKUP('Données projet'!$B$16,Paramètres!$A$1:$I$89,3,0)*0.475*44/12</f>
        <v>1.6381224535668713</v>
      </c>
      <c r="FT58" s="22">
        <f t="shared" si="24"/>
        <v>4.8786200834771325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10.36375</v>
      </c>
      <c r="N59" s="13">
        <f>IF('Données projet'!$A$36&gt;35,N58+M59-V58,IF(A59&lt;'Données projet'!$A$36,$K$205^A59,IF(A59='Données projet'!$A$36,'Données projet'!$B$36,N58+M59-V58)))</f>
        <v>232.97250000000025</v>
      </c>
      <c r="O59" s="13">
        <f>N59*VLOOKUP('Données projet'!$B$9,Paramètres!$A$1:$I$89,3,0)*VLOOKUP('Données projet'!$B$9,Paramètres!$A$1:$I$89,5,0)</f>
        <v>236.23411500000026</v>
      </c>
      <c r="P59" s="13">
        <f t="shared" si="33"/>
        <v>57.628537681562783</v>
      </c>
      <c r="Q59" s="20">
        <f t="shared" si="53"/>
        <v>511.8107867537222</v>
      </c>
      <c r="R59" s="59">
        <f t="shared" si="0"/>
        <v>805.14412008705551</v>
      </c>
      <c r="S59" s="59">
        <f ca="1">AVERAGE(OFFSET($R$3,0,0,'Données projet'!$E$9+1,1))-AVERAGE(OFFSET($H$3,0,0,'Données projet'!$E$9+1,1))</f>
        <v>706.69239849991595</v>
      </c>
      <c r="T59" s="59">
        <f t="shared" si="34"/>
        <v>310.59887275116529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23.804992345095972</v>
      </c>
      <c r="AB59" s="21">
        <f>EXP(-LN(2)/2)*AB58+(1-EXP(-LN(2)/2))/(LN(2)/2)*V59*Y59*VLOOKUP('Données projet'!$B$9,Paramètres!$A$1:$I$89,3,0)*0.475*44/12</f>
        <v>0.96443502875480325</v>
      </c>
      <c r="AC59" s="22">
        <f t="shared" si="3"/>
        <v>24.769427373850775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3.2051282051282071</v>
      </c>
      <c r="AI59" s="13">
        <f>IF('Données projet'!$A$62&gt;35,AI58+AH59-AQ58,IF(A59&lt;'Données projet'!$A$62,$AF$205^A59,IF(A59='Données projet'!$A$62,'Données projet'!$B$62,AI58+AH59-AQ58)))</f>
        <v>108.33333333333327</v>
      </c>
      <c r="AJ59" s="13">
        <f>AI59*VLOOKUP('Données projet'!$B$10,Paramètres!$A$1:$I$89,3,0)*VLOOKUP('Données projet'!$B$10,Paramètres!$A$1:$I$89,5,0)</f>
        <v>113.22999999999995</v>
      </c>
      <c r="AK59" s="13">
        <f t="shared" si="35"/>
        <v>30.090711216212426</v>
      </c>
      <c r="AL59" s="20">
        <f t="shared" si="4"/>
        <v>249.61690536823653</v>
      </c>
      <c r="AM59" s="59">
        <f t="shared" si="5"/>
        <v>542.95023870156979</v>
      </c>
      <c r="AN59" s="59">
        <f ca="1">AVERAGE(OFFSET($AM$3,0,0,'Données projet'!$E$10+1,1))-AVERAGE(OFFSET($H$3,0,0,'Données projet'!$E$10+1,1))</f>
        <v>239.26156489359892</v>
      </c>
      <c r="AO59" s="59">
        <f t="shared" si="36"/>
        <v>213.97034450798111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15.583756196106904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15.583756196106904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5.2</v>
      </c>
      <c r="BD59" s="12">
        <f>IF('Données projet'!$A$88&gt;35,BD58+BC59-BL58,IF(A59&lt;'Données projet'!$A$88,$BA$205^A59,IF(A59='Données projet'!$A$88,'Données projet'!$B$88,BD58+BC59-BL58)))</f>
        <v>224.19999999999987</v>
      </c>
      <c r="BE59" s="13">
        <f>BD59*VLOOKUP('Données projet'!$B$11,Paramètres!$A$1:$I$89,3,0)*VLOOKUP('Données projet'!$B$11,Paramètres!$A$1:$I$89,5,0)</f>
        <v>195.86111999999991</v>
      </c>
      <c r="BF59" s="13">
        <f t="shared" si="37"/>
        <v>48.833463106716422</v>
      </c>
      <c r="BG59" s="20">
        <f t="shared" si="7"/>
        <v>426.17639891086424</v>
      </c>
      <c r="BH59" s="59">
        <f t="shared" si="8"/>
        <v>719.50973224419749</v>
      </c>
      <c r="BI59" s="59">
        <f ca="1">AVERAGE(OFFSET($BH$3,0,0,'Données projet'!$E$11+1,1))-AVERAGE(OFFSET($H$3,0,0,'Données projet'!$E$11+1,1))</f>
        <v>324.86930206492627</v>
      </c>
      <c r="BJ59" s="59">
        <f t="shared" si="38"/>
        <v>317.03005098025352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10.800243145245888</v>
      </c>
      <c r="BQ59" s="21">
        <f>EXP(-LN(2)/25)*BQ58+(1-EXP(-LN(2)/25))/(LN(2)/25)*Calculateur!BL59*Calculateur!BN59*VLOOKUP('Données projet'!$B$11,Paramètres!$A$1:$I$89,3,0)*0.475*44/12</f>
        <v>14.972383388359274</v>
      </c>
      <c r="BR59" s="21">
        <f>EXP(-LN(2)/2)*BR58+(1-EXP(-LN(2)/2))/(LN(2)/2)*BL59*BO59*VLOOKUP('Données projet'!$B$11,Paramètres!$A$1:$I$89,3,0)*0.475*44/12</f>
        <v>2.4596839857695763</v>
      </c>
      <c r="BS59" s="22">
        <f t="shared" si="9"/>
        <v>28.232310519374739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3.3603333333333336</v>
      </c>
      <c r="BY59" s="12">
        <f>IF('Données projet'!$A$114&gt;35,BY58+BX59-CG58,IF(A59&lt;'Données projet'!$A$114,$BV$205^A59,IF(A59='Données projet'!$A$114,'Données projet'!$B$114,BY58+BX59-CG58)))</f>
        <v>188.17866666666657</v>
      </c>
      <c r="BZ59" s="13">
        <f>BY59*VLOOKUP('Données projet'!$B$12,Paramètres!$A$1:$I$89,3,0)*VLOOKUP('Données projet'!$B$12,Paramètres!$A$1:$I$89,5,0)</f>
        <v>214.29786559999988</v>
      </c>
      <c r="CA59" s="13">
        <f t="shared" si="39"/>
        <v>52.873667200907974</v>
      </c>
      <c r="CB59" s="20">
        <f t="shared" si="10"/>
        <v>465.32375296158119</v>
      </c>
      <c r="CC59" s="59">
        <f t="shared" si="11"/>
        <v>758.65708629491451</v>
      </c>
      <c r="CD59" s="59">
        <f ca="1">AVERAGE(OFFSET($CC$3,0,0,'Données projet'!$E$12+1,1))-AVERAGE(OFFSET($H$3,0,0,'Données projet'!$E$12+1,1))</f>
        <v>593.28343396240075</v>
      </c>
      <c r="CE59" s="59">
        <f t="shared" si="40"/>
        <v>289.66477662068695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10.36375</v>
      </c>
      <c r="CT59" s="12">
        <f>IF('Données projet'!$A$140&gt;35,CT58+CS59-DB58,IF(A59&lt;'Données projet'!$A$140,$CQ$205^A59,IF(A59='Données projet'!$A$140,'Données projet'!$B$140,CT58+CS59-DB58)))</f>
        <v>232.97250000000025</v>
      </c>
      <c r="CU59" s="17">
        <f>CT59*VLOOKUP('Données projet'!$B$13,Paramètres!$A$1:$I$89,3,0)*VLOOKUP('Données projet'!$B$13,Paramètres!$A$1:$I$89,5,0)</f>
        <v>250.77159900000026</v>
      </c>
      <c r="CV59" s="13">
        <f t="shared" si="41"/>
        <v>60.751137519846843</v>
      </c>
      <c r="CW59" s="20">
        <f t="shared" si="13"/>
        <v>542.56876610540041</v>
      </c>
      <c r="CX59" s="59">
        <f t="shared" si="14"/>
        <v>835.90209943873379</v>
      </c>
      <c r="CY59" s="59">
        <f ca="1">AVERAGE(OFFSET($CX$3,0,0,'Données projet'!$E$13+1,1))-AVERAGE(OFFSET($H$3,0,0,'Données projet'!$E$13+1,1))</f>
        <v>747.18304127457918</v>
      </c>
      <c r="CZ59" s="59">
        <f t="shared" si="42"/>
        <v>327.03701004966723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25.269914950948024</v>
      </c>
      <c r="DH59" s="21">
        <f>EXP(-LN(2)/2)*DH58+(1-EXP(-LN(2)/2))/(LN(2)/2)*DB59*DE59*VLOOKUP('Données projet'!$B$13,Paramètres!$A$1:$I$89,3,0)*0.475*44/12</f>
        <v>1.0237848766781754</v>
      </c>
      <c r="DI59" s="22">
        <f t="shared" si="15"/>
        <v>26.293699827626199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6.2</v>
      </c>
      <c r="DO59" s="12">
        <f>IF('Données projet'!$A$166&gt;35,DO58+DN59-DW58,IF(A59&lt;'Données projet'!$A$166,$DL$205^A59,IF(A59='Données projet'!$A$166,'Données projet'!$B$166,DO58+DN59-DW58)))</f>
        <v>269.19999999999993</v>
      </c>
      <c r="DP59" s="17">
        <f>DO59*VLOOKUP('Données projet'!$B$14,Paramètres!$A$1:$I$89,3,0)*VLOOKUP('Données projet'!$B$14,Paramètres!$A$1:$I$89,5,0)</f>
        <v>214.17551999999998</v>
      </c>
      <c r="DQ59" s="13">
        <f t="shared" si="43"/>
        <v>52.846993696165399</v>
      </c>
      <c r="DR59" s="20">
        <f t="shared" si="16"/>
        <v>465.06421135415468</v>
      </c>
      <c r="DS59" s="59">
        <f t="shared" si="17"/>
        <v>758.39754468748799</v>
      </c>
      <c r="DT59" s="59">
        <f ca="1">AVERAGE(OFFSET($DS$3,0,0,'Données projet'!$E$14+1,1))-AVERAGE(OFFSET($H$3,0,0,'Données projet'!$E$14+1,1))</f>
        <v>353.37479213497227</v>
      </c>
      <c r="DU59" s="59">
        <f t="shared" si="44"/>
        <v>345.4750813433123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14.142766354019988</v>
      </c>
      <c r="EB59" s="21">
        <f>EXP(-LN(2)/25)*EB58+(1-EXP(-LN(2)/25))/(LN(2)/25)*Calculateur!DW59*Calculateur!DY59*VLOOKUP('Données projet'!$B$14,Paramètres!$A$1:$I$89,3,0)*0.475*44/12</f>
        <v>16.989090033227296</v>
      </c>
      <c r="EC59" s="21">
        <f>EXP(-LN(2)/2)*EC58+(1-EXP(-LN(2)/2))/(LN(2)/2)*DW59*DZ59*VLOOKUP('Données projet'!$B$14,Paramètres!$A$1:$I$89,3,0)*0.475*44/12</f>
        <v>2.6996174627450684</v>
      </c>
      <c r="ED59" s="22">
        <f t="shared" si="18"/>
        <v>33.831473849992349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>
        <f>VLOOKUP(A59,'Données projet'!$A$191:$I$211,2,0)</f>
        <v>384.15</v>
      </c>
      <c r="EH59" s="12">
        <f>VLOOKUP(A59,'Données projet'!$A$191:$I$211,9,0)</f>
        <v>19.421666666666663</v>
      </c>
      <c r="EI59" s="12">
        <f t="array" ref="EI59">INDEX(EH:EH,MIN(IF(ISNUMBER(EH59:EH255),ROW(EH59:EH255),"")))</f>
        <v>19.421666666666663</v>
      </c>
      <c r="EJ59" s="12">
        <f>IF('Données projet'!$A$192&gt;35,EJ58+EI59-ER58,IF(A59&lt;'Données projet'!$A$192,$EG$205^A59,IF(A59='Données projet'!$A$192,'Données projet'!$B$192,EJ58+EI59-ER58)))</f>
        <v>384.14999999999964</v>
      </c>
      <c r="EK59" s="17">
        <f>EJ59*VLOOKUP('Données projet'!$B$15,Paramètres!$A$1:$I$89,3,0)*VLOOKUP('Données projet'!$B$15,Paramètres!$A$1:$I$89,5,0)</f>
        <v>179.78219999999985</v>
      </c>
      <c r="EL59" s="13">
        <f t="shared" si="45"/>
        <v>45.273726265350604</v>
      </c>
      <c r="EM59" s="20">
        <f t="shared" si="19"/>
        <v>391.97240491215206</v>
      </c>
      <c r="EN59" s="59">
        <f t="shared" si="20"/>
        <v>685.30573824548537</v>
      </c>
      <c r="EO59" s="59">
        <f ca="1">AVERAGE(OFFSET($EN$3,0,0,'Données projet'!$E$15+1,1))-AVERAGE(OFFSET($H$3,0,0,'Données projet'!$E$15+1,1))</f>
        <v>433.05041777893922</v>
      </c>
      <c r="EP59" s="59">
        <f t="shared" si="46"/>
        <v>591.24088611958996</v>
      </c>
      <c r="EQ59" s="15">
        <f>IF(ISNA(VLOOKUP(A59,'Données projet'!$A$191:$I$211,3,0)),0,VLOOKUP(A59,'Données projet'!$A$191:$I$211,3,0))</f>
        <v>3</v>
      </c>
      <c r="ER59" s="15">
        <f>IF(ISNA(VLOOKUP(A59,'Données projet'!$A$191:$I$211,4,0)),0,VLOOKUP(A59,'Données projet'!$A$191:$I$211,4,0))</f>
        <v>80.21999999999997</v>
      </c>
      <c r="ES59" s="16">
        <f>IF(ISNA(VLOOKUP(A59,'Données projet'!$A$191:$I$211,5,0)),0%,VLOOKUP(A59,'Données projet'!$A$191:$I$211,5,0)*VLOOKUP('Données projet'!$B$15,Paramètres!$A$1:$I$89,7,0))</f>
        <v>0.33</v>
      </c>
      <c r="ET59" s="16">
        <f>IF(ISNA(VLOOKUP(A59,'Données projet'!$A$191:$I$211,6,0)),0%,VLOOKUP(A59,'Données projet'!$A$191:$I$211,6,0)*VLOOKUP('Données projet'!$B$15,Paramètres!$A$1:$I$89,7,0))</f>
        <v>0.11000000000000001</v>
      </c>
      <c r="EU59" s="16">
        <f>IF(ISNA(VLOOKUP(A59,'Données projet'!$A$191:$I$211,7,0)),0%,VLOOKUP(A59,'Données projet'!$A$191:$I$211,7,0))</f>
        <v>0.2</v>
      </c>
      <c r="EV59" s="21">
        <f>EXP(-LN(2)/35)*EV58+(1-EXP(-LN(2)/35))/(LN(2)/35)*ER59*ES59*VLOOKUP('Données projet'!$B$15,Paramètres!$A$1:$I$89,3,0)*0.475*44/12</f>
        <v>118.43374118271834</v>
      </c>
      <c r="EW59" s="21">
        <f>EXP(-LN(2)/25)*EW58+(1-EXP(-LN(2)/25))/(LN(2)/25)*Calculateur!ER59*Calculateur!ET59*VLOOKUP('Données projet'!$B$15,Paramètres!$A$1:$I$89,3,0)*0.475*44/12</f>
        <v>55.783831929511322</v>
      </c>
      <c r="EX59" s="21">
        <f>EXP(-LN(2)/2)*EX58+(1-EXP(-LN(2)/2))/(LN(2)/2)*ER59*EU59*VLOOKUP('Données projet'!$B$15,Paramètres!$A$1:$I$89,3,0)*0.475*44/12</f>
        <v>11.582954968327215</v>
      </c>
      <c r="EY59" s="22">
        <f t="shared" si="21"/>
        <v>185.80052808055689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2.6923076923076907</v>
      </c>
      <c r="FE59" s="12">
        <f>IF('Données projet'!$A$218&gt;35,FE58+FD59-FM58,IF(A59&lt;'Données projet'!$A$218,$FB$205^A59,IF(A59='Données projet'!$A$218,'Données projet'!$B$218,FE58+FD59-FM58)))</f>
        <v>91.794871794871767</v>
      </c>
      <c r="FF59" s="17">
        <f>FE59*VLOOKUP('Données projet'!$B$16,Paramètres!$A$1:$I$89,3,0)*VLOOKUP('Données projet'!$B$16,Paramètres!$A$1:$I$89,5,0)</f>
        <v>74.463999999999984</v>
      </c>
      <c r="FG59" s="13">
        <f t="shared" si="47"/>
        <v>20.778006126410563</v>
      </c>
      <c r="FH59" s="20">
        <f t="shared" si="22"/>
        <v>165.87982733683168</v>
      </c>
      <c r="FI59" s="59">
        <f t="shared" si="23"/>
        <v>459.213160670165</v>
      </c>
      <c r="FJ59" s="59">
        <f ca="1">AVERAGE(OFFSET($FI$3,0,0,'Données projet'!$E$16+1,1))-AVERAGE(OFFSET($H$3,0,0,'Données projet'!$E$16+1,1))</f>
        <v>159.4660488566085</v>
      </c>
      <c r="FK59" s="59">
        <f t="shared" si="48"/>
        <v>135.33030558297088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3.1518860518100009</v>
      </c>
      <c r="FS59" s="21">
        <f>EXP(-LN(2)/2)*FS58+(1-EXP(-LN(2)/2))/(LN(2)/2)*FM59*FP59*VLOOKUP('Données projet'!$B$16,Paramètres!$A$1:$I$89,3,0)*0.475*44/12</f>
        <v>1.15832749533108</v>
      </c>
      <c r="FT59" s="22">
        <f t="shared" si="24"/>
        <v>4.310213547141081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10.36375</v>
      </c>
      <c r="N60" s="13">
        <f>IF('Données projet'!$A$36&gt;35,N59+M60-V59,IF(A60&lt;'Données projet'!$A$36,$K$205^A60,IF(A60='Données projet'!$A$36,'Données projet'!$B$36,N59+M60-V59)))</f>
        <v>243.33625000000026</v>
      </c>
      <c r="O60" s="13">
        <f>N60*VLOOKUP('Données projet'!$B$9,Paramètres!$A$1:$I$89,3,0)*VLOOKUP('Données projet'!$B$9,Paramètres!$A$1:$I$89,5,0)</f>
        <v>246.74295750000027</v>
      </c>
      <c r="P60" s="13">
        <f t="shared" si="33"/>
        <v>59.887962808292784</v>
      </c>
      <c r="Q60" s="20">
        <f t="shared" si="53"/>
        <v>534.04885287027707</v>
      </c>
      <c r="R60" s="59">
        <f t="shared" si="0"/>
        <v>827.38218620361044</v>
      </c>
      <c r="S60" s="59">
        <f ca="1">AVERAGE(OFFSET($R$3,0,0,'Données projet'!$E$9+1,1))-AVERAGE(OFFSET($H$3,0,0,'Données projet'!$E$9+1,1))</f>
        <v>706.69239849991595</v>
      </c>
      <c r="T60" s="59">
        <f t="shared" si="34"/>
        <v>310.59887275116529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23.154043577569183</v>
      </c>
      <c r="AB60" s="21">
        <f>EXP(-LN(2)/2)*AB59+(1-EXP(-LN(2)/2))/(LN(2)/2)*V60*Y60*VLOOKUP('Données projet'!$B$9,Paramètres!$A$1:$I$89,3,0)*0.475*44/12</f>
        <v>0.68195854884636442</v>
      </c>
      <c r="AC60" s="22">
        <f t="shared" si="3"/>
        <v>23.836002126415547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3.2051282051282071</v>
      </c>
      <c r="AI60" s="13">
        <f>IF('Données projet'!$A$62&gt;35,AI59+AH60-AQ59,IF(A60&lt;'Données projet'!$A$62,$AF$205^A60,IF(A60='Données projet'!$A$62,'Données projet'!$B$62,AI59+AH60-AQ59)))</f>
        <v>111.53846153846148</v>
      </c>
      <c r="AJ60" s="13">
        <f>AI60*VLOOKUP('Données projet'!$B$10,Paramètres!$A$1:$I$89,3,0)*VLOOKUP('Données projet'!$B$10,Paramètres!$A$1:$I$89,5,0)</f>
        <v>116.57999999999996</v>
      </c>
      <c r="AK60" s="13">
        <f t="shared" si="35"/>
        <v>30.876003132466991</v>
      </c>
      <c r="AL60" s="20">
        <f t="shared" si="4"/>
        <v>256.81920545571325</v>
      </c>
      <c r="AM60" s="59">
        <f t="shared" si="5"/>
        <v>550.1525387890465</v>
      </c>
      <c r="AN60" s="59">
        <f ca="1">AVERAGE(OFFSET($AM$3,0,0,'Données projet'!$E$10+1,1))-AVERAGE(OFFSET($H$3,0,0,'Données projet'!$E$10+1,1))</f>
        <v>239.26156489359892</v>
      </c>
      <c r="AO60" s="59">
        <f t="shared" si="36"/>
        <v>213.97034450798111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15.157617563410239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15.157617563410239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5.2</v>
      </c>
      <c r="BD60" s="12">
        <f>IF('Données projet'!$A$88&gt;35,BD59+BC60-BL59,IF(A60&lt;'Données projet'!$A$88,$BA$205^A60,IF(A60='Données projet'!$A$88,'Données projet'!$B$88,BD59+BC60-BL59)))</f>
        <v>229.39999999999986</v>
      </c>
      <c r="BE60" s="13">
        <f>BD60*VLOOKUP('Données projet'!$B$11,Paramètres!$A$1:$I$89,3,0)*VLOOKUP('Données projet'!$B$11,Paramètres!$A$1:$I$89,5,0)</f>
        <v>200.40383999999992</v>
      </c>
      <c r="BF60" s="13">
        <f t="shared" si="37"/>
        <v>49.832909112305636</v>
      </c>
      <c r="BG60" s="20">
        <f t="shared" si="7"/>
        <v>435.82900470393218</v>
      </c>
      <c r="BH60" s="59">
        <f t="shared" si="8"/>
        <v>729.1623380372655</v>
      </c>
      <c r="BI60" s="59">
        <f ca="1">AVERAGE(OFFSET($BH$3,0,0,'Données projet'!$E$11+1,1))-AVERAGE(OFFSET($H$3,0,0,'Données projet'!$E$11+1,1))</f>
        <v>324.86930206492627</v>
      </c>
      <c r="BJ60" s="59">
        <f t="shared" si="38"/>
        <v>317.03005098025352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10.588456964665474</v>
      </c>
      <c r="BQ60" s="21">
        <f>EXP(-LN(2)/25)*BQ59+(1-EXP(-LN(2)/25))/(LN(2)/25)*Calculateur!BL60*Calculateur!BN60*VLOOKUP('Données projet'!$B$11,Paramètres!$A$1:$I$89,3,0)*0.475*44/12</f>
        <v>14.562962777241168</v>
      </c>
      <c r="BR60" s="21">
        <f>EXP(-LN(2)/2)*BR59+(1-EXP(-LN(2)/2))/(LN(2)/2)*BL60*BO60*VLOOKUP('Données projet'!$B$11,Paramètres!$A$1:$I$89,3,0)*0.475*44/12</f>
        <v>1.739259225913623</v>
      </c>
      <c r="BS60" s="22">
        <f t="shared" si="9"/>
        <v>26.890678967820268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3.3603333333333336</v>
      </c>
      <c r="BY60" s="12">
        <f>IF('Données projet'!$A$114&gt;35,BY59+BX60-CG59,IF(A60&lt;'Données projet'!$A$114,$BV$205^A60,IF(A60='Données projet'!$A$114,'Données projet'!$B$114,BY59+BX60-CG59)))</f>
        <v>191.5389999999999</v>
      </c>
      <c r="BZ60" s="13">
        <f>BY60*VLOOKUP('Données projet'!$B$12,Paramètres!$A$1:$I$89,3,0)*VLOOKUP('Données projet'!$B$12,Paramètres!$A$1:$I$89,5,0)</f>
        <v>218.12461319999989</v>
      </c>
      <c r="CA60" s="13">
        <f t="shared" si="39"/>
        <v>53.707076797550549</v>
      </c>
      <c r="CB60" s="20">
        <f t="shared" si="10"/>
        <v>473.44019341240033</v>
      </c>
      <c r="CC60" s="59">
        <f t="shared" si="11"/>
        <v>766.77352674573365</v>
      </c>
      <c r="CD60" s="59">
        <f ca="1">AVERAGE(OFFSET($CC$3,0,0,'Données projet'!$E$12+1,1))-AVERAGE(OFFSET($H$3,0,0,'Données projet'!$E$12+1,1))</f>
        <v>593.28343396240075</v>
      </c>
      <c r="CE60" s="59">
        <f t="shared" si="40"/>
        <v>289.66477662068695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10.36375</v>
      </c>
      <c r="CT60" s="12">
        <f>IF('Données projet'!$A$140&gt;35,CT59+CS60-DB59,IF(A60&lt;'Données projet'!$A$140,$CQ$205^A60,IF(A60='Données projet'!$A$140,'Données projet'!$B$140,CT59+CS60-DB59)))</f>
        <v>243.33625000000026</v>
      </c>
      <c r="CU60" s="17">
        <f>CT60*VLOOKUP('Données projet'!$B$13,Paramètres!$A$1:$I$89,3,0)*VLOOKUP('Données projet'!$B$13,Paramètres!$A$1:$I$89,5,0)</f>
        <v>261.92713950000024</v>
      </c>
      <c r="CV60" s="13">
        <f t="shared" si="41"/>
        <v>63.132989499993243</v>
      </c>
      <c r="CW60" s="20">
        <f t="shared" si="13"/>
        <v>566.1463913416552</v>
      </c>
      <c r="CX60" s="59">
        <f t="shared" si="14"/>
        <v>859.47972467498857</v>
      </c>
      <c r="CY60" s="59">
        <f ca="1">AVERAGE(OFFSET($CX$3,0,0,'Données projet'!$E$13+1,1))-AVERAGE(OFFSET($H$3,0,0,'Données projet'!$E$13+1,1))</f>
        <v>747.18304127457918</v>
      </c>
      <c r="CZ60" s="59">
        <f t="shared" si="42"/>
        <v>327.03701004966723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24.578907797727279</v>
      </c>
      <c r="DH60" s="21">
        <f>EXP(-LN(2)/2)*DH59+(1-EXP(-LN(2)/2))/(LN(2)/2)*DB60*DE60*VLOOKUP('Données projet'!$B$13,Paramètres!$A$1:$I$89,3,0)*0.475*44/12</f>
        <v>0.72392522877537113</v>
      </c>
      <c r="DI60" s="22">
        <f t="shared" si="15"/>
        <v>25.30283302650265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6.2</v>
      </c>
      <c r="DO60" s="12">
        <f>IF('Données projet'!$A$166&gt;35,DO59+DN60-DW59,IF(A60&lt;'Données projet'!$A$166,$DL$205^A60,IF(A60='Données projet'!$A$166,'Données projet'!$B$166,DO59+DN60-DW59)))</f>
        <v>275.39999999999992</v>
      </c>
      <c r="DP60" s="17">
        <f>DO60*VLOOKUP('Données projet'!$B$14,Paramètres!$A$1:$I$89,3,0)*VLOOKUP('Données projet'!$B$14,Paramètres!$A$1:$I$89,5,0)</f>
        <v>219.10823999999994</v>
      </c>
      <c r="DQ60" s="13">
        <f t="shared" si="43"/>
        <v>53.921020297295854</v>
      </c>
      <c r="DR60" s="20">
        <f t="shared" si="16"/>
        <v>475.52596168445672</v>
      </c>
      <c r="DS60" s="59">
        <f t="shared" si="17"/>
        <v>768.85929501779003</v>
      </c>
      <c r="DT60" s="59">
        <f ca="1">AVERAGE(OFFSET($DS$3,0,0,'Données projet'!$E$14+1,1))-AVERAGE(OFFSET($H$3,0,0,'Données projet'!$E$14+1,1))</f>
        <v>353.37479213497227</v>
      </c>
      <c r="DU60" s="59">
        <f t="shared" si="44"/>
        <v>345.4750813433123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13.865435332053362</v>
      </c>
      <c r="EB60" s="21">
        <f>EXP(-LN(2)/25)*EB59+(1-EXP(-LN(2)/25))/(LN(2)/25)*Calculateur!DW60*Calculateur!DY60*VLOOKUP('Données projet'!$B$14,Paramètres!$A$1:$I$89,3,0)*0.475*44/12</f>
        <v>16.524522472851281</v>
      </c>
      <c r="EC60" s="21">
        <f>EXP(-LN(2)/2)*EC59+(1-EXP(-LN(2)/2))/(LN(2)/2)*DW60*DZ60*VLOOKUP('Données projet'!$B$14,Paramètres!$A$1:$I$89,3,0)*0.475*44/12</f>
        <v>1.9089178145166599</v>
      </c>
      <c r="ED60" s="22">
        <f t="shared" si="18"/>
        <v>32.298875619421302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48.09</v>
      </c>
      <c r="EJ60" s="12">
        <f>IF('Données projet'!$A$192&gt;35,EJ59+EI60-ER59,IF(A60&lt;'Données projet'!$A$192,$EG$205^A60,IF(A60='Données projet'!$A$192,'Données projet'!$B$192,EJ59+EI60-ER59)))</f>
        <v>352.0199999999997</v>
      </c>
      <c r="EK60" s="17">
        <f>EJ60*VLOOKUP('Données projet'!$B$15,Paramètres!$A$1:$I$89,3,0)*VLOOKUP('Données projet'!$B$15,Paramètres!$A$1:$I$89,5,0)</f>
        <v>164.74535999999986</v>
      </c>
      <c r="EL60" s="13">
        <f t="shared" si="45"/>
        <v>41.911017155677719</v>
      </c>
      <c r="EM60" s="20">
        <f t="shared" si="19"/>
        <v>359.92652354613847</v>
      </c>
      <c r="EN60" s="59">
        <f t="shared" si="20"/>
        <v>653.25985687947173</v>
      </c>
      <c r="EO60" s="59">
        <f ca="1">AVERAGE(OFFSET($EN$3,0,0,'Données projet'!$E$15+1,1))-AVERAGE(OFFSET($H$3,0,0,'Données projet'!$E$15+1,1))</f>
        <v>433.05041777893922</v>
      </c>
      <c r="EP60" s="59">
        <f t="shared" si="46"/>
        <v>591.24088611958996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116.11132775557449</v>
      </c>
      <c r="EW60" s="21">
        <f>EXP(-LN(2)/25)*EW59+(1-EXP(-LN(2)/25))/(LN(2)/25)*Calculateur!ER60*Calculateur!ET60*VLOOKUP('Données projet'!$B$15,Paramètres!$A$1:$I$89,3,0)*0.475*44/12</f>
        <v>54.258420111854612</v>
      </c>
      <c r="EX60" s="21">
        <f>EXP(-LN(2)/2)*EX59+(1-EXP(-LN(2)/2))/(LN(2)/2)*ER60*EU60*VLOOKUP('Données projet'!$B$15,Paramètres!$A$1:$I$89,3,0)*0.475*44/12</f>
        <v>8.1903860042825851</v>
      </c>
      <c r="EY60" s="22">
        <f t="shared" si="21"/>
        <v>178.56013387171168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2.6923076923076907</v>
      </c>
      <c r="FE60" s="12">
        <f>IF('Données projet'!$A$218&gt;35,FE59+FD60-FM59,IF(A60&lt;'Données projet'!$A$218,$FB$205^A60,IF(A60='Données projet'!$A$218,'Données projet'!$B$218,FE59+FD60-FM59)))</f>
        <v>94.487179487179461</v>
      </c>
      <c r="FF60" s="17">
        <f>FE60*VLOOKUP('Données projet'!$B$16,Paramètres!$A$1:$I$89,3,0)*VLOOKUP('Données projet'!$B$16,Paramètres!$A$1:$I$89,5,0)</f>
        <v>76.647999999999982</v>
      </c>
      <c r="FG60" s="13">
        <f t="shared" si="47"/>
        <v>21.315572215122746</v>
      </c>
      <c r="FH60" s="20">
        <f t="shared" si="22"/>
        <v>170.61988827467206</v>
      </c>
      <c r="FI60" s="59">
        <f t="shared" si="23"/>
        <v>463.95322160800538</v>
      </c>
      <c r="FJ60" s="59">
        <f ca="1">AVERAGE(OFFSET($FI$3,0,0,'Données projet'!$E$16+1,1))-AVERAGE(OFFSET($H$3,0,0,'Données projet'!$E$16+1,1))</f>
        <v>159.4660488566085</v>
      </c>
      <c r="FK60" s="59">
        <f t="shared" si="48"/>
        <v>135.33030558297088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3.0656975619727729</v>
      </c>
      <c r="FS60" s="21">
        <f>EXP(-LN(2)/2)*FS59+(1-EXP(-LN(2)/2))/(LN(2)/2)*FM60*FP60*VLOOKUP('Données projet'!$B$16,Paramètres!$A$1:$I$89,3,0)*0.475*44/12</f>
        <v>0.81906122678343574</v>
      </c>
      <c r="FT60" s="22">
        <f t="shared" si="24"/>
        <v>3.8847587887562085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253.7</v>
      </c>
      <c r="L61" s="12">
        <f>VLOOKUP(A61,'Données projet'!$A$35:$I$55,9,0)</f>
        <v>10.36375</v>
      </c>
      <c r="M61" s="12">
        <f t="array" ref="M61">INDEX(L:L,MIN(IF(ISNUMBER(L61:L257),ROW(L61:L257),"")))</f>
        <v>10.36375</v>
      </c>
      <c r="N61" s="13">
        <f>IF('Données projet'!$A$36&gt;35,N60+M61-V60,IF(A61&lt;'Données projet'!$A$36,$K$205^A61,IF(A61='Données projet'!$A$36,'Données projet'!$B$36,N60+M61-V60)))</f>
        <v>253.70000000000027</v>
      </c>
      <c r="O61" s="13">
        <f>N61*VLOOKUP('Données projet'!$B$9,Paramètres!$A$1:$I$89,3,0)*VLOOKUP('Données projet'!$B$9,Paramètres!$A$1:$I$89,5,0)</f>
        <v>257.25180000000029</v>
      </c>
      <c r="P61" s="13">
        <f t="shared" si="33"/>
        <v>62.136210975836612</v>
      </c>
      <c r="Q61" s="20">
        <f t="shared" si="53"/>
        <v>556.26745244958261</v>
      </c>
      <c r="R61" s="59">
        <f t="shared" si="0"/>
        <v>849.60078578291586</v>
      </c>
      <c r="S61" s="59">
        <f ca="1">AVERAGE(OFFSET($R$3,0,0,'Données projet'!$E$9+1,1))-AVERAGE(OFFSET($H$3,0,0,'Données projet'!$E$9+1,1))</f>
        <v>706.69239849991595</v>
      </c>
      <c r="T61" s="59">
        <f t="shared" si="34"/>
        <v>310.59887275116529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47.789999999999992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0.34400000000000003</v>
      </c>
      <c r="Y61" s="16">
        <f>IF(ISNA(VLOOKUP(A61,'Données projet'!$A$35:$I$55,7,0)),0%,VLOOKUP(A61,'Données projet'!$A$35:$I$55,7,0))</f>
        <v>0.2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40.876435665412025</v>
      </c>
      <c r="AB61" s="21">
        <f>EXP(-LN(2)/2)*AB60+(1-EXP(-LN(2)/2))/(LN(2)/2)*V61*Y61*VLOOKUP('Données projet'!$B$9,Paramètres!$A$1:$I$89,3,0)*0.475*44/12</f>
        <v>9.6267029876728749</v>
      </c>
      <c r="AC61" s="22">
        <f t="shared" si="3"/>
        <v>50.503138653084903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3.2051282051282071</v>
      </c>
      <c r="AI61" s="13">
        <f>IF('Données projet'!$A$62&gt;35,AI60+AH61-AQ60,IF(A61&lt;'Données projet'!$A$62,$AF$205^A61,IF(A61='Données projet'!$A$62,'Données projet'!$B$62,AI60+AH61-AQ60)))</f>
        <v>114.74358974358968</v>
      </c>
      <c r="AJ61" s="13">
        <f>AI61*VLOOKUP('Données projet'!$B$10,Paramètres!$A$1:$I$89,3,0)*VLOOKUP('Données projet'!$B$10,Paramètres!$A$1:$I$89,5,0)</f>
        <v>119.92999999999995</v>
      </c>
      <c r="AK61" s="13">
        <f t="shared" si="35"/>
        <v>31.65867238925356</v>
      </c>
      <c r="AL61" s="20">
        <f t="shared" si="4"/>
        <v>264.01693774461648</v>
      </c>
      <c r="AM61" s="59">
        <f t="shared" si="5"/>
        <v>557.35027107794986</v>
      </c>
      <c r="AN61" s="59">
        <f ca="1">AVERAGE(OFFSET($AM$3,0,0,'Données projet'!$E$10+1,1))-AVERAGE(OFFSET($H$3,0,0,'Données projet'!$E$10+1,1))</f>
        <v>239.26156489359892</v>
      </c>
      <c r="AO61" s="59">
        <f t="shared" si="36"/>
        <v>213.97034450798111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14.743131714034321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14.743131714034321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5.2</v>
      </c>
      <c r="BD61" s="12">
        <f>IF('Données projet'!$A$88&gt;35,BD60+BC61-BL60,IF(A61&lt;'Données projet'!$A$88,$BA$205^A61,IF(A61='Données projet'!$A$88,'Données projet'!$B$88,BD60+BC61-BL60)))</f>
        <v>234.59999999999985</v>
      </c>
      <c r="BE61" s="13">
        <f>BD61*VLOOKUP('Données projet'!$B$11,Paramètres!$A$1:$I$89,3,0)*VLOOKUP('Données projet'!$B$11,Paramètres!$A$1:$I$89,5,0)</f>
        <v>204.94655999999989</v>
      </c>
      <c r="BF61" s="13">
        <f t="shared" si="37"/>
        <v>50.829721281867236</v>
      </c>
      <c r="BG61" s="20">
        <f t="shared" si="7"/>
        <v>445.47702323258522</v>
      </c>
      <c r="BH61" s="59">
        <f t="shared" si="8"/>
        <v>738.81035656591848</v>
      </c>
      <c r="BI61" s="59">
        <f ca="1">AVERAGE(OFFSET($BH$3,0,0,'Données projet'!$E$11+1,1))-AVERAGE(OFFSET($H$3,0,0,'Données projet'!$E$11+1,1))</f>
        <v>324.86930206492627</v>
      </c>
      <c r="BJ61" s="59">
        <f t="shared" si="38"/>
        <v>317.03005098025352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10.380823781909426</v>
      </c>
      <c r="BQ61" s="21">
        <f>EXP(-LN(2)/25)*BQ60+(1-EXP(-LN(2)/25))/(LN(2)/25)*Calculateur!BL61*Calculateur!BN61*VLOOKUP('Données projet'!$B$11,Paramètres!$A$1:$I$89,3,0)*0.475*44/12</f>
        <v>14.16473779426458</v>
      </c>
      <c r="BR61" s="21">
        <f>EXP(-LN(2)/2)*BR60+(1-EXP(-LN(2)/2))/(LN(2)/2)*BL61*BO61*VLOOKUP('Données projet'!$B$11,Paramètres!$A$1:$I$89,3,0)*0.475*44/12</f>
        <v>1.2298419928847883</v>
      </c>
      <c r="BS61" s="22">
        <f t="shared" si="9"/>
        <v>25.775403569058795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3.3603333333333336</v>
      </c>
      <c r="BY61" s="12">
        <f>IF('Données projet'!$A$114&gt;35,BY60+BX61-CG60,IF(A61&lt;'Données projet'!$A$114,$BV$205^A61,IF(A61='Données projet'!$A$114,'Données projet'!$B$114,BY60+BX61-CG60)))</f>
        <v>194.89933333333323</v>
      </c>
      <c r="BZ61" s="13">
        <f>BY61*VLOOKUP('Données projet'!$B$12,Paramètres!$A$1:$I$89,3,0)*VLOOKUP('Données projet'!$B$12,Paramètres!$A$1:$I$89,5,0)</f>
        <v>221.95136079999986</v>
      </c>
      <c r="CA61" s="13">
        <f t="shared" si="39"/>
        <v>54.538786128418167</v>
      </c>
      <c r="CB61" s="20">
        <f t="shared" si="10"/>
        <v>481.55367256699475</v>
      </c>
      <c r="CC61" s="59">
        <f t="shared" si="11"/>
        <v>774.88700590032806</v>
      </c>
      <c r="CD61" s="59">
        <f ca="1">AVERAGE(OFFSET($CC$3,0,0,'Données projet'!$E$12+1,1))-AVERAGE(OFFSET($H$3,0,0,'Données projet'!$E$12+1,1))</f>
        <v>593.28343396240075</v>
      </c>
      <c r="CE61" s="59">
        <f t="shared" si="40"/>
        <v>289.66477662068695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253.7</v>
      </c>
      <c r="CR61" s="12">
        <f>VLOOKUP(A61,'Données projet'!$A$139:$I$159,9,0)</f>
        <v>10.36375</v>
      </c>
      <c r="CS61" s="12">
        <f t="array" ref="CS61">INDEX(CR:CR,MIN(IF(ISNUMBER(CR61:CR257),ROW(CR61:CR257),"")))</f>
        <v>10.36375</v>
      </c>
      <c r="CT61" s="12">
        <f>IF('Données projet'!$A$140&gt;35,CT60+CS61-DB60,IF(A61&lt;'Données projet'!$A$140,$CQ$205^A61,IF(A61='Données projet'!$A$140,'Données projet'!$B$140,CT60+CS61-DB60)))</f>
        <v>253.70000000000027</v>
      </c>
      <c r="CU61" s="17">
        <f>CT61*VLOOKUP('Données projet'!$B$13,Paramètres!$A$1:$I$89,3,0)*VLOOKUP('Données projet'!$B$13,Paramètres!$A$1:$I$89,5,0)</f>
        <v>273.08268000000027</v>
      </c>
      <c r="CV61" s="13">
        <f t="shared" si="41"/>
        <v>65.503058897900175</v>
      </c>
      <c r="CW61" s="20">
        <f t="shared" si="13"/>
        <v>589.70349524717665</v>
      </c>
      <c r="CX61" s="59">
        <f t="shared" si="14"/>
        <v>883.03682858051002</v>
      </c>
      <c r="CY61" s="59">
        <f ca="1">AVERAGE(OFFSET($CX$3,0,0,'Données projet'!$E$13+1,1))-AVERAGE(OFFSET($H$3,0,0,'Données projet'!$E$13+1,1))</f>
        <v>747.18304127457918</v>
      </c>
      <c r="CZ61" s="59">
        <f t="shared" si="42"/>
        <v>327.03701004966723</v>
      </c>
      <c r="DA61" s="15">
        <f>IF(ISNA(VLOOKUP(A61,'Données projet'!$A$139:$I$159,3,0)),0,VLOOKUP(A61,'Données projet'!$A$139:$I$159,3,0))</f>
        <v>3</v>
      </c>
      <c r="DB61" s="15">
        <f>IF(ISNA(VLOOKUP(A61,'Données projet'!$A$139:$I$159,4,0)),0,VLOOKUP(A61,'Données projet'!$A$139:$I$159,4,0))</f>
        <v>47.789999999999992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0.34400000000000003</v>
      </c>
      <c r="DE61" s="16">
        <f>IF(ISNA(VLOOKUP(A61,'Données projet'!$A$139:$I$159,7,0)),0%,VLOOKUP(A61,'Données projet'!$A$139:$I$159,7,0))</f>
        <v>0.2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43.391908629437367</v>
      </c>
      <c r="DH61" s="21">
        <f>EXP(-LN(2)/2)*DH60+(1-EXP(-LN(2)/2))/(LN(2)/2)*DB61*DE61*VLOOKUP('Données projet'!$B$13,Paramètres!$A$1:$I$89,3,0)*0.475*44/12</f>
        <v>10.219115479221974</v>
      </c>
      <c r="DI61" s="22">
        <f t="shared" si="15"/>
        <v>53.611024108659343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6.2</v>
      </c>
      <c r="DO61" s="12">
        <f>IF('Données projet'!$A$166&gt;35,DO60+DN61-DW60,IF(A61&lt;'Données projet'!$A$166,$DL$205^A61,IF(A61='Données projet'!$A$166,'Données projet'!$B$166,DO60+DN61-DW60)))</f>
        <v>281.59999999999991</v>
      </c>
      <c r="DP61" s="17">
        <f>DO61*VLOOKUP('Données projet'!$B$14,Paramètres!$A$1:$I$89,3,0)*VLOOKUP('Données projet'!$B$14,Paramètres!$A$1:$I$89,5,0)</f>
        <v>224.04095999999993</v>
      </c>
      <c r="DQ61" s="13">
        <f t="shared" si="43"/>
        <v>54.992235867381233</v>
      </c>
      <c r="DR61" s="20">
        <f t="shared" si="16"/>
        <v>485.98281613568884</v>
      </c>
      <c r="DS61" s="59">
        <f t="shared" si="17"/>
        <v>779.31614946902209</v>
      </c>
      <c r="DT61" s="59">
        <f ca="1">AVERAGE(OFFSET($DS$3,0,0,'Données projet'!$E$14+1,1))-AVERAGE(OFFSET($H$3,0,0,'Données projet'!$E$14+1,1))</f>
        <v>353.37479213497227</v>
      </c>
      <c r="DU61" s="59">
        <f t="shared" si="44"/>
        <v>345.4750813433123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13.593542602272281</v>
      </c>
      <c r="EB61" s="21">
        <f>EXP(-LN(2)/25)*EB60+(1-EXP(-LN(2)/25))/(LN(2)/25)*Calculateur!DW61*Calculateur!DY61*VLOOKUP('Données projet'!$B$14,Paramètres!$A$1:$I$89,3,0)*0.475*44/12</f>
        <v>16.072658536844294</v>
      </c>
      <c r="EC61" s="21">
        <f>EXP(-LN(2)/2)*EC60+(1-EXP(-LN(2)/2))/(LN(2)/2)*DW61*DZ61*VLOOKUP('Données projet'!$B$14,Paramètres!$A$1:$I$89,3,0)*0.475*44/12</f>
        <v>1.3498087313725344</v>
      </c>
      <c r="ED61" s="22">
        <f t="shared" si="18"/>
        <v>31.016009870489107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>
        <f>VLOOKUP(A61,'Données projet'!$A$191:$I$211,2,0)</f>
        <v>400.11</v>
      </c>
      <c r="EH61" s="12">
        <f>VLOOKUP(A61,'Données projet'!$A$191:$I$211,9,0)</f>
        <v>48.09</v>
      </c>
      <c r="EI61" s="12">
        <f t="array" ref="EI61">INDEX(EH:EH,MIN(IF(ISNUMBER(EH61:EH257),ROW(EH61:EH257),"")))</f>
        <v>48.09</v>
      </c>
      <c r="EJ61" s="12">
        <f>IF('Données projet'!$A$192&gt;35,EJ60+EI61-ER60,IF(A61&lt;'Données projet'!$A$192,$EG$205^A61,IF(A61='Données projet'!$A$192,'Données projet'!$B$192,EJ60+EI61-ER60)))</f>
        <v>400.10999999999967</v>
      </c>
      <c r="EK61" s="17">
        <f>EJ61*VLOOKUP('Données projet'!$B$15,Paramètres!$A$1:$I$89,3,0)*VLOOKUP('Données projet'!$B$15,Paramètres!$A$1:$I$89,5,0)</f>
        <v>187.25147999999984</v>
      </c>
      <c r="EL61" s="13">
        <f t="shared" si="45"/>
        <v>46.931779730921761</v>
      </c>
      <c r="EM61" s="20">
        <f t="shared" si="19"/>
        <v>407.86917736468848</v>
      </c>
      <c r="EN61" s="59">
        <f t="shared" si="20"/>
        <v>701.2025106980218</v>
      </c>
      <c r="EO61" s="59">
        <f ca="1">AVERAGE(OFFSET($EN$3,0,0,'Données projet'!$E$15+1,1))-AVERAGE(OFFSET($H$3,0,0,'Données projet'!$E$15+1,1))</f>
        <v>433.05041777893922</v>
      </c>
      <c r="EP61" s="59">
        <f t="shared" si="46"/>
        <v>591.24088611958996</v>
      </c>
      <c r="EQ61" s="15">
        <f>IF(ISNA(VLOOKUP(A61,'Données projet'!$A$191:$I$211,3,0)),0,VLOOKUP(A61,'Données projet'!$A$191:$I$211,3,0))</f>
        <v>3</v>
      </c>
      <c r="ER61" s="15">
        <f>IF(ISNA(VLOOKUP(A61,'Données projet'!$A$191:$I$211,4,0)),0,VLOOKUP(A61,'Données projet'!$A$191:$I$211,4,0))</f>
        <v>88.54000000000002</v>
      </c>
      <c r="ES61" s="16">
        <f>IF(ISNA(VLOOKUP(A61,'Données projet'!$A$191:$I$211,5,0)),0%,VLOOKUP(A61,'Données projet'!$A$191:$I$211,5,0)*VLOOKUP('Données projet'!$B$15,Paramètres!$A$1:$I$89,7,0))</f>
        <v>0.33</v>
      </c>
      <c r="ET61" s="16">
        <f>IF(ISNA(VLOOKUP(A61,'Données projet'!$A$191:$I$211,6,0)),0%,VLOOKUP(A61,'Données projet'!$A$191:$I$211,6,0)*VLOOKUP('Données projet'!$B$15,Paramètres!$A$1:$I$89,7,0))</f>
        <v>0.11000000000000001</v>
      </c>
      <c r="EU61" s="16">
        <f>IF(ISNA(VLOOKUP(A61,'Données projet'!$A$191:$I$211,7,0)),0%,VLOOKUP(A61,'Données projet'!$A$191:$I$211,7,0))</f>
        <v>0.2</v>
      </c>
      <c r="EV61" s="21">
        <f>EXP(-LN(2)/35)*EV60+(1-EXP(-LN(2)/35))/(LN(2)/35)*ER61*ES61*VLOOKUP('Données projet'!$B$15,Paramètres!$A$1:$I$89,3,0)*0.475*44/12</f>
        <v>131.97405380686484</v>
      </c>
      <c r="EW61" s="21">
        <f>EXP(-LN(2)/25)*EW60+(1-EXP(-LN(2)/25))/(LN(2)/25)*Calculateur!ER61*Calculateur!ET61*VLOOKUP('Données projet'!$B$15,Paramètres!$A$1:$I$89,3,0)*0.475*44/12</f>
        <v>58.797446046288947</v>
      </c>
      <c r="EX61" s="21">
        <f>EXP(-LN(2)/2)*EX60+(1-EXP(-LN(2)/2))/(LN(2)/2)*ER61*EU61*VLOOKUP('Données projet'!$B$15,Paramètres!$A$1:$I$89,3,0)*0.475*44/12</f>
        <v>15.174676021675781</v>
      </c>
      <c r="EY61" s="22">
        <f t="shared" si="21"/>
        <v>205.94617587482958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2.6923076923076907</v>
      </c>
      <c r="FE61" s="12">
        <f>IF('Données projet'!$A$218&gt;35,FE60+FD61-FM60,IF(A61&lt;'Données projet'!$A$218,$FB$205^A61,IF(A61='Données projet'!$A$218,'Données projet'!$B$218,FE60+FD61-FM60)))</f>
        <v>97.179487179487154</v>
      </c>
      <c r="FF61" s="17">
        <f>FE61*VLOOKUP('Données projet'!$B$16,Paramètres!$A$1:$I$89,3,0)*VLOOKUP('Données projet'!$B$16,Paramètres!$A$1:$I$89,5,0)</f>
        <v>78.831999999999994</v>
      </c>
      <c r="FG61" s="13">
        <f t="shared" si="47"/>
        <v>21.851358063068435</v>
      </c>
      <c r="FH61" s="20">
        <f t="shared" si="22"/>
        <v>175.35684862651081</v>
      </c>
      <c r="FI61" s="59">
        <f t="shared" si="23"/>
        <v>468.69018195984415</v>
      </c>
      <c r="FJ61" s="59">
        <f ca="1">AVERAGE(OFFSET($FI$3,0,0,'Données projet'!$E$16+1,1))-AVERAGE(OFFSET($H$3,0,0,'Données projet'!$E$16+1,1))</f>
        <v>159.4660488566085</v>
      </c>
      <c r="FK61" s="59">
        <f t="shared" si="48"/>
        <v>135.33030558297088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2.9818659009225992</v>
      </c>
      <c r="FS61" s="21">
        <f>EXP(-LN(2)/2)*FS60+(1-EXP(-LN(2)/2))/(LN(2)/2)*FM61*FP61*VLOOKUP('Données projet'!$B$16,Paramètres!$A$1:$I$89,3,0)*0.475*44/12</f>
        <v>0.57916374766554013</v>
      </c>
      <c r="FT61" s="22">
        <f t="shared" si="24"/>
        <v>3.5610296485881392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10.107499999999998</v>
      </c>
      <c r="N62" s="13">
        <f>IF('Données projet'!$A$36&gt;35,N61+M62-V61,IF(A62&lt;'Données projet'!$A$36,$K$205^A62,IF(A62='Données projet'!$A$36,'Données projet'!$B$36,N61+M62-V61)))</f>
        <v>216.0175000000003</v>
      </c>
      <c r="O62" s="13">
        <f>N62*VLOOKUP('Données projet'!$B$9,Paramètres!$A$1:$I$89,3,0)*VLOOKUP('Données projet'!$B$9,Paramètres!$A$1:$I$89,5,0)</f>
        <v>219.0417450000003</v>
      </c>
      <c r="P62" s="13">
        <f t="shared" si="33"/>
        <v>53.906560847753887</v>
      </c>
      <c r="Q62" s="20">
        <f t="shared" si="53"/>
        <v>475.38496601817178</v>
      </c>
      <c r="R62" s="59">
        <f t="shared" si="0"/>
        <v>768.71829935150504</v>
      </c>
      <c r="S62" s="59">
        <f ca="1">AVERAGE(OFFSET($R$3,0,0,'Données projet'!$E$9+1,1))-AVERAGE(OFFSET($H$3,0,0,'Données projet'!$E$9+1,1))</f>
        <v>706.69239849991595</v>
      </c>
      <c r="T62" s="59">
        <f t="shared" si="34"/>
        <v>310.59887275116529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39.758667382543003</v>
      </c>
      <c r="AB62" s="21">
        <f>EXP(-LN(2)/2)*AB61+(1-EXP(-LN(2)/2))/(LN(2)/2)*V62*Y62*VLOOKUP('Données projet'!$B$9,Paramètres!$A$1:$I$89,3,0)*0.475*44/12</f>
        <v>6.8071069630522869</v>
      </c>
      <c r="AC62" s="22">
        <f t="shared" si="3"/>
        <v>46.565774345595287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3.2051282051282071</v>
      </c>
      <c r="AI62" s="13">
        <f>IF('Données projet'!$A$62&gt;35,AI61+AH62-AQ61,IF(A62&lt;'Données projet'!$A$62,$AF$205^A62,IF(A62='Données projet'!$A$62,'Données projet'!$B$62,AI61+AH62-AQ61)))</f>
        <v>117.94871794871788</v>
      </c>
      <c r="AJ62" s="13">
        <f>AI62*VLOOKUP('Données projet'!$B$10,Paramètres!$A$1:$I$89,3,0)*VLOOKUP('Données projet'!$B$10,Paramètres!$A$1:$I$89,5,0)</f>
        <v>123.27999999999996</v>
      </c>
      <c r="AK62" s="13">
        <f t="shared" si="35"/>
        <v>32.438800661224256</v>
      </c>
      <c r="AL62" s="20">
        <f t="shared" si="4"/>
        <v>271.21024448496547</v>
      </c>
      <c r="AM62" s="59">
        <f t="shared" si="5"/>
        <v>564.54357781829879</v>
      </c>
      <c r="AN62" s="59">
        <f ca="1">AVERAGE(OFFSET($AM$3,0,0,'Données projet'!$E$10+1,1))-AVERAGE(OFFSET($H$3,0,0,'Données projet'!$E$10+1,1))</f>
        <v>239.26156489359892</v>
      </c>
      <c r="AO62" s="59">
        <f t="shared" si="36"/>
        <v>213.97034450798111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14.339980002006453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14.339980002006453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5.2</v>
      </c>
      <c r="BD62" s="12">
        <f>IF('Données projet'!$A$88&gt;35,BD61+BC62-BL61,IF(A62&lt;'Données projet'!$A$88,$BA$205^A62,IF(A62='Données projet'!$A$88,'Données projet'!$B$88,BD61+BC62-BL61)))</f>
        <v>239.79999999999984</v>
      </c>
      <c r="BE62" s="13">
        <f>BD62*VLOOKUP('Données projet'!$B$11,Paramètres!$A$1:$I$89,3,0)*VLOOKUP('Données projet'!$B$11,Paramètres!$A$1:$I$89,5,0)</f>
        <v>209.48927999999989</v>
      </c>
      <c r="BF62" s="13">
        <f t="shared" si="37"/>
        <v>51.823964717594365</v>
      </c>
      <c r="BG62" s="20">
        <f t="shared" si="7"/>
        <v>455.12056788314334</v>
      </c>
      <c r="BH62" s="59">
        <f t="shared" si="8"/>
        <v>748.45390121647665</v>
      </c>
      <c r="BI62" s="59">
        <f ca="1">AVERAGE(OFFSET($BH$3,0,0,'Données projet'!$E$11+1,1))-AVERAGE(OFFSET($H$3,0,0,'Données projet'!$E$11+1,1))</f>
        <v>324.86930206492627</v>
      </c>
      <c r="BJ62" s="59">
        <f t="shared" si="38"/>
        <v>317.03005098025352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10.177262159223487</v>
      </c>
      <c r="BQ62" s="21">
        <f>EXP(-LN(2)/25)*BQ61+(1-EXP(-LN(2)/25))/(LN(2)/25)*Calculateur!BL62*Calculateur!BN62*VLOOKUP('Données projet'!$B$11,Paramètres!$A$1:$I$89,3,0)*0.475*44/12</f>
        <v>13.777402294389228</v>
      </c>
      <c r="BR62" s="21">
        <f>EXP(-LN(2)/2)*BR61+(1-EXP(-LN(2)/2))/(LN(2)/2)*BL62*BO62*VLOOKUP('Données projet'!$B$11,Paramètres!$A$1:$I$89,3,0)*0.475*44/12</f>
        <v>0.86962961295681163</v>
      </c>
      <c r="BS62" s="22">
        <f t="shared" si="9"/>
        <v>24.824294066569525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3.3603333333333336</v>
      </c>
      <c r="BY62" s="12">
        <f>IF('Données projet'!$A$114&gt;35,BY61+BX62-CG61,IF(A62&lt;'Données projet'!$A$114,$BV$205^A62,IF(A62='Données projet'!$A$114,'Données projet'!$B$114,BY61+BX62-CG61)))</f>
        <v>198.25966666666656</v>
      </c>
      <c r="BZ62" s="13">
        <f>BY62*VLOOKUP('Données projet'!$B$12,Paramètres!$A$1:$I$89,3,0)*VLOOKUP('Données projet'!$B$12,Paramètres!$A$1:$I$89,5,0)</f>
        <v>225.77810839999987</v>
      </c>
      <c r="CA62" s="13">
        <f t="shared" si="39"/>
        <v>55.368827891142729</v>
      </c>
      <c r="CB62" s="20">
        <f t="shared" si="10"/>
        <v>489.66424737373995</v>
      </c>
      <c r="CC62" s="59">
        <f t="shared" si="11"/>
        <v>782.99758070707321</v>
      </c>
      <c r="CD62" s="59">
        <f ca="1">AVERAGE(OFFSET($CC$3,0,0,'Données projet'!$E$12+1,1))-AVERAGE(OFFSET($H$3,0,0,'Données projet'!$E$12+1,1))</f>
        <v>593.28343396240075</v>
      </c>
      <c r="CE62" s="59">
        <f t="shared" si="40"/>
        <v>289.66477662068695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10.107499999999998</v>
      </c>
      <c r="CT62" s="12">
        <f>IF('Données projet'!$A$140&gt;35,CT61+CS62-DB61,IF(A62&lt;'Données projet'!$A$140,$CQ$205^A62,IF(A62='Données projet'!$A$140,'Données projet'!$B$140,CT61+CS62-DB61)))</f>
        <v>216.0175000000003</v>
      </c>
      <c r="CU62" s="17">
        <f>CT62*VLOOKUP('Données projet'!$B$13,Paramètres!$A$1:$I$89,3,0)*VLOOKUP('Données projet'!$B$13,Paramètres!$A$1:$I$89,5,0)</f>
        <v>232.52123700000033</v>
      </c>
      <c r="CV62" s="13">
        <f t="shared" si="41"/>
        <v>56.827485531211536</v>
      </c>
      <c r="CW62" s="20">
        <f t="shared" si="13"/>
        <v>503.94902507519402</v>
      </c>
      <c r="CX62" s="59">
        <f t="shared" si="14"/>
        <v>797.28235840852733</v>
      </c>
      <c r="CY62" s="59">
        <f ca="1">AVERAGE(OFFSET($CX$3,0,0,'Données projet'!$E$13+1,1))-AVERAGE(OFFSET($H$3,0,0,'Données projet'!$E$13+1,1))</f>
        <v>747.18304127457918</v>
      </c>
      <c r="CZ62" s="59">
        <f t="shared" si="42"/>
        <v>327.03701004966723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42.2053546060841</v>
      </c>
      <c r="DH62" s="21">
        <f>EXP(-LN(2)/2)*DH61+(1-EXP(-LN(2)/2))/(LN(2)/2)*DB62*DE62*VLOOKUP('Données projet'!$B$13,Paramètres!$A$1:$I$89,3,0)*0.475*44/12</f>
        <v>7.2260058530862743</v>
      </c>
      <c r="DI62" s="22">
        <f t="shared" si="15"/>
        <v>49.431360459170378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6.2</v>
      </c>
      <c r="DO62" s="12">
        <f>IF('Données projet'!$A$166&gt;35,DO61+DN62-DW61,IF(A62&lt;'Données projet'!$A$166,$DL$205^A62,IF(A62='Données projet'!$A$166,'Données projet'!$B$166,DO61+DN62-DW61)))</f>
        <v>287.7999999999999</v>
      </c>
      <c r="DP62" s="17">
        <f>DO62*VLOOKUP('Données projet'!$B$14,Paramètres!$A$1:$I$89,3,0)*VLOOKUP('Données projet'!$B$14,Paramètres!$A$1:$I$89,5,0)</f>
        <v>228.97367999999994</v>
      </c>
      <c r="DQ62" s="13">
        <f t="shared" si="43"/>
        <v>56.060709423888284</v>
      </c>
      <c r="DR62" s="20">
        <f t="shared" si="16"/>
        <v>496.43489491327199</v>
      </c>
      <c r="DS62" s="59">
        <f t="shared" si="17"/>
        <v>789.7682282466053</v>
      </c>
      <c r="DT62" s="59">
        <f ca="1">AVERAGE(OFFSET($DS$3,0,0,'Données projet'!$E$14+1,1))-AVERAGE(OFFSET($H$3,0,0,'Données projet'!$E$14+1,1))</f>
        <v>353.37479213497227</v>
      </c>
      <c r="DU62" s="59">
        <f t="shared" si="44"/>
        <v>345.4750813433123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13.326981523084017</v>
      </c>
      <c r="EB62" s="21">
        <f>EXP(-LN(2)/25)*EB61+(1-EXP(-LN(2)/25))/(LN(2)/25)*Calculateur!DW62*Calculateur!DY62*VLOOKUP('Données projet'!$B$14,Paramètres!$A$1:$I$89,3,0)*0.475*44/12</f>
        <v>15.63315084392991</v>
      </c>
      <c r="EC62" s="21">
        <f>EXP(-LN(2)/2)*EC61+(1-EXP(-LN(2)/2))/(LN(2)/2)*DW62*DZ62*VLOOKUP('Données projet'!$B$14,Paramètres!$A$1:$I$89,3,0)*0.475*44/12</f>
        <v>0.95445890725833005</v>
      </c>
      <c r="ED62" s="22">
        <f t="shared" si="18"/>
        <v>29.914591274272258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21.962</v>
      </c>
      <c r="EJ62" s="12">
        <f>IF('Données projet'!$A$192&gt;35,EJ61+EI62-ER61,IF(A62&lt;'Données projet'!$A$192,$EG$205^A62,IF(A62='Données projet'!$A$192,'Données projet'!$B$192,EJ61+EI62-ER61)))</f>
        <v>333.53199999999964</v>
      </c>
      <c r="EK62" s="17">
        <f>EJ62*VLOOKUP('Données projet'!$B$15,Paramètres!$A$1:$I$89,3,0)*VLOOKUP('Données projet'!$B$15,Paramètres!$A$1:$I$89,5,0)</f>
        <v>156.09297599999982</v>
      </c>
      <c r="EL62" s="13">
        <f t="shared" si="45"/>
        <v>39.960011306812916</v>
      </c>
      <c r="EM62" s="20">
        <f t="shared" si="19"/>
        <v>341.45895289269879</v>
      </c>
      <c r="EN62" s="59">
        <f t="shared" si="20"/>
        <v>634.79228622603205</v>
      </c>
      <c r="EO62" s="59">
        <f ca="1">AVERAGE(OFFSET($EN$3,0,0,'Données projet'!$E$15+1,1))-AVERAGE(OFFSET($H$3,0,0,'Données projet'!$E$15+1,1))</f>
        <v>433.05041777893922</v>
      </c>
      <c r="EP62" s="59">
        <f t="shared" si="46"/>
        <v>591.24088611958996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129.3861231079367</v>
      </c>
      <c r="EW62" s="21">
        <f>EXP(-LN(2)/25)*EW61+(1-EXP(-LN(2)/25))/(LN(2)/25)*Calculateur!ER62*Calculateur!ET62*VLOOKUP('Données projet'!$B$15,Paramètres!$A$1:$I$89,3,0)*0.475*44/12</f>
        <v>57.189626792129872</v>
      </c>
      <c r="EX62" s="21">
        <f>EXP(-LN(2)/2)*EX61+(1-EXP(-LN(2)/2))/(LN(2)/2)*ER62*EU62*VLOOKUP('Données projet'!$B$15,Paramètres!$A$1:$I$89,3,0)*0.475*44/12</f>
        <v>10.730116317235847</v>
      </c>
      <c r="EY62" s="22">
        <f t="shared" si="21"/>
        <v>197.30586621730242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2.6923076923076907</v>
      </c>
      <c r="FE62" s="12">
        <f>IF('Données projet'!$A$218&gt;35,FE61+FD62-FM61,IF(A62&lt;'Données projet'!$A$218,$FB$205^A62,IF(A62='Données projet'!$A$218,'Données projet'!$B$218,FE61+FD62-FM61)))</f>
        <v>99.871794871794847</v>
      </c>
      <c r="FF62" s="17">
        <f>FE62*VLOOKUP('Données projet'!$B$16,Paramètres!$A$1:$I$89,3,0)*VLOOKUP('Données projet'!$B$16,Paramètres!$A$1:$I$89,5,0)</f>
        <v>81.015999999999991</v>
      </c>
      <c r="FG62" s="13">
        <f t="shared" si="47"/>
        <v>22.385418657388872</v>
      </c>
      <c r="FH62" s="20">
        <f t="shared" si="22"/>
        <v>180.09080416161893</v>
      </c>
      <c r="FI62" s="59">
        <f t="shared" si="23"/>
        <v>473.42413749495222</v>
      </c>
      <c r="FJ62" s="59">
        <f ca="1">AVERAGE(OFFSET($FI$3,0,0,'Données projet'!$E$16+1,1))-AVERAGE(OFFSET($H$3,0,0,'Données projet'!$E$16+1,1))</f>
        <v>159.4660488566085</v>
      </c>
      <c r="FK62" s="59">
        <f t="shared" si="48"/>
        <v>135.33030558297088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2.9003266210523582</v>
      </c>
      <c r="FS62" s="21">
        <f>EXP(-LN(2)/2)*FS61+(1-EXP(-LN(2)/2))/(LN(2)/2)*FM62*FP62*VLOOKUP('Données projet'!$B$16,Paramètres!$A$1:$I$89,3,0)*0.475*44/12</f>
        <v>0.40953061339171792</v>
      </c>
      <c r="FT62" s="22">
        <f t="shared" si="24"/>
        <v>3.3098572344440762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10.107499999999998</v>
      </c>
      <c r="N63" s="13">
        <f>IF('Données projet'!$A$36&gt;35,N62+M63-V62,IF(A63&lt;'Données projet'!$A$36,$K$205^A63,IF(A63='Données projet'!$A$36,'Données projet'!$B$36,N62+M63-V62)))</f>
        <v>226.12500000000028</v>
      </c>
      <c r="O63" s="13">
        <f>N63*VLOOKUP('Données projet'!$B$9,Paramètres!$A$1:$I$89,3,0)*VLOOKUP('Données projet'!$B$9,Paramètres!$A$1:$I$89,5,0)</f>
        <v>229.29075000000029</v>
      </c>
      <c r="P63" s="13">
        <f t="shared" si="33"/>
        <v>56.129297544192028</v>
      </c>
      <c r="Q63" s="20">
        <f t="shared" si="53"/>
        <v>497.1065828061349</v>
      </c>
      <c r="R63" s="59">
        <f t="shared" si="0"/>
        <v>790.43991613946821</v>
      </c>
      <c r="S63" s="59">
        <f ca="1">AVERAGE(OFFSET($R$3,0,0,'Données projet'!$E$9+1,1))-AVERAGE(OFFSET($H$3,0,0,'Données projet'!$E$9+1,1))</f>
        <v>706.69239849991595</v>
      </c>
      <c r="T63" s="59">
        <f t="shared" si="34"/>
        <v>310.59887275116529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38.671464532149919</v>
      </c>
      <c r="AB63" s="21">
        <f>EXP(-LN(2)/2)*AB62+(1-EXP(-LN(2)/2))/(LN(2)/2)*V63*Y63*VLOOKUP('Données projet'!$B$9,Paramètres!$A$1:$I$89,3,0)*0.475*44/12</f>
        <v>4.8133514938364375</v>
      </c>
      <c r="AC63" s="22">
        <f t="shared" si="3"/>
        <v>43.484816025986355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121.15384615384616</v>
      </c>
      <c r="AG63" s="12">
        <f>VLOOKUP(A63,'Données projet'!$A$61:$I$81,9,0)</f>
        <v>3.2051282051282071</v>
      </c>
      <c r="AH63" s="12">
        <f t="array" ref="AH63">INDEX(AG:AG,MIN(IF(ISNUMBER(AG63:AG259),ROW(AG63:AG259),"")))</f>
        <v>3.2051282051282071</v>
      </c>
      <c r="AI63" s="13">
        <f>IF('Données projet'!$A$62&gt;35,AI62+AH63-AQ62,IF(A63&lt;'Données projet'!$A$62,$AF$205^A63,IF(A63='Données projet'!$A$62,'Données projet'!$B$62,AI62+AH63-AQ62)))</f>
        <v>121.15384615384609</v>
      </c>
      <c r="AJ63" s="13">
        <f>AI63*VLOOKUP('Données projet'!$B$10,Paramètres!$A$1:$I$89,3,0)*VLOOKUP('Données projet'!$B$10,Paramètres!$A$1:$I$89,5,0)</f>
        <v>126.62999999999995</v>
      </c>
      <c r="AK63" s="13">
        <f t="shared" si="35"/>
        <v>33.216464931527199</v>
      </c>
      <c r="AL63" s="20">
        <f t="shared" si="4"/>
        <v>278.39925975574312</v>
      </c>
      <c r="AM63" s="59">
        <f t="shared" si="5"/>
        <v>571.73259308907643</v>
      </c>
      <c r="AN63" s="59">
        <f ca="1">AVERAGE(OFFSET($AM$3,0,0,'Données projet'!$E$10+1,1))-AVERAGE(OFFSET($H$3,0,0,'Données projet'!$E$10+1,1))</f>
        <v>239.26156489359892</v>
      </c>
      <c r="AO63" s="59">
        <f t="shared" si="36"/>
        <v>213.97034450798111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10.256410256410255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0.215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16.485708619100112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16.485708619100112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245</v>
      </c>
      <c r="BB63" s="12">
        <f>VLOOKUP(A63,'Données projet'!$A$87:$I$107,9,0)</f>
        <v>5.2</v>
      </c>
      <c r="BC63" s="12">
        <f t="array" ref="BC63">INDEX(BB:BB,MIN(IF(ISNUMBER(BB63:BB259),ROW(BB63:BB259),"")))</f>
        <v>5.2</v>
      </c>
      <c r="BD63" s="12">
        <f>IF('Données projet'!$A$88&gt;35,BD62+BC63-BL62,IF(A63&lt;'Données projet'!$A$88,$BA$205^A63,IF(A63='Données projet'!$A$88,'Données projet'!$B$88,BD62+BC63-BL62)))</f>
        <v>244.99999999999983</v>
      </c>
      <c r="BE63" s="13">
        <f>BD63*VLOOKUP('Données projet'!$B$11,Paramètres!$A$1:$I$89,3,0)*VLOOKUP('Données projet'!$B$11,Paramètres!$A$1:$I$89,5,0)</f>
        <v>214.03199999999987</v>
      </c>
      <c r="BF63" s="13">
        <f t="shared" si="37"/>
        <v>52.815701536972192</v>
      </c>
      <c r="BG63" s="20">
        <f t="shared" si="7"/>
        <v>464.7597468435597</v>
      </c>
      <c r="BH63" s="59">
        <f t="shared" si="8"/>
        <v>758.09308017689295</v>
      </c>
      <c r="BI63" s="59">
        <f ca="1">AVERAGE(OFFSET($BH$3,0,0,'Données projet'!$E$11+1,1))-AVERAGE(OFFSET($H$3,0,0,'Données projet'!$E$11+1,1))</f>
        <v>324.86930206492627</v>
      </c>
      <c r="BJ63" s="59">
        <f t="shared" si="38"/>
        <v>317.03005098025352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12</v>
      </c>
      <c r="BM63" s="16">
        <f>IF(ISNA(VLOOKUP(A63,'Données projet'!$A$87:$I$107,5,0)),0%,VLOOKUP(A63,'Données projet'!$A$87:$I$107,5,0)*VLOOKUP('Données projet'!$B$11,Paramètres!$A$1:$I$89,7,0))</f>
        <v>0.13250000000000001</v>
      </c>
      <c r="BN63" s="16">
        <f>IF(ISNA(VLOOKUP(A63,'Données projet'!$A$87:$I$107,6,0)),0%,VLOOKUP(A63,'Données projet'!$A$87:$I$107,6,0)*VLOOKUP('Données projet'!$B$11,Paramètres!$A$1:$I$89,7,0))</f>
        <v>0.13250000000000001</v>
      </c>
      <c r="BO63" s="16">
        <f>IF(ISNA(VLOOKUP(A63,'Données projet'!$A$87:$I$107,7,0)),0%,VLOOKUP(A63,'Données projet'!$A$87:$I$107,7,0))</f>
        <v>0.25</v>
      </c>
      <c r="BP63" s="21">
        <f>EXP(-LN(2)/35)*BP62+(1-EXP(-LN(2)/35))/(LN(2)/35)*BL63*BM63*VLOOKUP('Données projet'!$B$11,Paramètres!$A$1:$I$89,3,0)*0.475*44/12</f>
        <v>11.513217144258466</v>
      </c>
      <c r="BQ63" s="21">
        <f>EXP(-LN(2)/25)*BQ62+(1-EXP(-LN(2)/25))/(LN(2)/25)*Calculateur!BL63*Calculateur!BN63*VLOOKUP('Données projet'!$B$11,Paramètres!$A$1:$I$89,3,0)*0.475*44/12</f>
        <v>14.930137446020712</v>
      </c>
      <c r="BR63" s="21">
        <f>EXP(-LN(2)/2)*BR62+(1-EXP(-LN(2)/2))/(LN(2)/2)*BL63*BO63*VLOOKUP('Données projet'!$B$11,Paramètres!$A$1:$I$89,3,0)*0.475*44/12</f>
        <v>3.0877163342401959</v>
      </c>
      <c r="BS63" s="22">
        <f t="shared" si="9"/>
        <v>29.531070924519373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201.62</v>
      </c>
      <c r="BW63" s="12">
        <f>VLOOKUP(A63,'Données projet'!$A$113:$I$133,9,0)</f>
        <v>3.3603333333333336</v>
      </c>
      <c r="BX63" s="12">
        <f t="array" ref="BX63">INDEX(BW:BW,MIN(IF(ISNUMBER(BW63:BW259),ROW(BW63:BW259),"")))</f>
        <v>3.3603333333333336</v>
      </c>
      <c r="BY63" s="12">
        <f>IF('Données projet'!$A$114&gt;35,BY62+BX63-CG62,IF(A63&lt;'Données projet'!$A$114,$BV$205^A63,IF(A63='Données projet'!$A$114,'Données projet'!$B$114,BY62+BX63-CG62)))</f>
        <v>201.61999999999989</v>
      </c>
      <c r="BZ63" s="13">
        <f>BY63*VLOOKUP('Données projet'!$B$12,Paramètres!$A$1:$I$89,3,0)*VLOOKUP('Données projet'!$B$12,Paramètres!$A$1:$I$89,5,0)</f>
        <v>229.6048559999999</v>
      </c>
      <c r="CA63" s="13">
        <f t="shared" si="39"/>
        <v>56.19723361144181</v>
      </c>
      <c r="CB63" s="20">
        <f t="shared" si="10"/>
        <v>497.77197273992761</v>
      </c>
      <c r="CC63" s="59">
        <f t="shared" si="11"/>
        <v>791.10530607326086</v>
      </c>
      <c r="CD63" s="59">
        <f ca="1">AVERAGE(OFFSET($CC$3,0,0,'Données projet'!$E$12+1,1))-AVERAGE(OFFSET($H$3,0,0,'Données projet'!$E$12+1,1))</f>
        <v>593.28343396240075</v>
      </c>
      <c r="CE63" s="59">
        <f t="shared" si="40"/>
        <v>289.66477662068695</v>
      </c>
      <c r="CF63" s="15">
        <f>IF(ISNA(VLOOKUP(A63,'Données projet'!$A$113:$I$133,3,0)),0,VLOOKUP(A63,'Données projet'!$A$113:$I$133,3,0))</f>
        <v>1</v>
      </c>
      <c r="CG63" s="15">
        <f>IF(ISNA(VLOOKUP(A63,'Données projet'!$A$113:$I$133,4,0)),0,VLOOKUP(A63,'Données projet'!$A$113:$I$133,4,0))</f>
        <v>72.87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0.34400000000000003</v>
      </c>
      <c r="CJ63" s="16">
        <f>IF(ISNA(VLOOKUP(A63,'Données projet'!$A$113:$I$133,7,0)),0%,VLOOKUP(A63,'Données projet'!$A$113:$I$133,7,0))</f>
        <v>0.2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31.433187477653828</v>
      </c>
      <c r="CM63" s="21">
        <f>EXP(-LN(2)/2)*CM62+(1-EXP(-LN(2)/2))/(LN(2)/2)*CG63*CJ63*VLOOKUP('Données projet'!$B$12,Paramètres!$A$1:$I$89,3,0)*0.475*44/12</f>
        <v>15.659594675439026</v>
      </c>
      <c r="CN63" s="22">
        <f t="shared" si="12"/>
        <v>47.092782153092855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10.107499999999998</v>
      </c>
      <c r="CT63" s="12">
        <f>IF('Données projet'!$A$140&gt;35,CT62+CS63-DB62,IF(A63&lt;'Données projet'!$A$140,$CQ$205^A63,IF(A63='Données projet'!$A$140,'Données projet'!$B$140,CT62+CS63-DB62)))</f>
        <v>226.12500000000028</v>
      </c>
      <c r="CU63" s="17">
        <f>CT63*VLOOKUP('Données projet'!$B$13,Paramètres!$A$1:$I$89,3,0)*VLOOKUP('Données projet'!$B$13,Paramètres!$A$1:$I$89,5,0)</f>
        <v>243.40095000000028</v>
      </c>
      <c r="CV63" s="13">
        <f t="shared" si="41"/>
        <v>59.170661120047022</v>
      </c>
      <c r="CW63" s="20">
        <f t="shared" si="13"/>
        <v>526.97888936741572</v>
      </c>
      <c r="CX63" s="59">
        <f t="shared" si="14"/>
        <v>820.31222270074909</v>
      </c>
      <c r="CY63" s="59">
        <f ca="1">AVERAGE(OFFSET($CX$3,0,0,'Données projet'!$E$13+1,1))-AVERAGE(OFFSET($H$3,0,0,'Données projet'!$E$13+1,1))</f>
        <v>747.18304127457918</v>
      </c>
      <c r="CZ63" s="59">
        <f t="shared" si="42"/>
        <v>327.03701004966723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41.051246964897594</v>
      </c>
      <c r="DH63" s="21">
        <f>EXP(-LN(2)/2)*DH62+(1-EXP(-LN(2)/2))/(LN(2)/2)*DB63*DE63*VLOOKUP('Données projet'!$B$13,Paramètres!$A$1:$I$89,3,0)*0.475*44/12</f>
        <v>5.1095577396109881</v>
      </c>
      <c r="DI63" s="22">
        <f t="shared" si="15"/>
        <v>46.160804704508578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294</v>
      </c>
      <c r="DM63" s="12">
        <f>VLOOKUP(A63,'Données projet'!$A$165:$I$185,9,0)</f>
        <v>6.2</v>
      </c>
      <c r="DN63" s="12">
        <f t="array" ref="DN63">INDEX(DM:DM,MIN(IF(ISNUMBER(DM63:DM259),ROW(DM63:DM259),"")))</f>
        <v>6.2</v>
      </c>
      <c r="DO63" s="12">
        <f>IF('Données projet'!$A$166&gt;35,DO62+DN63-DW62,IF(A63&lt;'Données projet'!$A$166,$DL$205^A63,IF(A63='Données projet'!$A$166,'Données projet'!$B$166,DO62+DN63-DW62)))</f>
        <v>293.99999999999989</v>
      </c>
      <c r="DP63" s="17">
        <f>DO63*VLOOKUP('Données projet'!$B$14,Paramètres!$A$1:$I$89,3,0)*VLOOKUP('Données projet'!$B$14,Paramètres!$A$1:$I$89,5,0)</f>
        <v>233.90639999999991</v>
      </c>
      <c r="DQ63" s="13">
        <f t="shared" si="43"/>
        <v>57.126506840778347</v>
      </c>
      <c r="DR63" s="20">
        <f t="shared" si="16"/>
        <v>506.88231274768879</v>
      </c>
      <c r="DS63" s="59">
        <f t="shared" si="17"/>
        <v>800.2156460810221</v>
      </c>
      <c r="DT63" s="59">
        <f ca="1">AVERAGE(OFFSET($DS$3,0,0,'Données projet'!$E$14+1,1))-AVERAGE(OFFSET($H$3,0,0,'Données projet'!$E$14+1,1))</f>
        <v>353.37479213497227</v>
      </c>
      <c r="DU63" s="59">
        <f t="shared" si="44"/>
        <v>345.4750813433123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14</v>
      </c>
      <c r="DX63" s="16">
        <f>IF(ISNA(VLOOKUP(A63,'Données projet'!$A$165:$I$185,5,0)),0%,VLOOKUP(A63,'Données projet'!$A$165:$I$185,5,0)*VLOOKUP('Données projet'!$B$14,Paramètres!$A$1:$I$89,7,0))</f>
        <v>0.13250000000000001</v>
      </c>
      <c r="DY63" s="16">
        <f>IF(ISNA(VLOOKUP(A63,'Données projet'!$A$165:$I$185,6,0)),0%,VLOOKUP(A63,'Données projet'!$A$165:$I$185,6,0)*VLOOKUP('Données projet'!$B$14,Paramètres!$A$1:$I$89,7,0))</f>
        <v>0.13250000000000001</v>
      </c>
      <c r="DZ63" s="16">
        <f>IF(ISNA(VLOOKUP(A63,'Données projet'!$A$165:$I$185,7,0)),0%,VLOOKUP(A63,'Données projet'!$A$165:$I$185,7,0))</f>
        <v>0.25</v>
      </c>
      <c r="EA63" s="21">
        <f>EXP(-LN(2)/35)*EA62+(1-EXP(-LN(2)/35))/(LN(2)/35)*DW63*DX63*VLOOKUP('Données projet'!$B$14,Paramètres!$A$1:$I$89,3,0)*0.475*44/12</f>
        <v>14.697142738061579</v>
      </c>
      <c r="EB63" s="21">
        <f>EXP(-LN(2)/25)*EB62+(1-EXP(-LN(2)/25))/(LN(2)/25)*Calculateur!DW63*Calculateur!DY63*VLOOKUP('Données projet'!$B$14,Paramètres!$A$1:$I$89,3,0)*0.475*44/12</f>
        <v>16.830732887752983</v>
      </c>
      <c r="EC63" s="21">
        <f>EXP(-LN(2)/2)*EC62+(1-EXP(-LN(2)/2))/(LN(2)/2)*DW63*DZ63*VLOOKUP('Données projet'!$B$14,Paramètres!$A$1:$I$89,3,0)*0.475*44/12</f>
        <v>3.3022494120964314</v>
      </c>
      <c r="ED63" s="22">
        <f t="shared" si="18"/>
        <v>34.830125037910996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21.962</v>
      </c>
      <c r="EJ63" s="12">
        <f>IF('Données projet'!$A$192&gt;35,EJ62+EI63-ER62,IF(A63&lt;'Données projet'!$A$192,$EG$205^A63,IF(A63='Données projet'!$A$192,'Données projet'!$B$192,EJ62+EI63-ER62)))</f>
        <v>355.49399999999963</v>
      </c>
      <c r="EK63" s="17">
        <f>EJ63*VLOOKUP('Données projet'!$B$15,Paramètres!$A$1:$I$89,3,0)*VLOOKUP('Données projet'!$B$15,Paramètres!$A$1:$I$89,5,0)</f>
        <v>166.37119199999981</v>
      </c>
      <c r="EL63" s="13">
        <f t="shared" si="45"/>
        <v>42.276273511489869</v>
      </c>
      <c r="EM63" s="20">
        <f t="shared" si="19"/>
        <v>363.39433576584452</v>
      </c>
      <c r="EN63" s="59">
        <f t="shared" si="20"/>
        <v>656.72766909917777</v>
      </c>
      <c r="EO63" s="59">
        <f ca="1">AVERAGE(OFFSET($EN$3,0,0,'Données projet'!$E$15+1,1))-AVERAGE(OFFSET($H$3,0,0,'Données projet'!$E$15+1,1))</f>
        <v>433.05041777893922</v>
      </c>
      <c r="EP63" s="59">
        <f t="shared" si="46"/>
        <v>591.24088611958996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126.84894015153267</v>
      </c>
      <c r="EW63" s="21">
        <f>EXP(-LN(2)/25)*EW62+(1-EXP(-LN(2)/25))/(LN(2)/25)*Calculateur!ER63*Calculateur!ET63*VLOOKUP('Données projet'!$B$15,Paramètres!$A$1:$I$89,3,0)*0.475*44/12</f>
        <v>55.625773440027316</v>
      </c>
      <c r="EX63" s="21">
        <f>EXP(-LN(2)/2)*EX62+(1-EXP(-LN(2)/2))/(LN(2)/2)*ER63*EU63*VLOOKUP('Données projet'!$B$15,Paramètres!$A$1:$I$89,3,0)*0.475*44/12</f>
        <v>7.5873380108378923</v>
      </c>
      <c r="EY63" s="22">
        <f t="shared" si="21"/>
        <v>190.06205160239787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102.56410256410257</v>
      </c>
      <c r="FC63" s="12">
        <f>VLOOKUP(A63,'Données projet'!$A$217:$I$237,9,0)</f>
        <v>2.6923076923076907</v>
      </c>
      <c r="FD63" s="12">
        <f t="array" ref="FD63">INDEX(FC:FC,MIN(IF(ISNUMBER(FC63:FC259),ROW(FC63:FC259),"")))</f>
        <v>2.6923076923076907</v>
      </c>
      <c r="FE63" s="12">
        <f>IF('Données projet'!$A$218&gt;35,FE62+FD63-FM62,IF(A63&lt;'Données projet'!$A$218,$FB$205^A63,IF(A63='Données projet'!$A$218,'Données projet'!$B$218,FE62+FD63-FM62)))</f>
        <v>102.56410256410254</v>
      </c>
      <c r="FF63" s="17">
        <f>FE63*VLOOKUP('Données projet'!$B$16,Paramètres!$A$1:$I$89,3,0)*VLOOKUP('Données projet'!$B$16,Paramètres!$A$1:$I$89,5,0)</f>
        <v>83.199999999999989</v>
      </c>
      <c r="FG63" s="13">
        <f t="shared" si="47"/>
        <v>22.917805851806389</v>
      </c>
      <c r="FH63" s="20">
        <f t="shared" si="22"/>
        <v>184.82184519189613</v>
      </c>
      <c r="FI63" s="59">
        <f t="shared" si="23"/>
        <v>478.15517852522942</v>
      </c>
      <c r="FJ63" s="59">
        <f ca="1">AVERAGE(OFFSET($FI$3,0,0,'Données projet'!$E$16+1,1))-AVERAGE(OFFSET($H$3,0,0,'Données projet'!$E$16+1,1))</f>
        <v>159.4660488566085</v>
      </c>
      <c r="FK63" s="59">
        <f t="shared" si="48"/>
        <v>135.33030558297088</v>
      </c>
      <c r="FL63" s="15">
        <f>IF(ISNA(VLOOKUP(A63,'Données projet'!$A$217:$I$237,3,0)),0,VLOOKUP(A63,'Données projet'!$A$217:$I$237,3,0))</f>
        <v>10</v>
      </c>
      <c r="FM63" s="15">
        <f>IF(ISNA(VLOOKUP(A63,'Données projet'!$A$217:$I$237,4,0)),0,VLOOKUP(A63,'Données projet'!$A$217:$I$237,4,0))</f>
        <v>7.0512820512820511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0.1075</v>
      </c>
      <c r="FP63" s="16">
        <f>IF(ISNA(VLOOKUP(A63,'Données projet'!$A$217:$I$237,7,0)),0%,VLOOKUP(A63,'Données projet'!$A$217:$I$237,7,0))</f>
        <v>0.25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3.4980943239863573</v>
      </c>
      <c r="FS63" s="21">
        <f>EXP(-LN(2)/2)*FS62+(1-EXP(-LN(2)/2))/(LN(2)/2)*FM63*FP63*VLOOKUP('Données projet'!$B$16,Paramètres!$A$1:$I$89,3,0)*0.475*44/12</f>
        <v>1.6388253617184754</v>
      </c>
      <c r="FT63" s="22">
        <f t="shared" si="24"/>
        <v>5.1369196857048323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10.107499999999998</v>
      </c>
      <c r="N64" s="13">
        <f>IF('Données projet'!$A$36&gt;35,N63+M64-V63,IF(A64&lt;'Données projet'!$A$36,$K$205^A64,IF(A64='Données projet'!$A$36,'Données projet'!$B$36,N63+M64-V63)))</f>
        <v>236.23250000000027</v>
      </c>
      <c r="O64" s="13">
        <f>N64*VLOOKUP('Données projet'!$B$9,Paramètres!$A$1:$I$89,3,0)*VLOOKUP('Données projet'!$B$9,Paramètres!$A$1:$I$89,5,0)</f>
        <v>239.5397550000003</v>
      </c>
      <c r="P64" s="13">
        <f t="shared" si="33"/>
        <v>58.340495468530364</v>
      </c>
      <c r="Q64" s="20">
        <f t="shared" si="53"/>
        <v>518.80810289935755</v>
      </c>
      <c r="R64" s="59">
        <f t="shared" si="0"/>
        <v>812.14143623269092</v>
      </c>
      <c r="S64" s="59">
        <f ca="1">AVERAGE(OFFSET($R$3,0,0,'Données projet'!$E$9+1,1))-AVERAGE(OFFSET($H$3,0,0,'Données projet'!$E$9+1,1))</f>
        <v>706.69239849991595</v>
      </c>
      <c r="T64" s="59">
        <f t="shared" si="34"/>
        <v>310.59887275116529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37.613991300874346</v>
      </c>
      <c r="AB64" s="21">
        <f>EXP(-LN(2)/2)*AB63+(1-EXP(-LN(2)/2))/(LN(2)/2)*V64*Y64*VLOOKUP('Données projet'!$B$9,Paramètres!$A$1:$I$89,3,0)*0.475*44/12</f>
        <v>3.4035534815261435</v>
      </c>
      <c r="AC64" s="22">
        <f t="shared" si="3"/>
        <v>41.017544782400492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2.8205128205128176</v>
      </c>
      <c r="AI64" s="13">
        <f>IF('Données projet'!$A$62&gt;35,AI63+AH64-AQ63,IF(A64&lt;'Données projet'!$A$62,$AF$205^A64,IF(A64='Données projet'!$A$62,'Données projet'!$B$62,AI63+AH64-AQ63)))</f>
        <v>113.71794871794864</v>
      </c>
      <c r="AJ64" s="13">
        <f>AI64*VLOOKUP('Données projet'!$B$10,Paramètres!$A$1:$I$89,3,0)*VLOOKUP('Données projet'!$B$10,Paramètres!$A$1:$I$89,5,0)</f>
        <v>118.85799999999992</v>
      </c>
      <c r="AK64" s="13">
        <f t="shared" si="35"/>
        <v>31.408498497995616</v>
      </c>
      <c r="AL64" s="20">
        <f t="shared" si="4"/>
        <v>261.71415155067552</v>
      </c>
      <c r="AM64" s="59">
        <f t="shared" si="5"/>
        <v>555.04748488400878</v>
      </c>
      <c r="AN64" s="59">
        <f ca="1">AVERAGE(OFFSET($AM$3,0,0,'Données projet'!$E$10+1,1))-AVERAGE(OFFSET($H$3,0,0,'Données projet'!$E$10+1,1))</f>
        <v>239.26156489359892</v>
      </c>
      <c r="AO64" s="59">
        <f t="shared" si="36"/>
        <v>213.97034450798111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16.03490604996508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16.03490604996508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4.4000000000000004</v>
      </c>
      <c r="BD64" s="12">
        <f>IF('Données projet'!$A$88&gt;35,BD63+BC64-BL63,IF(A64&lt;'Données projet'!$A$88,$BA$205^A64,IF(A64='Données projet'!$A$88,'Données projet'!$B$88,BD63+BC64-BL63)))</f>
        <v>237.39999999999984</v>
      </c>
      <c r="BE64" s="13">
        <f>BD64*VLOOKUP('Données projet'!$B$11,Paramètres!$A$1:$I$89,3,0)*VLOOKUP('Données projet'!$B$11,Paramètres!$A$1:$I$89,5,0)</f>
        <v>207.39263999999989</v>
      </c>
      <c r="BF64" s="13">
        <f t="shared" si="37"/>
        <v>51.365398298247158</v>
      </c>
      <c r="BG64" s="20">
        <f t="shared" si="7"/>
        <v>450.67025003611349</v>
      </c>
      <c r="BH64" s="59">
        <f t="shared" si="8"/>
        <v>744.0035833694468</v>
      </c>
      <c r="BI64" s="59">
        <f ca="1">AVERAGE(OFFSET($BH$3,0,0,'Données projet'!$E$11+1,1))-AVERAGE(OFFSET($H$3,0,0,'Données projet'!$E$11+1,1))</f>
        <v>324.86930206492627</v>
      </c>
      <c r="BJ64" s="59">
        <f t="shared" si="38"/>
        <v>317.03005098025352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11.287449978428613</v>
      </c>
      <c r="BQ64" s="21">
        <f>EXP(-LN(2)/25)*BQ63+(1-EXP(-LN(2)/25))/(LN(2)/25)*Calculateur!BL64*Calculateur!BN64*VLOOKUP('Données projet'!$B$11,Paramètres!$A$1:$I$89,3,0)*0.475*44/12</f>
        <v>14.521872052417471</v>
      </c>
      <c r="BR64" s="21">
        <f>EXP(-LN(2)/2)*BR63+(1-EXP(-LN(2)/2))/(LN(2)/2)*BL64*BO64*VLOOKUP('Données projet'!$B$11,Paramètres!$A$1:$I$89,3,0)*0.475*44/12</f>
        <v>2.1833451583217109</v>
      </c>
      <c r="BS64" s="22">
        <f t="shared" si="9"/>
        <v>27.992667189167793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6.8933333333333326</v>
      </c>
      <c r="BY64" s="12">
        <f>IF('Données projet'!$A$114&gt;35,BY63+BX64-CG63,IF(A64&lt;'Données projet'!$A$114,$BV$205^A64,IF(A64='Données projet'!$A$114,'Données projet'!$B$114,BY63+BX64-CG63)))</f>
        <v>135.64333333333323</v>
      </c>
      <c r="BZ64" s="13">
        <f>BY64*VLOOKUP('Données projet'!$B$12,Paramètres!$A$1:$I$89,3,0)*VLOOKUP('Données projet'!$B$12,Paramètres!$A$1:$I$89,5,0)</f>
        <v>154.47062799999989</v>
      </c>
      <c r="CA64" s="13">
        <f t="shared" si="39"/>
        <v>39.592808820576636</v>
      </c>
      <c r="CB64" s="20">
        <f t="shared" si="10"/>
        <v>337.99381912917073</v>
      </c>
      <c r="CC64" s="59">
        <f t="shared" si="11"/>
        <v>631.32715246250405</v>
      </c>
      <c r="CD64" s="59">
        <f ca="1">AVERAGE(OFFSET($CC$3,0,0,'Données projet'!$E$12+1,1))-AVERAGE(OFFSET($H$3,0,0,'Données projet'!$E$12+1,1))</f>
        <v>593.28343396240075</v>
      </c>
      <c r="CE64" s="59">
        <f t="shared" si="40"/>
        <v>289.66477662068695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30.573645313077897</v>
      </c>
      <c r="CM64" s="21">
        <f>EXP(-LN(2)/2)*CM63+(1-EXP(-LN(2)/2))/(LN(2)/2)*CG64*CJ64*VLOOKUP('Données projet'!$B$12,Paramètres!$A$1:$I$89,3,0)*0.475*44/12</f>
        <v>11.073005585635689</v>
      </c>
      <c r="CN64" s="22">
        <f t="shared" si="12"/>
        <v>41.646650898713588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10.107499999999998</v>
      </c>
      <c r="CT64" s="12">
        <f>IF('Données projet'!$A$140&gt;35,CT63+CS64-DB63,IF(A64&lt;'Données projet'!$A$140,$CQ$205^A64,IF(A64='Données projet'!$A$140,'Données projet'!$B$140,CT63+CS64-DB63)))</f>
        <v>236.23250000000027</v>
      </c>
      <c r="CU64" s="17">
        <f>CT64*VLOOKUP('Données projet'!$B$13,Paramètres!$A$1:$I$89,3,0)*VLOOKUP('Données projet'!$B$13,Paramètres!$A$1:$I$89,5,0)</f>
        <v>254.28066300000029</v>
      </c>
      <c r="CV64" s="13">
        <f t="shared" si="41"/>
        <v>61.501672708912224</v>
      </c>
      <c r="CW64" s="20">
        <f t="shared" si="13"/>
        <v>549.98756802635592</v>
      </c>
      <c r="CX64" s="59">
        <f t="shared" si="14"/>
        <v>843.32090135968929</v>
      </c>
      <c r="CY64" s="59">
        <f ca="1">AVERAGE(OFFSET($CX$3,0,0,'Données projet'!$E$13+1,1))-AVERAGE(OFFSET($H$3,0,0,'Données projet'!$E$13+1,1))</f>
        <v>747.18304127457918</v>
      </c>
      <c r="CZ64" s="59">
        <f t="shared" si="42"/>
        <v>327.03701004966723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39.928698457851212</v>
      </c>
      <c r="DH64" s="21">
        <f>EXP(-LN(2)/2)*DH63+(1-EXP(-LN(2)/2))/(LN(2)/2)*DB64*DE64*VLOOKUP('Données projet'!$B$13,Paramètres!$A$1:$I$89,3,0)*0.475*44/12</f>
        <v>3.6130029265431376</v>
      </c>
      <c r="DI64" s="22">
        <f t="shared" si="15"/>
        <v>43.541701384394351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5.2</v>
      </c>
      <c r="DO64" s="12">
        <f>IF('Données projet'!$A$166&gt;35,DO63+DN64-DW63,IF(A64&lt;'Données projet'!$A$166,$DL$205^A64,IF(A64='Données projet'!$A$166,'Données projet'!$B$166,DO63+DN64-DW63)))</f>
        <v>285.19999999999987</v>
      </c>
      <c r="DP64" s="17">
        <f>DO64*VLOOKUP('Données projet'!$B$14,Paramètres!$A$1:$I$89,3,0)*VLOOKUP('Données projet'!$B$14,Paramètres!$A$1:$I$89,5,0)</f>
        <v>226.90511999999993</v>
      </c>
      <c r="DQ64" s="13">
        <f t="shared" si="43"/>
        <v>55.612969408444364</v>
      </c>
      <c r="DR64" s="20">
        <f t="shared" si="16"/>
        <v>492.05233905304044</v>
      </c>
      <c r="DS64" s="59">
        <f t="shared" si="17"/>
        <v>785.3856723863737</v>
      </c>
      <c r="DT64" s="59">
        <f ca="1">AVERAGE(OFFSET($DS$3,0,0,'Données projet'!$E$14+1,1))-AVERAGE(OFFSET($H$3,0,0,'Données projet'!$E$14+1,1))</f>
        <v>353.37479213497227</v>
      </c>
      <c r="DU64" s="59">
        <f t="shared" si="44"/>
        <v>345.4750813433123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14.408940733340105</v>
      </c>
      <c r="EB64" s="21">
        <f>EXP(-LN(2)/25)*EB63+(1-EXP(-LN(2)/25))/(LN(2)/25)*Calculateur!DW64*Calculateur!DY64*VLOOKUP('Données projet'!$B$14,Paramètres!$A$1:$I$89,3,0)*0.475*44/12</f>
        <v>16.370495611847602</v>
      </c>
      <c r="EC64" s="21">
        <f>EXP(-LN(2)/2)*EC63+(1-EXP(-LN(2)/2))/(LN(2)/2)*DW64*DZ64*VLOOKUP('Données projet'!$B$14,Paramètres!$A$1:$I$89,3,0)*0.475*44/12</f>
        <v>2.3350429524626768</v>
      </c>
      <c r="ED64" s="22">
        <f t="shared" si="18"/>
        <v>33.114479297650384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21.962</v>
      </c>
      <c r="EJ64" s="12">
        <f>IF('Données projet'!$A$192&gt;35,EJ63+EI64-ER63,IF(A64&lt;'Données projet'!$A$192,$EG$205^A64,IF(A64='Données projet'!$A$192,'Données projet'!$B$192,EJ63+EI64-ER63)))</f>
        <v>377.45599999999962</v>
      </c>
      <c r="EK64" s="17">
        <f>EJ64*VLOOKUP('Données projet'!$B$15,Paramètres!$A$1:$I$89,3,0)*VLOOKUP('Données projet'!$B$15,Paramètres!$A$1:$I$89,5,0)</f>
        <v>176.64940799999982</v>
      </c>
      <c r="EL64" s="13">
        <f t="shared" si="45"/>
        <v>44.575927943798298</v>
      </c>
      <c r="EM64" s="20">
        <f t="shared" si="19"/>
        <v>385.30079343544838</v>
      </c>
      <c r="EN64" s="59">
        <f t="shared" si="20"/>
        <v>678.6341267687817</v>
      </c>
      <c r="EO64" s="59">
        <f ca="1">AVERAGE(OFFSET($EN$3,0,0,'Données projet'!$E$15+1,1))-AVERAGE(OFFSET($H$3,0,0,'Données projet'!$E$15+1,1))</f>
        <v>433.05041777893922</v>
      </c>
      <c r="EP64" s="59">
        <f t="shared" si="46"/>
        <v>591.24088611958996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124.36150980537494</v>
      </c>
      <c r="EW64" s="21">
        <f>EXP(-LN(2)/25)*EW63+(1-EXP(-LN(2)/25))/(LN(2)/25)*Calculateur!ER64*Calculateur!ET64*VLOOKUP('Données projet'!$B$15,Paramètres!$A$1:$I$89,3,0)*0.475*44/12</f>
        <v>54.104683740077476</v>
      </c>
      <c r="EX64" s="21">
        <f>EXP(-LN(2)/2)*EX63+(1-EXP(-LN(2)/2))/(LN(2)/2)*ER64*EU64*VLOOKUP('Données projet'!$B$15,Paramètres!$A$1:$I$89,3,0)*0.475*44/12</f>
        <v>5.3650581586179245</v>
      </c>
      <c r="EY64" s="22">
        <f t="shared" si="21"/>
        <v>183.83125170407035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2.5641025641025634</v>
      </c>
      <c r="FE64" s="12">
        <f>IF('Données projet'!$A$218&gt;35,FE63+FD64-FM63,IF(A64&lt;'Données projet'!$A$218,$FB$205^A64,IF(A64='Données projet'!$A$218,'Données projet'!$B$218,FE63+FD64-FM63)))</f>
        <v>98.076923076923066</v>
      </c>
      <c r="FF64" s="17">
        <f>FE64*VLOOKUP('Données projet'!$B$16,Paramètres!$A$1:$I$89,3,0)*VLOOKUP('Données projet'!$B$16,Paramètres!$A$1:$I$89,5,0)</f>
        <v>79.559999999999988</v>
      </c>
      <c r="FG64" s="13">
        <f t="shared" si="47"/>
        <v>22.029567333453311</v>
      </c>
      <c r="FH64" s="20">
        <f t="shared" si="22"/>
        <v>176.93516310576447</v>
      </c>
      <c r="FI64" s="59">
        <f t="shared" si="23"/>
        <v>470.26849643909782</v>
      </c>
      <c r="FJ64" s="59">
        <f ca="1">AVERAGE(OFFSET($FI$3,0,0,'Données projet'!$E$16+1,1))-AVERAGE(OFFSET($H$3,0,0,'Données projet'!$E$16+1,1))</f>
        <v>159.4660488566085</v>
      </c>
      <c r="FK64" s="59">
        <f t="shared" si="48"/>
        <v>135.33030558297088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3.4024387507401648</v>
      </c>
      <c r="FS64" s="21">
        <f>EXP(-LN(2)/2)*FS63+(1-EXP(-LN(2)/2))/(LN(2)/2)*FM64*FP64*VLOOKUP('Données projet'!$B$16,Paramètres!$A$1:$I$89,3,0)*0.475*44/12</f>
        <v>1.1588245264516306</v>
      </c>
      <c r="FT64" s="22">
        <f t="shared" si="24"/>
        <v>4.5612632771917951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10.107499999999998</v>
      </c>
      <c r="N65" s="13">
        <f>IF('Données projet'!$A$36&gt;35,N64+M65-V64,IF(A65&lt;'Données projet'!$A$36,$K$205^A65,IF(A65='Données projet'!$A$36,'Données projet'!$B$36,N64+M65-V64)))</f>
        <v>246.34000000000026</v>
      </c>
      <c r="O65" s="13">
        <f>N65*VLOOKUP('Données projet'!$B$9,Paramètres!$A$1:$I$89,3,0)*VLOOKUP('Données projet'!$B$9,Paramètres!$A$1:$I$89,5,0)</f>
        <v>249.78876000000028</v>
      </c>
      <c r="P65" s="13">
        <f t="shared" si="33"/>
        <v>60.540704760493632</v>
      </c>
      <c r="Q65" s="20">
        <f t="shared" si="53"/>
        <v>540.49048445786013</v>
      </c>
      <c r="R65" s="59">
        <f t="shared" si="0"/>
        <v>833.82381779119351</v>
      </c>
      <c r="S65" s="59">
        <f ca="1">AVERAGE(OFFSET($R$3,0,0,'Données projet'!$E$9+1,1))-AVERAGE(OFFSET($H$3,0,0,'Données projet'!$E$9+1,1))</f>
        <v>706.69239849991595</v>
      </c>
      <c r="T65" s="59">
        <f t="shared" si="34"/>
        <v>310.59887275116529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36.585434730718106</v>
      </c>
      <c r="AB65" s="21">
        <f>EXP(-LN(2)/2)*AB64+(1-EXP(-LN(2)/2))/(LN(2)/2)*V65*Y65*VLOOKUP('Données projet'!$B$9,Paramètres!$A$1:$I$89,3,0)*0.475*44/12</f>
        <v>2.4066757469182187</v>
      </c>
      <c r="AC65" s="22">
        <f t="shared" si="3"/>
        <v>38.992110477636324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2.8205128205128176</v>
      </c>
      <c r="AI65" s="13">
        <f>IF('Données projet'!$A$62&gt;35,AI64+AH65-AQ64,IF(A65&lt;'Données projet'!$A$62,$AF$205^A65,IF(A65='Données projet'!$A$62,'Données projet'!$B$62,AI64+AH65-AQ64)))</f>
        <v>116.53846153846146</v>
      </c>
      <c r="AJ65" s="13">
        <f>AI65*VLOOKUP('Données projet'!$B$10,Paramètres!$A$1:$I$89,3,0)*VLOOKUP('Données projet'!$B$10,Paramètres!$A$1:$I$89,5,0)</f>
        <v>121.80599999999993</v>
      </c>
      <c r="AK65" s="13">
        <f t="shared" si="35"/>
        <v>32.09585223561038</v>
      </c>
      <c r="AL65" s="20">
        <f t="shared" si="4"/>
        <v>268.04572597702128</v>
      </c>
      <c r="AM65" s="59">
        <f t="shared" si="5"/>
        <v>561.37905931035459</v>
      </c>
      <c r="AN65" s="59">
        <f ca="1">AVERAGE(OFFSET($AM$3,0,0,'Données projet'!$E$10+1,1))-AVERAGE(OFFSET($H$3,0,0,'Données projet'!$E$10+1,1))</f>
        <v>239.26156489359892</v>
      </c>
      <c r="AO65" s="59">
        <f t="shared" si="36"/>
        <v>213.97034450798111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15.596430700789725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15.596430700789725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4.4000000000000004</v>
      </c>
      <c r="BD65" s="12">
        <f>IF('Données projet'!$A$88&gt;35,BD64+BC65-BL64,IF(A65&lt;'Données projet'!$A$88,$BA$205^A65,IF(A65='Données projet'!$A$88,'Données projet'!$B$88,BD64+BC65-BL64)))</f>
        <v>241.79999999999984</v>
      </c>
      <c r="BE65" s="13">
        <f>BD65*VLOOKUP('Données projet'!$B$11,Paramètres!$A$1:$I$89,3,0)*VLOOKUP('Données projet'!$B$11,Paramètres!$A$1:$I$89,5,0)</f>
        <v>211.23647999999989</v>
      </c>
      <c r="BF65" s="13">
        <f t="shared" si="37"/>
        <v>52.205695296687686</v>
      </c>
      <c r="BG65" s="20">
        <f t="shared" si="7"/>
        <v>458.82845530839751</v>
      </c>
      <c r="BH65" s="59">
        <f t="shared" si="8"/>
        <v>752.16178864173082</v>
      </c>
      <c r="BI65" s="59">
        <f ca="1">AVERAGE(OFFSET($BH$3,0,0,'Données projet'!$E$11+1,1))-AVERAGE(OFFSET($H$3,0,0,'Données projet'!$E$11+1,1))</f>
        <v>324.86930206492627</v>
      </c>
      <c r="BJ65" s="59">
        <f t="shared" si="38"/>
        <v>317.03005098025352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11.066109969016312</v>
      </c>
      <c r="BQ65" s="21">
        <f>EXP(-LN(2)/25)*BQ64+(1-EXP(-LN(2)/25))/(LN(2)/25)*Calculateur!BL65*Calculateur!BN65*VLOOKUP('Données projet'!$B$11,Paramètres!$A$1:$I$89,3,0)*0.475*44/12</f>
        <v>14.124770697472055</v>
      </c>
      <c r="BR65" s="21">
        <f>EXP(-LN(2)/2)*BR64+(1-EXP(-LN(2)/2))/(LN(2)/2)*BL65*BO65*VLOOKUP('Données projet'!$B$11,Paramètres!$A$1:$I$89,3,0)*0.475*44/12</f>
        <v>1.5438581671200982</v>
      </c>
      <c r="BS65" s="22">
        <f t="shared" si="9"/>
        <v>26.734738833608468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6.8933333333333326</v>
      </c>
      <c r="BY65" s="12">
        <f>IF('Données projet'!$A$114&gt;35,BY64+BX65-CG64,IF(A65&lt;'Données projet'!$A$114,$BV$205^A65,IF(A65='Données projet'!$A$114,'Données projet'!$B$114,BY64+BX65-CG64)))</f>
        <v>142.53666666666658</v>
      </c>
      <c r="BZ65" s="13">
        <f>BY65*VLOOKUP('Données projet'!$B$12,Paramètres!$A$1:$I$89,3,0)*VLOOKUP('Données projet'!$B$12,Paramètres!$A$1:$I$89,5,0)</f>
        <v>162.3207559999999</v>
      </c>
      <c r="CA65" s="13">
        <f t="shared" si="39"/>
        <v>41.365528881594308</v>
      </c>
      <c r="CB65" s="20">
        <f t="shared" si="10"/>
        <v>354.75361283544322</v>
      </c>
      <c r="CC65" s="59">
        <f t="shared" si="11"/>
        <v>648.08694616877654</v>
      </c>
      <c r="CD65" s="59">
        <f ca="1">AVERAGE(OFFSET($CC$3,0,0,'Données projet'!$E$12+1,1))-AVERAGE(OFFSET($H$3,0,0,'Données projet'!$E$12+1,1))</f>
        <v>593.28343396240075</v>
      </c>
      <c r="CE65" s="59">
        <f t="shared" si="40"/>
        <v>289.66477662068695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29.737607374193651</v>
      </c>
      <c r="CM65" s="21">
        <f>EXP(-LN(2)/2)*CM64+(1-EXP(-LN(2)/2))/(LN(2)/2)*CG65*CJ65*VLOOKUP('Données projet'!$B$12,Paramètres!$A$1:$I$89,3,0)*0.475*44/12</f>
        <v>7.8297973377195147</v>
      </c>
      <c r="CN65" s="22">
        <f t="shared" si="12"/>
        <v>37.567404711913163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10.107499999999998</v>
      </c>
      <c r="CT65" s="12">
        <f>IF('Données projet'!$A$140&gt;35,CT64+CS65-DB64,IF(A65&lt;'Données projet'!$A$140,$CQ$205^A65,IF(A65='Données projet'!$A$140,'Données projet'!$B$140,CT64+CS65-DB64)))</f>
        <v>246.34000000000026</v>
      </c>
      <c r="CU65" s="17">
        <f>CT65*VLOOKUP('Données projet'!$B$13,Paramètres!$A$1:$I$89,3,0)*VLOOKUP('Données projet'!$B$13,Paramètres!$A$1:$I$89,5,0)</f>
        <v>265.16037600000027</v>
      </c>
      <c r="CV65" s="13">
        <f t="shared" si="41"/>
        <v>63.821100246829246</v>
      </c>
      <c r="CW65" s="20">
        <f t="shared" si="13"/>
        <v>572.97607112989465</v>
      </c>
      <c r="CX65" s="59">
        <f t="shared" si="14"/>
        <v>866.30940446322802</v>
      </c>
      <c r="CY65" s="59">
        <f ca="1">AVERAGE(OFFSET($CX$3,0,0,'Données projet'!$E$13+1,1))-AVERAGE(OFFSET($H$3,0,0,'Données projet'!$E$13+1,1))</f>
        <v>747.18304127457918</v>
      </c>
      <c r="CZ65" s="59">
        <f t="shared" si="42"/>
        <v>327.03701004966723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38.83684609876228</v>
      </c>
      <c r="DH65" s="21">
        <f>EXP(-LN(2)/2)*DH64+(1-EXP(-LN(2)/2))/(LN(2)/2)*DB65*DE65*VLOOKUP('Données projet'!$B$13,Paramètres!$A$1:$I$89,3,0)*0.475*44/12</f>
        <v>2.5547788698054945</v>
      </c>
      <c r="DI65" s="22">
        <f t="shared" si="15"/>
        <v>41.391624968567776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5.2</v>
      </c>
      <c r="DO65" s="12">
        <f>IF('Données projet'!$A$166&gt;35,DO64+DN65-DW64,IF(A65&lt;'Données projet'!$A$166,$DL$205^A65,IF(A65='Données projet'!$A$166,'Données projet'!$B$166,DO64+DN65-DW64)))</f>
        <v>290.39999999999986</v>
      </c>
      <c r="DP65" s="17">
        <f>DO65*VLOOKUP('Données projet'!$B$14,Paramètres!$A$1:$I$89,3,0)*VLOOKUP('Données projet'!$B$14,Paramètres!$A$1:$I$89,5,0)</f>
        <v>231.04223999999991</v>
      </c>
      <c r="DQ65" s="13">
        <f t="shared" si="43"/>
        <v>56.507978852931409</v>
      </c>
      <c r="DR65" s="20">
        <f t="shared" si="16"/>
        <v>500.81663116885539</v>
      </c>
      <c r="DS65" s="59">
        <f t="shared" si="17"/>
        <v>794.14996450218871</v>
      </c>
      <c r="DT65" s="59">
        <f ca="1">AVERAGE(OFFSET($DS$3,0,0,'Données projet'!$E$14+1,1))-AVERAGE(OFFSET($H$3,0,0,'Données projet'!$E$14+1,1))</f>
        <v>353.37479213497227</v>
      </c>
      <c r="DU65" s="59">
        <f t="shared" si="44"/>
        <v>345.4750813433123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14.126390194145351</v>
      </c>
      <c r="EB65" s="21">
        <f>EXP(-LN(2)/25)*EB64+(1-EXP(-LN(2)/25))/(LN(2)/25)*Calculateur!DW65*Calculateur!DY65*VLOOKUP('Données projet'!$B$14,Paramètres!$A$1:$I$89,3,0)*0.475*44/12</f>
        <v>15.922843548454681</v>
      </c>
      <c r="EC65" s="21">
        <f>EXP(-LN(2)/2)*EC64+(1-EXP(-LN(2)/2))/(LN(2)/2)*DW65*DZ65*VLOOKUP('Données projet'!$B$14,Paramètres!$A$1:$I$89,3,0)*0.475*44/12</f>
        <v>1.6511247060482159</v>
      </c>
      <c r="ED65" s="22">
        <f t="shared" si="18"/>
        <v>31.700358448648245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21.962</v>
      </c>
      <c r="EJ65" s="12">
        <f>IF('Données projet'!$A$192&gt;35,EJ64+EI65-ER64,IF(A65&lt;'Données projet'!$A$192,$EG$205^A65,IF(A65='Données projet'!$A$192,'Données projet'!$B$192,EJ64+EI65-ER64)))</f>
        <v>399.41799999999961</v>
      </c>
      <c r="EK65" s="17">
        <f>EJ65*VLOOKUP('Données projet'!$B$15,Paramètres!$A$1:$I$89,3,0)*VLOOKUP('Données projet'!$B$15,Paramètres!$A$1:$I$89,5,0)</f>
        <v>186.92762399999984</v>
      </c>
      <c r="EL65" s="13">
        <f t="shared" si="45"/>
        <v>46.860050997732976</v>
      </c>
      <c r="EM65" s="20">
        <f t="shared" si="19"/>
        <v>407.18020062105126</v>
      </c>
      <c r="EN65" s="59">
        <f t="shared" si="20"/>
        <v>700.51353395438457</v>
      </c>
      <c r="EO65" s="59">
        <f ca="1">AVERAGE(OFFSET($EN$3,0,0,'Données projet'!$E$15+1,1))-AVERAGE(OFFSET($H$3,0,0,'Données projet'!$E$15+1,1))</f>
        <v>433.05041777893922</v>
      </c>
      <c r="EP65" s="59">
        <f t="shared" si="46"/>
        <v>591.24088611958996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121.92285645112266</v>
      </c>
      <c r="EW65" s="21">
        <f>EXP(-LN(2)/25)*EW64+(1-EXP(-LN(2)/25))/(LN(2)/25)*Calculateur!ER65*Calculateur!ET65*VLOOKUP('Données projet'!$B$15,Paramètres!$A$1:$I$89,3,0)*0.475*44/12</f>
        <v>52.625188317963399</v>
      </c>
      <c r="EX65" s="21">
        <f>EXP(-LN(2)/2)*EX64+(1-EXP(-LN(2)/2))/(LN(2)/2)*ER65*EU65*VLOOKUP('Données projet'!$B$15,Paramètres!$A$1:$I$89,3,0)*0.475*44/12</f>
        <v>3.7936690054189466</v>
      </c>
      <c r="EY65" s="22">
        <f t="shared" si="21"/>
        <v>178.341713774505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2.5641025641025634</v>
      </c>
      <c r="FE65" s="12">
        <f>IF('Données projet'!$A$218&gt;35,FE64+FD65-FM64,IF(A65&lt;'Données projet'!$A$218,$FB$205^A65,IF(A65='Données projet'!$A$218,'Données projet'!$B$218,FE64+FD65-FM64)))</f>
        <v>100.64102564102564</v>
      </c>
      <c r="FF65" s="17">
        <f>FE65*VLOOKUP('Données projet'!$B$16,Paramètres!$A$1:$I$89,3,0)*VLOOKUP('Données projet'!$B$16,Paramètres!$A$1:$I$89,5,0)</f>
        <v>81.64</v>
      </c>
      <c r="FG65" s="13">
        <f t="shared" si="47"/>
        <v>22.537697845766751</v>
      </c>
      <c r="FH65" s="20">
        <f t="shared" si="22"/>
        <v>181.44282374804376</v>
      </c>
      <c r="FI65" s="59">
        <f t="shared" si="23"/>
        <v>474.77615708137705</v>
      </c>
      <c r="FJ65" s="59">
        <f ca="1">AVERAGE(OFFSET($FI$3,0,0,'Données projet'!$E$16+1,1))-AVERAGE(OFFSET($H$3,0,0,'Données projet'!$E$16+1,1))</f>
        <v>159.4660488566085</v>
      </c>
      <c r="FK65" s="59">
        <f t="shared" si="48"/>
        <v>135.33030558297088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3.3093988841746973</v>
      </c>
      <c r="FS65" s="21">
        <f>EXP(-LN(2)/2)*FS64+(1-EXP(-LN(2)/2))/(LN(2)/2)*FM65*FP65*VLOOKUP('Données projet'!$B$16,Paramètres!$A$1:$I$89,3,0)*0.475*44/12</f>
        <v>0.8194126808592378</v>
      </c>
      <c r="FT65" s="22">
        <f t="shared" si="24"/>
        <v>4.128811565033935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10.107499999999998</v>
      </c>
      <c r="N66" s="13">
        <f>IF('Données projet'!$A$36&gt;35,N65+M66-V65,IF(A66&lt;'Données projet'!$A$36,$K$205^A66,IF(A66='Données projet'!$A$36,'Données projet'!$B$36,N65+M66-V65)))</f>
        <v>256.44750000000028</v>
      </c>
      <c r="O66" s="13">
        <f>N66*VLOOKUP('Données projet'!$B$9,Paramètres!$A$1:$I$89,3,0)*VLOOKUP('Données projet'!$B$9,Paramètres!$A$1:$I$89,5,0)</f>
        <v>260.03776500000026</v>
      </c>
      <c r="P66" s="13">
        <f t="shared" si="33"/>
        <v>62.730427859997341</v>
      </c>
      <c r="Q66" s="20">
        <f t="shared" si="53"/>
        <v>562.1546025644958</v>
      </c>
      <c r="R66" s="59">
        <f t="shared" si="0"/>
        <v>855.48793589782917</v>
      </c>
      <c r="S66" s="59">
        <f ca="1">AVERAGE(OFFSET($R$3,0,0,'Données projet'!$E$9+1,1))-AVERAGE(OFFSET($H$3,0,0,'Données projet'!$E$9+1,1))</f>
        <v>706.69239849991595</v>
      </c>
      <c r="T66" s="59">
        <f t="shared" si="34"/>
        <v>310.59887275116529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35.585004094062221</v>
      </c>
      <c r="AB66" s="21">
        <f>EXP(-LN(2)/2)*AB65+(1-EXP(-LN(2)/2))/(LN(2)/2)*V66*Y66*VLOOKUP('Données projet'!$B$9,Paramètres!$A$1:$I$89,3,0)*0.475*44/12</f>
        <v>1.7017767407630717</v>
      </c>
      <c r="AC66" s="22">
        <f t="shared" si="3"/>
        <v>37.286780834825294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2.8205128205128176</v>
      </c>
      <c r="AI66" s="13">
        <f>IF('Données projet'!$A$62&gt;35,AI65+AH66-AQ65,IF(A66&lt;'Données projet'!$A$62,$AF$205^A66,IF(A66='Données projet'!$A$62,'Données projet'!$B$62,AI65+AH66-AQ65)))</f>
        <v>119.35897435897428</v>
      </c>
      <c r="AJ66" s="13">
        <f>AI66*VLOOKUP('Données projet'!$B$10,Paramètres!$A$1:$I$89,3,0)*VLOOKUP('Données projet'!$B$10,Paramètres!$A$1:$I$89,5,0)</f>
        <v>124.75399999999992</v>
      </c>
      <c r="AK66" s="13">
        <f t="shared" si="35"/>
        <v>32.781272112057259</v>
      </c>
      <c r="AL66" s="20">
        <f t="shared" si="4"/>
        <v>274.37393226183292</v>
      </c>
      <c r="AM66" s="59">
        <f t="shared" si="5"/>
        <v>567.70726559516629</v>
      </c>
      <c r="AN66" s="59">
        <f ca="1">AVERAGE(OFFSET($AM$3,0,0,'Données projet'!$E$10+1,1))-AVERAGE(OFFSET($H$3,0,0,'Données projet'!$E$10+1,1))</f>
        <v>239.26156489359892</v>
      </c>
      <c r="AO66" s="59">
        <f t="shared" si="36"/>
        <v>213.97034450798111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15.169945483095985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15.169945483095985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4.4000000000000004</v>
      </c>
      <c r="BD66" s="12">
        <f>IF('Données projet'!$A$88&gt;35,BD65+BC66-BL65,IF(A66&lt;'Données projet'!$A$88,$BA$205^A66,IF(A66='Données projet'!$A$88,'Données projet'!$B$88,BD65+BC66-BL65)))</f>
        <v>246.19999999999985</v>
      </c>
      <c r="BE66" s="13">
        <f>BD66*VLOOKUP('Données projet'!$B$11,Paramètres!$A$1:$I$89,3,0)*VLOOKUP('Données projet'!$B$11,Paramètres!$A$1:$I$89,5,0)</f>
        <v>215.08031999999989</v>
      </c>
      <c r="BF66" s="13">
        <f t="shared" si="37"/>
        <v>53.044214230061456</v>
      </c>
      <c r="BG66" s="20">
        <f t="shared" si="7"/>
        <v>466.98356378402349</v>
      </c>
      <c r="BH66" s="59">
        <f t="shared" si="8"/>
        <v>760.3168971173568</v>
      </c>
      <c r="BI66" s="59">
        <f ca="1">AVERAGE(OFFSET($BH$3,0,0,'Données projet'!$E$11+1,1))-AVERAGE(OFFSET($H$3,0,0,'Données projet'!$E$11+1,1))</f>
        <v>324.86930206492627</v>
      </c>
      <c r="BJ66" s="59">
        <f t="shared" si="38"/>
        <v>317.03005098025352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10.84911030218451</v>
      </c>
      <c r="BQ66" s="21">
        <f>EXP(-LN(2)/25)*BQ65+(1-EXP(-LN(2)/25))/(LN(2)/25)*Calculateur!BL66*Calculateur!BN66*VLOOKUP('Données projet'!$B$11,Paramètres!$A$1:$I$89,3,0)*0.475*44/12</f>
        <v>13.738528099960273</v>
      </c>
      <c r="BR66" s="21">
        <f>EXP(-LN(2)/2)*BR65+(1-EXP(-LN(2)/2))/(LN(2)/2)*BL66*BO66*VLOOKUP('Données projet'!$B$11,Paramètres!$A$1:$I$89,3,0)*0.475*44/12</f>
        <v>1.0916725791608557</v>
      </c>
      <c r="BS66" s="22">
        <f t="shared" si="9"/>
        <v>25.67931098130564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6.8933333333333326</v>
      </c>
      <c r="BY66" s="12">
        <f>IF('Données projet'!$A$114&gt;35,BY65+BX66-CG65,IF(A66&lt;'Données projet'!$A$114,$BV$205^A66,IF(A66='Données projet'!$A$114,'Données projet'!$B$114,BY65+BX66-CG65)))</f>
        <v>149.42999999999992</v>
      </c>
      <c r="BZ66" s="13">
        <f>BY66*VLOOKUP('Données projet'!$B$12,Paramètres!$A$1:$I$89,3,0)*VLOOKUP('Données projet'!$B$12,Paramètres!$A$1:$I$89,5,0)</f>
        <v>170.17088399999992</v>
      </c>
      <c r="CA66" s="13">
        <f t="shared" si="39"/>
        <v>43.128293678549916</v>
      </c>
      <c r="CB66" s="20">
        <f t="shared" si="10"/>
        <v>371.4960677901409</v>
      </c>
      <c r="CC66" s="59">
        <f t="shared" si="11"/>
        <v>664.82940112347421</v>
      </c>
      <c r="CD66" s="59">
        <f ca="1">AVERAGE(OFFSET($CC$3,0,0,'Données projet'!$E$12+1,1))-AVERAGE(OFFSET($H$3,0,0,'Données projet'!$E$12+1,1))</f>
        <v>593.28343396240075</v>
      </c>
      <c r="CE66" s="59">
        <f t="shared" si="40"/>
        <v>289.66477662068695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28.92443093671352</v>
      </c>
      <c r="CM66" s="21">
        <f>EXP(-LN(2)/2)*CM65+(1-EXP(-LN(2)/2))/(LN(2)/2)*CG66*CJ66*VLOOKUP('Données projet'!$B$12,Paramètres!$A$1:$I$89,3,0)*0.475*44/12</f>
        <v>5.5365027928178456</v>
      </c>
      <c r="CN66" s="22">
        <f t="shared" si="12"/>
        <v>34.460933729531362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10.107499999999998</v>
      </c>
      <c r="CT66" s="12">
        <f>IF('Données projet'!$A$140&gt;35,CT65+CS66-DB65,IF(A66&lt;'Données projet'!$A$140,$CQ$205^A66,IF(A66='Données projet'!$A$140,'Données projet'!$B$140,CT65+CS66-DB65)))</f>
        <v>256.44750000000028</v>
      </c>
      <c r="CU66" s="17">
        <f>CT66*VLOOKUP('Données projet'!$B$13,Paramètres!$A$1:$I$89,3,0)*VLOOKUP('Données projet'!$B$13,Paramètres!$A$1:$I$89,5,0)</f>
        <v>276.04008900000031</v>
      </c>
      <c r="CV66" s="13">
        <f t="shared" si="41"/>
        <v>66.129473398398872</v>
      </c>
      <c r="CW66" s="20">
        <f t="shared" si="13"/>
        <v>595.94532117721189</v>
      </c>
      <c r="CX66" s="59">
        <f t="shared" si="14"/>
        <v>889.27865451054527</v>
      </c>
      <c r="CY66" s="59">
        <f ca="1">AVERAGE(OFFSET($CX$3,0,0,'Données projet'!$E$13+1,1))-AVERAGE(OFFSET($H$3,0,0,'Données projet'!$E$13+1,1))</f>
        <v>747.18304127457918</v>
      </c>
      <c r="CZ66" s="59">
        <f t="shared" si="42"/>
        <v>327.03701004966723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37.77485049985065</v>
      </c>
      <c r="DH66" s="21">
        <f>EXP(-LN(2)/2)*DH65+(1-EXP(-LN(2)/2))/(LN(2)/2)*DB66*DE66*VLOOKUP('Données projet'!$B$13,Paramètres!$A$1:$I$89,3,0)*0.475*44/12</f>
        <v>1.806501463271569</v>
      </c>
      <c r="DI66" s="22">
        <f t="shared" si="15"/>
        <v>39.581351963122216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5.2</v>
      </c>
      <c r="DO66" s="12">
        <f>IF('Données projet'!$A$166&gt;35,DO65+DN66-DW65,IF(A66&lt;'Données projet'!$A$166,$DL$205^A66,IF(A66='Données projet'!$A$166,'Données projet'!$B$166,DO65+DN66-DW65)))</f>
        <v>295.59999999999985</v>
      </c>
      <c r="DP66" s="17">
        <f>DO66*VLOOKUP('Données projet'!$B$14,Paramètres!$A$1:$I$89,3,0)*VLOOKUP('Données projet'!$B$14,Paramètres!$A$1:$I$89,5,0)</f>
        <v>235.17935999999989</v>
      </c>
      <c r="DQ66" s="13">
        <f t="shared" si="43"/>
        <v>57.401124668909425</v>
      </c>
      <c r="DR66" s="20">
        <f t="shared" si="16"/>
        <v>509.57767746501708</v>
      </c>
      <c r="DS66" s="59">
        <f t="shared" si="17"/>
        <v>802.91101079835039</v>
      </c>
      <c r="DT66" s="59">
        <f ca="1">AVERAGE(OFFSET($DS$3,0,0,'Données projet'!$E$14+1,1))-AVERAGE(OFFSET($H$3,0,0,'Données projet'!$E$14+1,1))</f>
        <v>353.37479213497227</v>
      </c>
      <c r="DU66" s="59">
        <f t="shared" si="44"/>
        <v>345.4750813433123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13.849380298685395</v>
      </c>
      <c r="EB66" s="21">
        <f>EXP(-LN(2)/25)*EB65+(1-EXP(-LN(2)/25))/(LN(2)/25)*Calculateur!DW66*Calculateur!DY66*VLOOKUP('Données projet'!$B$14,Paramètres!$A$1:$I$89,3,0)*0.475*44/12</f>
        <v>15.487432554276237</v>
      </c>
      <c r="EC66" s="21">
        <f>EXP(-LN(2)/2)*EC65+(1-EXP(-LN(2)/2))/(LN(2)/2)*DW66*DZ66*VLOOKUP('Données projet'!$B$14,Paramètres!$A$1:$I$89,3,0)*0.475*44/12</f>
        <v>1.1675214762313384</v>
      </c>
      <c r="ED66" s="22">
        <f t="shared" si="18"/>
        <v>30.504334329192972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>
        <f>VLOOKUP(A66,'Données projet'!$A$191:$I$211,2,0)</f>
        <v>421.38</v>
      </c>
      <c r="EH66" s="12">
        <f>VLOOKUP(A66,'Données projet'!$A$191:$I$211,9,0)</f>
        <v>21.962</v>
      </c>
      <c r="EI66" s="12">
        <f t="array" ref="EI66">INDEX(EH:EH,MIN(IF(ISNUMBER(EH66:EH262),ROW(EH66:EH262),"")))</f>
        <v>21.962</v>
      </c>
      <c r="EJ66" s="12">
        <f>IF('Données projet'!$A$192&gt;35,EJ65+EI66-ER65,IF(A66&lt;'Données projet'!$A$192,$EG$205^A66,IF(A66='Données projet'!$A$192,'Données projet'!$B$192,EJ65+EI66-ER65)))</f>
        <v>421.3799999999996</v>
      </c>
      <c r="EK66" s="17">
        <f>EJ66*VLOOKUP('Données projet'!$B$15,Paramètres!$A$1:$I$89,3,0)*VLOOKUP('Données projet'!$B$15,Paramètres!$A$1:$I$89,5,0)</f>
        <v>197.20583999999982</v>
      </c>
      <c r="EL66" s="13">
        <f t="shared" si="45"/>
        <v>49.129594010842474</v>
      </c>
      <c r="EM66" s="20">
        <f t="shared" si="19"/>
        <v>429.03421423555034</v>
      </c>
      <c r="EN66" s="59">
        <f t="shared" si="20"/>
        <v>722.36754756888365</v>
      </c>
      <c r="EO66" s="59">
        <f ca="1">AVERAGE(OFFSET($EN$3,0,0,'Données projet'!$E$15+1,1))-AVERAGE(OFFSET($H$3,0,0,'Données projet'!$E$15+1,1))</f>
        <v>433.05041777893922</v>
      </c>
      <c r="EP66" s="59">
        <f t="shared" si="46"/>
        <v>591.24088611958996</v>
      </c>
      <c r="EQ66" s="15">
        <f>IF(ISNA(VLOOKUP(A66,'Données projet'!$A$191:$I$211,3,0)),0,VLOOKUP(A66,'Données projet'!$A$191:$I$211,3,0))</f>
        <v>4</v>
      </c>
      <c r="ER66" s="15">
        <f>IF(ISNA(VLOOKUP(A66,'Données projet'!$A$191:$I$211,4,0)),0,VLOOKUP(A66,'Données projet'!$A$191:$I$211,4,0))</f>
        <v>79.909999999999968</v>
      </c>
      <c r="ES66" s="16">
        <f>IF(ISNA(VLOOKUP(A66,'Données projet'!$A$191:$I$211,5,0)),0%,VLOOKUP(A66,'Données projet'!$A$191:$I$211,5,0)*VLOOKUP('Données projet'!$B$15,Paramètres!$A$1:$I$89,7,0))</f>
        <v>0.33</v>
      </c>
      <c r="ET66" s="16">
        <f>IF(ISNA(VLOOKUP(A66,'Données projet'!$A$191:$I$211,6,0)),0%,VLOOKUP(A66,'Données projet'!$A$191:$I$211,6,0)*VLOOKUP('Données projet'!$B$15,Paramètres!$A$1:$I$89,7,0))</f>
        <v>0.11000000000000001</v>
      </c>
      <c r="EU66" s="16">
        <f>IF(ISNA(VLOOKUP(A66,'Données projet'!$A$191:$I$211,7,0)),0%,VLOOKUP(A66,'Données projet'!$A$191:$I$211,7,0))</f>
        <v>0.2</v>
      </c>
      <c r="EV66" s="21">
        <f>EXP(-LN(2)/35)*EV65+(1-EXP(-LN(2)/35))/(LN(2)/35)*ER66*ES66*VLOOKUP('Données projet'!$B$15,Paramètres!$A$1:$I$89,3,0)*0.475*44/12</f>
        <v>135.90355404625734</v>
      </c>
      <c r="EW66" s="21">
        <f>EXP(-LN(2)/25)*EW65+(1-EXP(-LN(2)/25))/(LN(2)/25)*Calculateur!ER66*Calculateur!ET66*VLOOKUP('Données projet'!$B$15,Paramètres!$A$1:$I$89,3,0)*0.475*44/12</f>
        <v>56.621839606350136</v>
      </c>
      <c r="EX66" s="21">
        <f>EXP(-LN(2)/2)*EX65+(1-EXP(-LN(2)/2))/(LN(2)/2)*ER66*EU66*VLOOKUP('Données projet'!$B$15,Paramètres!$A$1:$I$89,3,0)*0.475*44/12</f>
        <v>11.151146598312771</v>
      </c>
      <c r="EY66" s="22">
        <f t="shared" si="21"/>
        <v>203.67654025092025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2.5641025641025634</v>
      </c>
      <c r="FE66" s="12">
        <f>IF('Données projet'!$A$218&gt;35,FE65+FD66-FM65,IF(A66&lt;'Données projet'!$A$218,$FB$205^A66,IF(A66='Données projet'!$A$218,'Données projet'!$B$218,FE65+FD66-FM65)))</f>
        <v>103.2051282051282</v>
      </c>
      <c r="FF66" s="17">
        <f>FE66*VLOOKUP('Données projet'!$B$16,Paramètres!$A$1:$I$89,3,0)*VLOOKUP('Données projet'!$B$16,Paramètres!$A$1:$I$89,5,0)</f>
        <v>83.720000000000013</v>
      </c>
      <c r="FG66" s="13">
        <f t="shared" si="47"/>
        <v>23.044323503842598</v>
      </c>
      <c r="FH66" s="20">
        <f t="shared" si="22"/>
        <v>185.9478634358592</v>
      </c>
      <c r="FI66" s="59">
        <f t="shared" si="23"/>
        <v>479.28119676919255</v>
      </c>
      <c r="FJ66" s="59">
        <f ca="1">AVERAGE(OFFSET($FI$3,0,0,'Données projet'!$E$16+1,1))-AVERAGE(OFFSET($H$3,0,0,'Données projet'!$E$16+1,1))</f>
        <v>159.4660488566085</v>
      </c>
      <c r="FK66" s="59">
        <f t="shared" si="48"/>
        <v>135.33030558297088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3.2189031976532165</v>
      </c>
      <c r="FS66" s="21">
        <f>EXP(-LN(2)/2)*FS65+(1-EXP(-LN(2)/2))/(LN(2)/2)*FM66*FP66*VLOOKUP('Données projet'!$B$16,Paramètres!$A$1:$I$89,3,0)*0.475*44/12</f>
        <v>0.5794122632258154</v>
      </c>
      <c r="FT66" s="22">
        <f t="shared" si="24"/>
        <v>3.7983154608790319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10.107499999999998</v>
      </c>
      <c r="N67" s="13">
        <f>IF('Données projet'!$A$36&gt;35,N66+M67-V66,IF(A67&lt;'Données projet'!$A$36,$K$205^A67,IF(A67='Données projet'!$A$36,'Données projet'!$B$36,N66+M67-V66)))</f>
        <v>266.55500000000029</v>
      </c>
      <c r="O67" s="13">
        <f>N67*VLOOKUP('Données projet'!$B$9,Paramètres!$A$1:$I$89,3,0)*VLOOKUP('Données projet'!$B$9,Paramètres!$A$1:$I$89,5,0)</f>
        <v>270.28677000000033</v>
      </c>
      <c r="P67" s="13">
        <f t="shared" si="33"/>
        <v>64.910125358871667</v>
      </c>
      <c r="Q67" s="20">
        <f t="shared" ref="Q67:Q98" si="54">(O67+P67)*0.475*44/12</f>
        <v>583.80125941670201</v>
      </c>
      <c r="R67" s="59">
        <f t="shared" ref="R67:R130" si="55">Q67+(I67+J67)*44/12</f>
        <v>877.13459275003538</v>
      </c>
      <c r="S67" s="59">
        <f ca="1">AVERAGE(OFFSET($R$3,0,0,'Données projet'!$E$9+1,1))-AVERAGE(OFFSET($H$3,0,0,'Données projet'!$E$9+1,1))</f>
        <v>706.69239849991595</v>
      </c>
      <c r="T67" s="59">
        <f t="shared" si="34"/>
        <v>310.59887275116529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34.611930285776054</v>
      </c>
      <c r="AB67" s="21">
        <f>EXP(-LN(2)/2)*AB66+(1-EXP(-LN(2)/2))/(LN(2)/2)*V67*Y67*VLOOKUP('Données projet'!$B$9,Paramètres!$A$1:$I$89,3,0)*0.475*44/12</f>
        <v>1.2033378734591094</v>
      </c>
      <c r="AC67" s="22">
        <f t="shared" si="3"/>
        <v>35.815268159235167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2.8205128205128176</v>
      </c>
      <c r="AI67" s="13">
        <f>IF('Données projet'!$A$62&gt;35,AI66+AH67-AQ66,IF(A67&lt;'Données projet'!$A$62,$AF$205^A67,IF(A67='Données projet'!$A$62,'Données projet'!$B$62,AI66+AH67-AQ66)))</f>
        <v>122.1794871794871</v>
      </c>
      <c r="AJ67" s="13">
        <f>AI67*VLOOKUP('Données projet'!$B$10,Paramètres!$A$1:$I$89,3,0)*VLOOKUP('Données projet'!$B$10,Paramètres!$A$1:$I$89,5,0)</f>
        <v>127.70199999999991</v>
      </c>
      <c r="AK67" s="13">
        <f t="shared" si="35"/>
        <v>33.464809084200624</v>
      </c>
      <c r="AL67" s="20">
        <f t="shared" si="4"/>
        <v>280.69885915498259</v>
      </c>
      <c r="AM67" s="59">
        <f t="shared" si="5"/>
        <v>574.0321924883159</v>
      </c>
      <c r="AN67" s="59">
        <f ca="1">AVERAGE(OFFSET($AM$3,0,0,'Données projet'!$E$10+1,1))-AVERAGE(OFFSET($H$3,0,0,'Données projet'!$E$10+1,1))</f>
        <v>239.26156489359892</v>
      </c>
      <c r="AO67" s="59">
        <f t="shared" si="36"/>
        <v>213.97034450798111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14.755122526107964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14.755122526107964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4.4000000000000004</v>
      </c>
      <c r="BD67" s="12">
        <f>IF('Données projet'!$A$88&gt;35,BD66+BC67-BL66,IF(A67&lt;'Données projet'!$A$88,$BA$205^A67,IF(A67='Données projet'!$A$88,'Données projet'!$B$88,BD66+BC67-BL66)))</f>
        <v>250.59999999999985</v>
      </c>
      <c r="BE67" s="13">
        <f>BD67*VLOOKUP('Données projet'!$B$11,Paramètres!$A$1:$I$89,3,0)*VLOOKUP('Données projet'!$B$11,Paramètres!$A$1:$I$89,5,0)</f>
        <v>218.92415999999989</v>
      </c>
      <c r="BF67" s="13">
        <f t="shared" si="37"/>
        <v>53.880990541091087</v>
      </c>
      <c r="BG67" s="20">
        <f t="shared" si="7"/>
        <v>475.13563719240005</v>
      </c>
      <c r="BH67" s="59">
        <f t="shared" si="8"/>
        <v>768.46897052573331</v>
      </c>
      <c r="BI67" s="59">
        <f ca="1">AVERAGE(OFFSET($BH$3,0,0,'Données projet'!$E$11+1,1))-AVERAGE(OFFSET($H$3,0,0,'Données projet'!$E$11+1,1))</f>
        <v>324.86930206492627</v>
      </c>
      <c r="BJ67" s="59">
        <f t="shared" si="38"/>
        <v>317.03005098025352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10.636365866462551</v>
      </c>
      <c r="BQ67" s="21">
        <f>EXP(-LN(2)/25)*BQ66+(1-EXP(-LN(2)/25))/(LN(2)/25)*Calculateur!BL67*Calculateur!BN67*VLOOKUP('Données projet'!$B$11,Paramètres!$A$1:$I$89,3,0)*0.475*44/12</f>
        <v>13.362847326589067</v>
      </c>
      <c r="BR67" s="21">
        <f>EXP(-LN(2)/2)*BR66+(1-EXP(-LN(2)/2))/(LN(2)/2)*BL67*BO67*VLOOKUP('Données projet'!$B$11,Paramètres!$A$1:$I$89,3,0)*0.475*44/12</f>
        <v>0.77192908356004919</v>
      </c>
      <c r="BS67" s="22">
        <f t="shared" si="9"/>
        <v>24.771142276611666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6.8933333333333326</v>
      </c>
      <c r="BY67" s="12">
        <f>IF('Données projet'!$A$114&gt;35,BY66+BX67-CG66,IF(A67&lt;'Données projet'!$A$114,$BV$205^A67,IF(A67='Données projet'!$A$114,'Données projet'!$B$114,BY66+BX67-CG66)))</f>
        <v>156.32333333333327</v>
      </c>
      <c r="BZ67" s="13">
        <f>BY67*VLOOKUP('Données projet'!$B$12,Paramètres!$A$1:$I$89,3,0)*VLOOKUP('Données projet'!$B$12,Paramètres!$A$1:$I$89,5,0)</f>
        <v>178.02101199999993</v>
      </c>
      <c r="CA67" s="13">
        <f t="shared" si="39"/>
        <v>44.881614909300232</v>
      </c>
      <c r="CB67" s="20">
        <f t="shared" si="10"/>
        <v>388.22207520036437</v>
      </c>
      <c r="CC67" s="59">
        <f t="shared" si="11"/>
        <v>681.55540853369769</v>
      </c>
      <c r="CD67" s="59">
        <f ca="1">AVERAGE(OFFSET($CC$3,0,0,'Données projet'!$E$12+1,1))-AVERAGE(OFFSET($H$3,0,0,'Données projet'!$E$12+1,1))</f>
        <v>593.28343396240075</v>
      </c>
      <c r="CE67" s="59">
        <f t="shared" si="40"/>
        <v>289.66477662068695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28.133490851679372</v>
      </c>
      <c r="CM67" s="21">
        <f>EXP(-LN(2)/2)*CM66+(1-EXP(-LN(2)/2))/(LN(2)/2)*CG67*CJ67*VLOOKUP('Données projet'!$B$12,Paramètres!$A$1:$I$89,3,0)*0.475*44/12</f>
        <v>3.9148986688597578</v>
      </c>
      <c r="CN67" s="22">
        <f t="shared" si="12"/>
        <v>32.048389520539132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10.107499999999998</v>
      </c>
      <c r="CT67" s="12">
        <f>IF('Données projet'!$A$140&gt;35,CT66+CS67-DB66,IF(A67&lt;'Données projet'!$A$140,$CQ$205^A67,IF(A67='Données projet'!$A$140,'Données projet'!$B$140,CT66+CS67-DB66)))</f>
        <v>266.55500000000029</v>
      </c>
      <c r="CU67" s="17">
        <f>CT67*VLOOKUP('Données projet'!$B$13,Paramètres!$A$1:$I$89,3,0)*VLOOKUP('Données projet'!$B$13,Paramètres!$A$1:$I$89,5,0)</f>
        <v>286.91980200000029</v>
      </c>
      <c r="CV67" s="13">
        <f t="shared" si="41"/>
        <v>68.427277712599647</v>
      </c>
      <c r="CW67" s="20">
        <f t="shared" si="13"/>
        <v>618.89616383277814</v>
      </c>
      <c r="CX67" s="59">
        <f t="shared" si="14"/>
        <v>912.22949716611151</v>
      </c>
      <c r="CY67" s="59">
        <f ca="1">AVERAGE(OFFSET($CX$3,0,0,'Données projet'!$E$13+1,1))-AVERAGE(OFFSET($H$3,0,0,'Données projet'!$E$13+1,1))</f>
        <v>747.18304127457918</v>
      </c>
      <c r="CZ67" s="59">
        <f t="shared" si="42"/>
        <v>327.03701004966723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36.741895226439183</v>
      </c>
      <c r="DH67" s="21">
        <f>EXP(-LN(2)/2)*DH66+(1-EXP(-LN(2)/2))/(LN(2)/2)*DB67*DE67*VLOOKUP('Données projet'!$B$13,Paramètres!$A$1:$I$89,3,0)*0.475*44/12</f>
        <v>1.2773894349027473</v>
      </c>
      <c r="DI67" s="22">
        <f t="shared" si="15"/>
        <v>38.019284661341928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5.2</v>
      </c>
      <c r="DO67" s="12">
        <f>IF('Données projet'!$A$166&gt;35,DO66+DN67-DW66,IF(A67&lt;'Données projet'!$A$166,$DL$205^A67,IF(A67='Données projet'!$A$166,'Données projet'!$B$166,DO66+DN67-DW66)))</f>
        <v>300.79999999999984</v>
      </c>
      <c r="DP67" s="17">
        <f>DO67*VLOOKUP('Données projet'!$B$14,Paramètres!$A$1:$I$89,3,0)*VLOOKUP('Données projet'!$B$14,Paramètres!$A$1:$I$89,5,0)</f>
        <v>239.3164799999999</v>
      </c>
      <c r="DQ67" s="13">
        <f t="shared" si="43"/>
        <v>58.292443422481945</v>
      </c>
      <c r="DR67" s="20">
        <f t="shared" si="16"/>
        <v>518.33554162748919</v>
      </c>
      <c r="DS67" s="59">
        <f t="shared" si="17"/>
        <v>811.66887496082245</v>
      </c>
      <c r="DT67" s="59">
        <f ca="1">AVERAGE(OFFSET($DS$3,0,0,'Données projet'!$E$14+1,1))-AVERAGE(OFFSET($H$3,0,0,'Données projet'!$E$14+1,1))</f>
        <v>353.37479213497227</v>
      </c>
      <c r="DU67" s="59">
        <f t="shared" si="44"/>
        <v>345.4750813433123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13.577802398316056</v>
      </c>
      <c r="EB67" s="21">
        <f>EXP(-LN(2)/25)*EB66+(1-EXP(-LN(2)/25))/(LN(2)/25)*Calculateur!DW67*Calculateur!DY67*VLOOKUP('Données projet'!$B$14,Paramètres!$A$1:$I$89,3,0)*0.475*44/12</f>
        <v>15.063927896630872</v>
      </c>
      <c r="EC67" s="21">
        <f>EXP(-LN(2)/2)*EC66+(1-EXP(-LN(2)/2))/(LN(2)/2)*DW67*DZ67*VLOOKUP('Données projet'!$B$14,Paramètres!$A$1:$I$89,3,0)*0.475*44/12</f>
        <v>0.82556235302410796</v>
      </c>
      <c r="ED67" s="22">
        <f t="shared" si="18"/>
        <v>29.467292647971036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32.909999999999989</v>
      </c>
      <c r="EJ67" s="12">
        <f>IF('Données projet'!$A$192&gt;35,EJ66+EI67-ER66,IF(A67&lt;'Données projet'!$A$192,$EG$205^A67,IF(A67='Données projet'!$A$192,'Données projet'!$B$192,EJ66+EI67-ER66)))</f>
        <v>374.3799999999996</v>
      </c>
      <c r="EK67" s="17">
        <f>EJ67*VLOOKUP('Données projet'!$B$15,Paramètres!$A$1:$I$89,3,0)*VLOOKUP('Données projet'!$B$15,Paramètres!$A$1:$I$89,5,0)</f>
        <v>175.20983999999979</v>
      </c>
      <c r="EL67" s="13">
        <f t="shared" si="45"/>
        <v>44.254796629248837</v>
      </c>
      <c r="EM67" s="20">
        <f t="shared" si="19"/>
        <v>382.23424212927466</v>
      </c>
      <c r="EN67" s="59">
        <f t="shared" si="20"/>
        <v>675.56757546260792</v>
      </c>
      <c r="EO67" s="59">
        <f ca="1">AVERAGE(OFFSET($EN$3,0,0,'Données projet'!$E$15+1,1))-AVERAGE(OFFSET($H$3,0,0,'Données projet'!$E$15+1,1))</f>
        <v>433.05041777893922</v>
      </c>
      <c r="EP67" s="59">
        <f t="shared" si="46"/>
        <v>591.24088611958996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133.23856824439321</v>
      </c>
      <c r="EW67" s="21">
        <f>EXP(-LN(2)/25)*EW66+(1-EXP(-LN(2)/25))/(LN(2)/25)*Calculateur!ER67*Calculateur!ET67*VLOOKUP('Données projet'!$B$15,Paramètres!$A$1:$I$89,3,0)*0.475*44/12</f>
        <v>55.073512424701356</v>
      </c>
      <c r="EX67" s="21">
        <f>EXP(-LN(2)/2)*EX66+(1-EXP(-LN(2)/2))/(LN(2)/2)*ER67*EU67*VLOOKUP('Données projet'!$B$15,Paramètres!$A$1:$I$89,3,0)*0.475*44/12</f>
        <v>7.8850513776722631</v>
      </c>
      <c r="EY67" s="22">
        <f t="shared" si="21"/>
        <v>196.19713204676682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2.5641025641025634</v>
      </c>
      <c r="FE67" s="12">
        <f>IF('Données projet'!$A$218&gt;35,FE66+FD67-FM66,IF(A67&lt;'Données projet'!$A$218,$FB$205^A67,IF(A67='Données projet'!$A$218,'Données projet'!$B$218,FE66+FD67-FM66)))</f>
        <v>105.76923076923077</v>
      </c>
      <c r="FF67" s="17">
        <f>FE67*VLOOKUP('Données projet'!$B$16,Paramètres!$A$1:$I$89,3,0)*VLOOKUP('Données projet'!$B$16,Paramètres!$A$1:$I$89,5,0)</f>
        <v>85.800000000000011</v>
      </c>
      <c r="FG67" s="13">
        <f t="shared" si="47"/>
        <v>23.549485995669766</v>
      </c>
      <c r="FH67" s="20">
        <f t="shared" si="22"/>
        <v>190.45035477579154</v>
      </c>
      <c r="FI67" s="59">
        <f t="shared" si="23"/>
        <v>483.78368810912485</v>
      </c>
      <c r="FJ67" s="59">
        <f ca="1">AVERAGE(OFFSET($FI$3,0,0,'Données projet'!$E$16+1,1))-AVERAGE(OFFSET($H$3,0,0,'Données projet'!$E$16+1,1))</f>
        <v>159.4660488566085</v>
      </c>
      <c r="FK67" s="59">
        <f t="shared" si="48"/>
        <v>135.33030558297088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3.1308821204386272</v>
      </c>
      <c r="FS67" s="21">
        <f>EXP(-LN(2)/2)*FS66+(1-EXP(-LN(2)/2))/(LN(2)/2)*FM67*FP67*VLOOKUP('Données projet'!$B$16,Paramètres!$A$1:$I$89,3,0)*0.475*44/12</f>
        <v>0.40970634042961895</v>
      </c>
      <c r="FT67" s="22">
        <f t="shared" si="24"/>
        <v>3.5405884608682463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10.107499999999998</v>
      </c>
      <c r="N68" s="13">
        <f>IF('Données projet'!$A$36&gt;35,N67+M68-V67,IF(A68&lt;'Données projet'!$A$36,$K$205^A68,IF(A68='Données projet'!$A$36,'Données projet'!$B$36,N67+M68-V67)))</f>
        <v>276.66250000000031</v>
      </c>
      <c r="O68" s="13">
        <f>N68*VLOOKUP('Données projet'!$B$9,Paramètres!$A$1:$I$89,3,0)*VLOOKUP('Données projet'!$B$9,Paramètres!$A$1:$I$89,5,0)</f>
        <v>280.53577500000034</v>
      </c>
      <c r="P68" s="13">
        <f t="shared" si="33"/>
        <v>67.080220940060286</v>
      </c>
      <c r="Q68" s="20">
        <f t="shared" si="54"/>
        <v>605.43119292893903</v>
      </c>
      <c r="R68" s="59">
        <f t="shared" si="55"/>
        <v>898.76452626227228</v>
      </c>
      <c r="S68" s="59">
        <f ca="1">AVERAGE(OFFSET($R$3,0,0,'Données projet'!$E$9+1,1))-AVERAGE(OFFSET($H$3,0,0,'Données projet'!$E$9+1,1))</f>
        <v>706.69239849991595</v>
      </c>
      <c r="T68" s="59">
        <f t="shared" si="34"/>
        <v>310.59887275116529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33.665465231949199</v>
      </c>
      <c r="AB68" s="21">
        <f>EXP(-LN(2)/2)*AB67+(1-EXP(-LN(2)/2))/(LN(2)/2)*V68*Y68*VLOOKUP('Données projet'!$B$9,Paramètres!$A$1:$I$89,3,0)*0.475*44/12</f>
        <v>0.85088837038153586</v>
      </c>
      <c r="AC68" s="22">
        <f t="shared" ref="AC68:AC131" si="57">SUM(Z68:AB68)</f>
        <v>34.516353602330732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125</v>
      </c>
      <c r="AG68" s="12">
        <f>VLOOKUP(A68,'Données projet'!$A$61:$I$81,9,0)</f>
        <v>2.8205128205128176</v>
      </c>
      <c r="AH68" s="12">
        <f t="array" ref="AH68">INDEX(AG:AG,MIN(IF(ISNUMBER(AG68:AG264),ROW(AG68:AG264),"")))</f>
        <v>2.8205128205128176</v>
      </c>
      <c r="AI68" s="13">
        <f>IF('Données projet'!$A$62&gt;35,AI67+AH68-AQ67,IF(A68&lt;'Données projet'!$A$62,$AF$205^A68,IF(A68='Données projet'!$A$62,'Données projet'!$B$62,AI67+AH68-AQ67)))</f>
        <v>124.99999999999991</v>
      </c>
      <c r="AJ68" s="13">
        <f>AI68*VLOOKUP('Données projet'!$B$10,Paramètres!$A$1:$I$89,3,0)*VLOOKUP('Données projet'!$B$10,Paramètres!$A$1:$I$89,5,0)</f>
        <v>130.64999999999992</v>
      </c>
      <c r="AK68" s="13">
        <f t="shared" si="35"/>
        <v>34.146511621978362</v>
      </c>
      <c r="AL68" s="20">
        <f t="shared" ref="AL68:AL131" si="58">(AJ68+AK68)*0.475*44/12</f>
        <v>287.02059107494546</v>
      </c>
      <c r="AM68" s="59">
        <f t="shared" ref="AM68:AM131" si="59">AL68+(AD68+AE68)*44/12</f>
        <v>580.35392440827877</v>
      </c>
      <c r="AN68" s="59">
        <f ca="1">AVERAGE(OFFSET($AM$3,0,0,'Données projet'!$E$10+1,1))-AVERAGE(OFFSET($H$3,0,0,'Données projet'!$E$10+1,1))</f>
        <v>239.26156489359892</v>
      </c>
      <c r="AO68" s="59">
        <f t="shared" si="36"/>
        <v>213.97034450798111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9.615384615384615</v>
      </c>
      <c r="AR68" s="16">
        <f>IF(ISNA(VLOOKUP(A68,'Données projet'!$A$61:$I$81,5,0)),0%,VLOOKUP(A68,'Données projet'!$A$61:$I$81,5,0)*VLOOKUP('Données projet'!$B$10,Paramètres!$A$1:$I$89,7,0))</f>
        <v>4.3000000000000003E-2</v>
      </c>
      <c r="AS68" s="16">
        <f>IF(ISNA(VLOOKUP(A68,'Données projet'!$A$61:$I$81,6,0)),0%,VLOOKUP(A68,'Données projet'!$A$61:$I$81,6,0)*VLOOKUP('Données projet'!$B$10,Paramètres!$A$1:$I$89,7,0))</f>
        <v>0.215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0.47772902451516441</v>
      </c>
      <c r="AV68" s="21">
        <f>EXP(-LN(2)/25)*AV67+(1-EXP(-LN(2)/25))/(LN(2)/25)*Calculateur!AQ68*Calculateur!AS68*VLOOKUP('Données projet'!$B$10,Paramètres!$A$1:$I$89,3,0)*0.475*44/12</f>
        <v>16.730883041276467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17.20861206579163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255</v>
      </c>
      <c r="BB68" s="12">
        <f>VLOOKUP(A68,'Données projet'!$A$87:$I$107,9,0)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projet'!$A$88&gt;35,BD67+BC68-BL67,IF(A68&lt;'Données projet'!$A$88,$BA$205^A68,IF(A68='Données projet'!$A$88,'Données projet'!$B$88,BD67+BC68-BL67)))</f>
        <v>254.99999999999986</v>
      </c>
      <c r="BE68" s="13">
        <f>BD68*VLOOKUP('Données projet'!$B$11,Paramètres!$A$1:$I$89,3,0)*VLOOKUP('Données projet'!$B$11,Paramètres!$A$1:$I$89,5,0)</f>
        <v>222.76799999999989</v>
      </c>
      <c r="BF68" s="13">
        <f t="shared" si="37"/>
        <v>54.716058356609459</v>
      </c>
      <c r="BG68" s="20">
        <f t="shared" ref="BG68:BG131" si="61">(BE68+BF68)*0.475*44/12</f>
        <v>483.28473497109462</v>
      </c>
      <c r="BH68" s="59">
        <f t="shared" ref="BH68:BH131" si="62">BG68+(AY68+AZ68)*44/12</f>
        <v>776.61806830442788</v>
      </c>
      <c r="BI68" s="59">
        <f ca="1">AVERAGE(OFFSET($BH$3,0,0,'Données projet'!$E$11+1,1))-AVERAGE(OFFSET($H$3,0,0,'Données projet'!$E$11+1,1))</f>
        <v>324.86930206492627</v>
      </c>
      <c r="BJ68" s="59">
        <f t="shared" si="38"/>
        <v>317.03005098025352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11</v>
      </c>
      <c r="BM68" s="16">
        <f>IF(ISNA(VLOOKUP(A68,'Données projet'!$A$87:$I$107,5,0)),0%,VLOOKUP(A68,'Données projet'!$A$87:$I$107,5,0)*VLOOKUP('Données projet'!$B$11,Paramètres!$A$1:$I$89,7,0))</f>
        <v>0.13250000000000001</v>
      </c>
      <c r="BN68" s="16">
        <f>IF(ISNA(VLOOKUP(A68,'Données projet'!$A$87:$I$107,6,0)),0%,VLOOKUP(A68,'Données projet'!$A$87:$I$107,6,0)*VLOOKUP('Données projet'!$B$11,Paramètres!$A$1:$I$89,7,0))</f>
        <v>0.13250000000000001</v>
      </c>
      <c r="BO68" s="16">
        <f>IF(ISNA(VLOOKUP(A68,'Données projet'!$A$87:$I$107,7,0)),0%,VLOOKUP(A68,'Données projet'!$A$87:$I$107,7,0))</f>
        <v>0.25</v>
      </c>
      <c r="BP68" s="21">
        <f>EXP(-LN(2)/35)*BP67+(1-EXP(-LN(2)/35))/(LN(2)/35)*BL68*BM68*VLOOKUP('Données projet'!$B$11,Paramètres!$A$1:$I$89,3,0)*0.475*44/12</f>
        <v>11.835357700452485</v>
      </c>
      <c r="BQ68" s="21">
        <f>EXP(-LN(2)/25)*BQ67+(1-EXP(-LN(2)/25))/(LN(2)/25)*Calculateur!BL68*Calculateur!BN68*VLOOKUP('Données projet'!$B$11,Paramètres!$A$1:$I$89,3,0)*0.475*44/12</f>
        <v>14.399461927124406</v>
      </c>
      <c r="BR68" s="21">
        <f>EXP(-LN(2)/2)*BR67+(1-EXP(-LN(2)/2))/(LN(2)/2)*BL68*BO68*VLOOKUP('Données projet'!$B$11,Paramètres!$A$1:$I$89,3,0)*0.475*44/12</f>
        <v>2.8125653492284126</v>
      </c>
      <c r="BS68" s="22">
        <f t="shared" ref="BS68:BS131" si="63">SUM(BP68:BR68)</f>
        <v>29.047384976805304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6.8933333333333326</v>
      </c>
      <c r="BY68" s="12">
        <f>IF('Données projet'!$A$114&gt;35,BY67+BX68-CG67,IF(A68&lt;'Données projet'!$A$114,$BV$205^A68,IF(A68='Données projet'!$A$114,'Données projet'!$B$114,BY67+BX68-CG67)))</f>
        <v>163.21666666666661</v>
      </c>
      <c r="BZ68" s="13">
        <f>BY68*VLOOKUP('Données projet'!$B$12,Paramètres!$A$1:$I$89,3,0)*VLOOKUP('Données projet'!$B$12,Paramètres!$A$1:$I$89,5,0)</f>
        <v>185.87113999999994</v>
      </c>
      <c r="CA68" s="13">
        <f t="shared" si="39"/>
        <v>46.625956591742927</v>
      </c>
      <c r="CB68" s="20">
        <f t="shared" ref="CB68:CB131" si="64">(BZ68+CA68)*0.475*44/12</f>
        <v>404.93244323061884</v>
      </c>
      <c r="CC68" s="59">
        <f t="shared" ref="CC68:CC131" si="65">CB68+(BT68+BU68)*44/12</f>
        <v>698.26577656395216</v>
      </c>
      <c r="CD68" s="59">
        <f ca="1">AVERAGE(OFFSET($CC$3,0,0,'Données projet'!$E$12+1,1))-AVERAGE(OFFSET($H$3,0,0,'Données projet'!$E$12+1,1))</f>
        <v>593.28343396240075</v>
      </c>
      <c r="CE68" s="59">
        <f t="shared" si="40"/>
        <v>289.66477662068695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27.364179064864217</v>
      </c>
      <c r="CM68" s="21">
        <f>EXP(-LN(2)/2)*CM67+(1-EXP(-LN(2)/2))/(LN(2)/2)*CG68*CJ68*VLOOKUP('Données projet'!$B$12,Paramètres!$A$1:$I$89,3,0)*0.475*44/12</f>
        <v>2.7682513964089233</v>
      </c>
      <c r="CN68" s="22">
        <f t="shared" ref="CN68:CN131" si="66">SUM(CK68:CM68)</f>
        <v>30.132430461273142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10.107499999999998</v>
      </c>
      <c r="CT68" s="12">
        <f>IF('Données projet'!$A$140&gt;35,CT67+CS68-DB67,IF(A68&lt;'Données projet'!$A$140,$CQ$205^A68,IF(A68='Données projet'!$A$140,'Données projet'!$B$140,CT67+CS68-DB67)))</f>
        <v>276.66250000000031</v>
      </c>
      <c r="CU68" s="17">
        <f>CT68*VLOOKUP('Données projet'!$B$13,Paramètres!$A$1:$I$89,3,0)*VLOOKUP('Données projet'!$B$13,Paramètres!$A$1:$I$89,5,0)</f>
        <v>297.79951500000033</v>
      </c>
      <c r="CV68" s="13">
        <f t="shared" si="41"/>
        <v>70.714959829617527</v>
      </c>
      <c r="CW68" s="20">
        <f t="shared" ref="CW68:CW131" si="67">(CU68+CV68)*0.475*44/12</f>
        <v>641.82937699491765</v>
      </c>
      <c r="CX68" s="59">
        <f t="shared" ref="CX68:CX131" si="68">CW68+(CO68+CP68)*44/12</f>
        <v>935.16271032825102</v>
      </c>
      <c r="CY68" s="59">
        <f ca="1">AVERAGE(OFFSET($CX$3,0,0,'Données projet'!$E$13+1,1))-AVERAGE(OFFSET($H$3,0,0,'Données projet'!$E$13+1,1))</f>
        <v>747.18304127457918</v>
      </c>
      <c r="CZ68" s="59">
        <f t="shared" si="42"/>
        <v>327.03701004966723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35.73718616929991</v>
      </c>
      <c r="DH68" s="21">
        <f>EXP(-LN(2)/2)*DH67+(1-EXP(-LN(2)/2))/(LN(2)/2)*DB68*DE68*VLOOKUP('Données projet'!$B$13,Paramètres!$A$1:$I$89,3,0)*0.475*44/12</f>
        <v>0.90325073163578451</v>
      </c>
      <c r="DI68" s="22">
        <f t="shared" ref="DI68:DI131" si="69">SUM(DF68:DH68)</f>
        <v>36.640436900935697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306</v>
      </c>
      <c r="DM68" s="12">
        <f>VLOOKUP(A68,'Données projet'!$A$165:$I$185,9,0)</f>
        <v>5.2</v>
      </c>
      <c r="DN68" s="12">
        <f t="array" ref="DN68">INDEX(DM:DM,MIN(IF(ISNUMBER(DM68:DM264),ROW(DM68:DM264),"")))</f>
        <v>5.2</v>
      </c>
      <c r="DO68" s="12">
        <f>IF('Données projet'!$A$166&gt;35,DO67+DN68-DW67,IF(A68&lt;'Données projet'!$A$166,$DL$205^A68,IF(A68='Données projet'!$A$166,'Données projet'!$B$166,DO67+DN68-DW67)))</f>
        <v>305.99999999999983</v>
      </c>
      <c r="DP68" s="17">
        <f>DO68*VLOOKUP('Données projet'!$B$14,Paramètres!$A$1:$I$89,3,0)*VLOOKUP('Données projet'!$B$14,Paramètres!$A$1:$I$89,5,0)</f>
        <v>243.45359999999988</v>
      </c>
      <c r="DQ68" s="13">
        <f t="shared" si="43"/>
        <v>59.181970343065267</v>
      </c>
      <c r="DR68" s="20">
        <f t="shared" ref="DR68:DR131" si="70">(DP68+DQ68)*0.475*44/12</f>
        <v>527.09028501417163</v>
      </c>
      <c r="DS68" s="59">
        <f t="shared" ref="DS68:DS131" si="71">DR68+(DJ68+DK68)*44/12</f>
        <v>820.423618347505</v>
      </c>
      <c r="DT68" s="59">
        <f ca="1">AVERAGE(OFFSET($DS$3,0,0,'Données projet'!$E$14+1,1))-AVERAGE(OFFSET($H$3,0,0,'Données projet'!$E$14+1,1))</f>
        <v>353.37479213497227</v>
      </c>
      <c r="DU68" s="59">
        <f t="shared" si="44"/>
        <v>345.4750813433123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13</v>
      </c>
      <c r="DX68" s="16">
        <f>IF(ISNA(VLOOKUP(A68,'Données projet'!$A$165:$I$185,5,0)),0%,VLOOKUP(A68,'Données projet'!$A$165:$I$185,5,0)*VLOOKUP('Données projet'!$B$14,Paramètres!$A$1:$I$89,7,0))</f>
        <v>0.13250000000000001</v>
      </c>
      <c r="DY68" s="16">
        <f>IF(ISNA(VLOOKUP(A68,'Données projet'!$A$165:$I$185,6,0)),0%,VLOOKUP(A68,'Données projet'!$A$165:$I$185,6,0)*VLOOKUP('Données projet'!$B$14,Paramètres!$A$1:$I$89,7,0))</f>
        <v>0.13250000000000001</v>
      </c>
      <c r="DZ68" s="16">
        <f>IF(ISNA(VLOOKUP(A68,'Données projet'!$A$165:$I$185,7,0)),0%,VLOOKUP(A68,'Données projet'!$A$165:$I$185,7,0))</f>
        <v>0.25</v>
      </c>
      <c r="EA68" s="21">
        <f>EXP(-LN(2)/35)*EA67+(1-EXP(-LN(2)/35))/(LN(2)/35)*DW68*DX68*VLOOKUP('Données projet'!$B$14,Paramètres!$A$1:$I$89,3,0)*0.475*44/12</f>
        <v>14.826509797916721</v>
      </c>
      <c r="EB68" s="21">
        <f>EXP(-LN(2)/25)*EB67+(1-EXP(-LN(2)/25))/(LN(2)/25)*Calculateur!DW68*Calculateur!DY68*VLOOKUP('Données projet'!$B$14,Paramètres!$A$1:$I$89,3,0)*0.475*44/12</f>
        <v>16.160998845041828</v>
      </c>
      <c r="EC68" s="21">
        <f>EXP(-LN(2)/2)*EC67+(1-EXP(-LN(2)/2))/(LN(2)/2)*DW68*DZ68*VLOOKUP('Données projet'!$B$14,Paramètres!$A$1:$I$89,3,0)*0.475*44/12</f>
        <v>3.0234382812108214</v>
      </c>
      <c r="ED68" s="22">
        <f t="shared" ref="ED68:ED131" si="72">SUM(EA68:EC68)</f>
        <v>34.010946924169367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32.909999999999989</v>
      </c>
      <c r="EJ68" s="12">
        <f>IF('Données projet'!$A$192&gt;35,EJ67+EI68-ER67,IF(A68&lt;'Données projet'!$A$192,$EG$205^A68,IF(A68='Données projet'!$A$192,'Données projet'!$B$192,EJ67+EI68-ER67)))</f>
        <v>407.28999999999957</v>
      </c>
      <c r="EK68" s="17">
        <f>EJ68*VLOOKUP('Données projet'!$B$15,Paramètres!$A$1:$I$89,3,0)*VLOOKUP('Données projet'!$B$15,Paramètres!$A$1:$I$89,5,0)</f>
        <v>190.61171999999979</v>
      </c>
      <c r="EL68" s="13">
        <f t="shared" si="45"/>
        <v>47.675170146515832</v>
      </c>
      <c r="EM68" s="20">
        <f t="shared" ref="EM68:EM131" si="73">(EK68+EL68)*0.475*44/12</f>
        <v>415.01633367184803</v>
      </c>
      <c r="EN68" s="59">
        <f t="shared" ref="EN68:EN131" si="74">EM68+(EE68+EF68)*44/12</f>
        <v>708.34966700518135</v>
      </c>
      <c r="EO68" s="59">
        <f ca="1">AVERAGE(OFFSET($EN$3,0,0,'Données projet'!$E$15+1,1))-AVERAGE(OFFSET($H$3,0,0,'Données projet'!$E$15+1,1))</f>
        <v>433.05041777893922</v>
      </c>
      <c r="EP68" s="59">
        <f t="shared" si="46"/>
        <v>591.24088611958996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130.62584118862279</v>
      </c>
      <c r="EW68" s="21">
        <f>EXP(-LN(2)/25)*EW67+(1-EXP(-LN(2)/25))/(LN(2)/25)*Calculateur!ER68*Calculateur!ET68*VLOOKUP('Données projet'!$B$15,Paramètres!$A$1:$I$89,3,0)*0.475*44/12</f>
        <v>53.567524331257751</v>
      </c>
      <c r="EX68" s="21">
        <f>EXP(-LN(2)/2)*EX67+(1-EXP(-LN(2)/2))/(LN(2)/2)*ER68*EU68*VLOOKUP('Données projet'!$B$15,Paramètres!$A$1:$I$89,3,0)*0.475*44/12</f>
        <v>5.5755732991563862</v>
      </c>
      <c r="EY68" s="22">
        <f t="shared" ref="EY68:EY131" si="75">SUM(EV68:EX68)</f>
        <v>189.76893881903692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108.33333333333334</v>
      </c>
      <c r="FC68" s="12">
        <f>VLOOKUP(A68,'Données projet'!$A$217:$I$237,9,0)</f>
        <v>2.5641025641025634</v>
      </c>
      <c r="FD68" s="12">
        <f t="array" ref="FD68">INDEX(FC:FC,MIN(IF(ISNUMBER(FC68:FC264),ROW(FC68:FC264),"")))</f>
        <v>2.5641025641025634</v>
      </c>
      <c r="FE68" s="12">
        <f>IF('Données projet'!$A$218&gt;35,FE67+FD68-FM67,IF(A68&lt;'Données projet'!$A$218,$FB$205^A68,IF(A68='Données projet'!$A$218,'Données projet'!$B$218,FE67+FD68-FM67)))</f>
        <v>108.33333333333334</v>
      </c>
      <c r="FF68" s="17">
        <f>FE68*VLOOKUP('Données projet'!$B$16,Paramètres!$A$1:$I$89,3,0)*VLOOKUP('Données projet'!$B$16,Paramètres!$A$1:$I$89,5,0)</f>
        <v>87.880000000000024</v>
      </c>
      <c r="FG68" s="13">
        <f t="shared" si="47"/>
        <v>24.053224872750018</v>
      </c>
      <c r="FH68" s="20">
        <f t="shared" ref="FH68:FH131" si="76">(FF68+FG68)*0.475*44/12</f>
        <v>194.95036665337298</v>
      </c>
      <c r="FI68" s="59">
        <f t="shared" ref="FI68:FI131" si="77">FH68+(EZ68+FA68)*44/12</f>
        <v>488.28369998670632</v>
      </c>
      <c r="FJ68" s="59">
        <f ca="1">AVERAGE(OFFSET($FI$3,0,0,'Données projet'!$E$16+1,1))-AVERAGE(OFFSET($H$3,0,0,'Données projet'!$E$16+1,1))</f>
        <v>159.4660488566085</v>
      </c>
      <c r="FK68" s="59">
        <f t="shared" si="48"/>
        <v>135.33030558297088</v>
      </c>
      <c r="FL68" s="15">
        <f>IF(ISNA(VLOOKUP(A68,'Données projet'!$A$217:$I$237,3,0)),0,VLOOKUP(A68,'Données projet'!$A$217:$I$237,3,0))</f>
        <v>11</v>
      </c>
      <c r="FM68" s="15">
        <f>IF(ISNA(VLOOKUP(A68,'Données projet'!$A$217:$I$237,4,0)),0,VLOOKUP(A68,'Données projet'!$A$217:$I$237,4,0))</f>
        <v>7.0512820512820511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0.1075</v>
      </c>
      <c r="FP68" s="16">
        <f>IF(ISNA(VLOOKUP(A68,'Données projet'!$A$217:$I$237,7,0)),0%,VLOOKUP(A68,'Données projet'!$A$217:$I$237,7,0))</f>
        <v>0.25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3.722345271117522</v>
      </c>
      <c r="FS68" s="21">
        <f>EXP(-LN(2)/2)*FS67+(1-EXP(-LN(2)/2))/(LN(2)/2)*FM68*FP68*VLOOKUP('Données projet'!$B$16,Paramètres!$A$1:$I$89,3,0)*0.475*44/12</f>
        <v>1.6389496194986131</v>
      </c>
      <c r="FT68" s="22">
        <f t="shared" ref="FT68:FT131" si="78">SUM(FQ68:FS68)</f>
        <v>5.3612948906161346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286.77</v>
      </c>
      <c r="L69" s="12">
        <f>VLOOKUP(A69,'Données projet'!$A$35:$I$55,9,0)</f>
        <v>10.107499999999998</v>
      </c>
      <c r="M69" s="12">
        <f t="array" ref="M69">INDEX(L:L,MIN(IF(ISNUMBER(L69:L265),ROW(L69:L265),"")))</f>
        <v>10.107499999999998</v>
      </c>
      <c r="N69" s="13">
        <f>IF('Données projet'!$A$36&gt;35,N68+M69-V68,IF(A69&lt;'Données projet'!$A$36,$K$205^A69,IF(A69='Données projet'!$A$36,'Données projet'!$B$36,N68+M69-V68)))</f>
        <v>286.77000000000032</v>
      </c>
      <c r="O69" s="13">
        <f>N69*VLOOKUP('Données projet'!$B$9,Paramètres!$A$1:$I$89,3,0)*VLOOKUP('Données projet'!$B$9,Paramètres!$A$1:$I$89,5,0)</f>
        <v>290.78478000000035</v>
      </c>
      <c r="P69" s="13">
        <f t="shared" ref="P69:P132" si="87">EXP(-1.0587+0.8836*LN(O69)+0.284)</f>
        <v>69.241105574743742</v>
      </c>
      <c r="Q69" s="20">
        <f t="shared" si="54"/>
        <v>627.04508404267926</v>
      </c>
      <c r="R69" s="59">
        <f t="shared" si="55"/>
        <v>920.37841737601252</v>
      </c>
      <c r="S69" s="59">
        <f ca="1">AVERAGE(OFFSET($R$3,0,0,'Données projet'!$E$9+1,1))-AVERAGE(OFFSET($H$3,0,0,'Données projet'!$E$9+1,1))</f>
        <v>706.69239849991595</v>
      </c>
      <c r="T69" s="59">
        <f t="shared" ref="T69:T132" si="88">$T$3</f>
        <v>310.59887275116529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53.679999999999978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9.0559511774797787</v>
      </c>
      <c r="AA69" s="21">
        <f>EXP(-LN(2)/25)*AA68+(1-EXP(-LN(2)/25))/(LN(2)/25)*Calculateur!V69*Calculateur!X69*VLOOKUP('Données projet'!$B$9,Paramètres!$A$1:$I$89,3,0)*0.475*44/12</f>
        <v>37.899335284566604</v>
      </c>
      <c r="AB69" s="21">
        <f>EXP(-LN(2)/2)*AB68+(1-EXP(-LN(2)/2))/(LN(2)/2)*V69*Y69*VLOOKUP('Données projet'!$B$9,Paramètres!$A$1:$I$89,3,0)*0.475*44/12</f>
        <v>5.7374293490177015</v>
      </c>
      <c r="AC69" s="22">
        <f t="shared" si="57"/>
        <v>52.692715811064083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2.6923076923076907</v>
      </c>
      <c r="AI69" s="13">
        <f>IF('Données projet'!$A$62&gt;35,AI68+AH69-AQ68,IF(A69&lt;'Données projet'!$A$62,$AF$205^A69,IF(A69='Données projet'!$A$62,'Données projet'!$B$62,AI68+AH69-AQ68)))</f>
        <v>118.07692307692299</v>
      </c>
      <c r="AJ69" s="13">
        <f>AI69*VLOOKUP('Données projet'!$B$10,Paramètres!$A$1:$I$89,3,0)*VLOOKUP('Données projet'!$B$10,Paramètres!$A$1:$I$89,5,0)</f>
        <v>123.41399999999993</v>
      </c>
      <c r="AK69" s="13">
        <f t="shared" ref="AK69:AK132" si="89">EXP(-1.0587+0.8836*LN(AJ69)+0.284)</f>
        <v>32.469954043567462</v>
      </c>
      <c r="AL69" s="20">
        <f t="shared" si="58"/>
        <v>271.49788662587986</v>
      </c>
      <c r="AM69" s="59">
        <f t="shared" si="59"/>
        <v>564.83121995921317</v>
      </c>
      <c r="AN69" s="59">
        <f ca="1">AVERAGE(OFFSET($AM$3,0,0,'Données projet'!$E$10+1,1))-AVERAGE(OFFSET($H$3,0,0,'Données projet'!$E$10+1,1))</f>
        <v>239.26156489359892</v>
      </c>
      <c r="AO69" s="59">
        <f t="shared" ref="AO69:AO132" si="90">$AO$3</f>
        <v>213.97034450798111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0.46836104973035503</v>
      </c>
      <c r="AV69" s="21">
        <f>EXP(-LN(2)/25)*AV68+(1-EXP(-LN(2)/25))/(LN(2)/25)*Calculateur!AQ69*Calculateur!AS69*VLOOKUP('Données projet'!$B$10,Paramètres!$A$1:$I$89,3,0)*0.475*44/12</f>
        <v>16.273376164673863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16.741737214404218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3.8</v>
      </c>
      <c r="BD69" s="12">
        <f>IF('Données projet'!$A$88&gt;35,BD68+BC69-BL68,IF(A69&lt;'Données projet'!$A$88,$BA$205^A69,IF(A69='Données projet'!$A$88,'Données projet'!$B$88,BD68+BC69-BL68)))</f>
        <v>247.79999999999984</v>
      </c>
      <c r="BE69" s="13">
        <f>BD69*VLOOKUP('Données projet'!$B$11,Paramètres!$A$1:$I$89,3,0)*VLOOKUP('Données projet'!$B$11,Paramètres!$A$1:$I$89,5,0)</f>
        <v>216.47807999999986</v>
      </c>
      <c r="BF69" s="13">
        <f t="shared" ref="BF69:BF132" si="91">EXP(-1.0587+0.8836*LN(BE69)+0.284)</f>
        <v>53.348696328338377</v>
      </c>
      <c r="BG69" s="20">
        <f t="shared" si="61"/>
        <v>469.94830210518904</v>
      </c>
      <c r="BH69" s="59">
        <f t="shared" si="62"/>
        <v>763.28163543852236</v>
      </c>
      <c r="BI69" s="59">
        <f ca="1">AVERAGE(OFFSET($BH$3,0,0,'Données projet'!$E$11+1,1))-AVERAGE(OFFSET($H$3,0,0,'Données projet'!$E$11+1,1))</f>
        <v>324.86930206492627</v>
      </c>
      <c r="BJ69" s="59">
        <f t="shared" ref="BJ69:BJ132" si="92">$BJ$3</f>
        <v>317.03005098025352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11.603273554802007</v>
      </c>
      <c r="BQ69" s="21">
        <f>EXP(-LN(2)/25)*BQ68+(1-EXP(-LN(2)/25))/(LN(2)/25)*Calculateur!BL69*Calculateur!BN69*VLOOKUP('Données projet'!$B$11,Paramètres!$A$1:$I$89,3,0)*0.475*44/12</f>
        <v>14.005707883492397</v>
      </c>
      <c r="BR69" s="21">
        <f>EXP(-LN(2)/2)*BR68+(1-EXP(-LN(2)/2))/(LN(2)/2)*BL69*BO69*VLOOKUP('Données projet'!$B$11,Paramètres!$A$1:$I$89,3,0)*0.475*44/12</f>
        <v>1.9887840309697209</v>
      </c>
      <c r="BS69" s="22">
        <f t="shared" si="63"/>
        <v>27.597765469264125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6.8933333333333326</v>
      </c>
      <c r="BY69" s="12">
        <f>IF('Données projet'!$A$114&gt;35,BY68+BX69-CG68,IF(A69&lt;'Données projet'!$A$114,$BV$205^A69,IF(A69='Données projet'!$A$114,'Données projet'!$B$114,BY68+BX69-CG68)))</f>
        <v>170.10999999999996</v>
      </c>
      <c r="BZ69" s="13">
        <f>BY69*VLOOKUP('Données projet'!$B$12,Paramètres!$A$1:$I$89,3,0)*VLOOKUP('Données projet'!$B$12,Paramètres!$A$1:$I$89,5,0)</f>
        <v>193.72126799999995</v>
      </c>
      <c r="CA69" s="13">
        <f t="shared" ref="CA69:CA132" si="93">EXP(-1.0587+0.8836*LN(BZ69)+0.284)</f>
        <v>48.361741331727508</v>
      </c>
      <c r="CB69" s="20">
        <f t="shared" si="64"/>
        <v>421.6279079194253</v>
      </c>
      <c r="CC69" s="59">
        <f t="shared" si="65"/>
        <v>714.96124125275855</v>
      </c>
      <c r="CD69" s="59">
        <f ca="1">AVERAGE(OFFSET($CC$3,0,0,'Données projet'!$E$12+1,1))-AVERAGE(OFFSET($H$3,0,0,'Données projet'!$E$12+1,1))</f>
        <v>593.28343396240075</v>
      </c>
      <c r="CE69" s="59">
        <f t="shared" ref="CE69:CE132" si="94">$CE$3</f>
        <v>289.66477662068695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26.61590414931587</v>
      </c>
      <c r="CM69" s="21">
        <f>EXP(-LN(2)/2)*CM68+(1-EXP(-LN(2)/2))/(LN(2)/2)*CG69*CJ69*VLOOKUP('Données projet'!$B$12,Paramètres!$A$1:$I$89,3,0)*0.475*44/12</f>
        <v>1.9574493344298793</v>
      </c>
      <c r="CN69" s="22">
        <f t="shared" si="66"/>
        <v>28.573353483745748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286.77</v>
      </c>
      <c r="CR69" s="12">
        <f>VLOOKUP(A69,'Données projet'!$A$139:$I$159,9,0)</f>
        <v>10.107499999999998</v>
      </c>
      <c r="CS69" s="12">
        <f t="array" ref="CS69">INDEX(CR:CR,MIN(IF(ISNUMBER(CR69:CR265),ROW(CR69:CR265),"")))</f>
        <v>10.107499999999998</v>
      </c>
      <c r="CT69" s="12">
        <f>IF('Données projet'!$A$140&gt;35,CT68+CS69-DB68,IF(A69&lt;'Données projet'!$A$140,$CQ$205^A69,IF(A69='Données projet'!$A$140,'Données projet'!$B$140,CT68+CS69-DB68)))</f>
        <v>286.77000000000032</v>
      </c>
      <c r="CU69" s="17">
        <f>CT69*VLOOKUP('Données projet'!$B$13,Paramètres!$A$1:$I$89,3,0)*VLOOKUP('Données projet'!$B$13,Paramètres!$A$1:$I$89,5,0)</f>
        <v>308.67922800000036</v>
      </c>
      <c r="CV69" s="13">
        <f t="shared" ref="CV69:CV132" si="95">EXP(-1.0587+0.8836*LN(CU69)+0.284)</f>
        <v>72.992931905389653</v>
      </c>
      <c r="CW69" s="20">
        <f t="shared" si="67"/>
        <v>664.7456785018876</v>
      </c>
      <c r="CX69" s="59">
        <f t="shared" si="68"/>
        <v>958.07901183522085</v>
      </c>
      <c r="CY69" s="59">
        <f ca="1">AVERAGE(OFFSET($CX$3,0,0,'Données projet'!$E$13+1,1))-AVERAGE(OFFSET($H$3,0,0,'Données projet'!$E$13+1,1))</f>
        <v>747.18304127457918</v>
      </c>
      <c r="CZ69" s="59">
        <f t="shared" ref="CZ69:CZ132" si="96">$CZ$3</f>
        <v>327.03701004966723</v>
      </c>
      <c r="DA69" s="15">
        <f>IF(ISNA(VLOOKUP(A69,'Données projet'!$A$139:$I$159,3,0)),0,VLOOKUP(A69,'Données projet'!$A$139:$I$159,3,0))</f>
        <v>4</v>
      </c>
      <c r="DB69" s="15">
        <f>IF(ISNA(VLOOKUP(A69,'Données projet'!$A$139:$I$159,4,0)),0,VLOOKUP(A69,'Données projet'!$A$139:$I$159,4,0))</f>
        <v>53.679999999999978</v>
      </c>
      <c r="DC69" s="16">
        <f>IF(ISNA(VLOOKUP(A69,'Données projet'!$A$139:$I$159,5,0)),0%,VLOOKUP(A69,'Données projet'!$A$139:$I$159,5,0)*VLOOKUP('Données projet'!$B$13,Paramètres!$A$1:$I$89,7,0))</f>
        <v>0.15049999999999999</v>
      </c>
      <c r="DD69" s="16">
        <f>IF(ISNA(VLOOKUP(A69,'Données projet'!$A$139:$I$159,6,0)),0%,VLOOKUP(A69,'Données projet'!$A$139:$I$159,6,0)*VLOOKUP('Données projet'!$B$13,Paramètres!$A$1:$I$89,7,0))</f>
        <v>8.6000000000000007E-2</v>
      </c>
      <c r="DE69" s="16">
        <f>IF(ISNA(VLOOKUP(A69,'Données projet'!$A$139:$I$159,7,0)),0%,VLOOKUP(A69,'Données projet'!$A$139:$I$159,7,0))</f>
        <v>0.1</v>
      </c>
      <c r="DF69" s="21">
        <f>EXP(-LN(2)/35)*DF68+(1-EXP(-LN(2)/35))/(LN(2)/35)*DB69*DC69*VLOOKUP('Données projet'!$B$13,Paramètres!$A$1:$I$89,3,0)*0.475*44/12</f>
        <v>9.6132404807093046</v>
      </c>
      <c r="DG69" s="21">
        <f>EXP(-LN(2)/25)*DG68+(1-EXP(-LN(2)/25))/(LN(2)/25)*Calculateur!DB69*Calculateur!DD69*VLOOKUP('Données projet'!$B$13,Paramètres!$A$1:$I$89,3,0)*0.475*44/12</f>
        <v>40.231602071309155</v>
      </c>
      <c r="DH69" s="21">
        <f>EXP(-LN(2)/2)*DH68+(1-EXP(-LN(2)/2))/(LN(2)/2)*DB69*DE69*VLOOKUP('Données projet'!$B$13,Paramètres!$A$1:$I$89,3,0)*0.475*44/12</f>
        <v>6.0905019243418677</v>
      </c>
      <c r="DI69" s="22">
        <f t="shared" si="69"/>
        <v>55.935344476360328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4.5999999999999996</v>
      </c>
      <c r="DO69" s="12">
        <f>IF('Données projet'!$A$166&gt;35,DO68+DN69-DW68,IF(A69&lt;'Données projet'!$A$166,$DL$205^A69,IF(A69='Données projet'!$A$166,'Données projet'!$B$166,DO68+DN69-DW68)))</f>
        <v>297.59999999999985</v>
      </c>
      <c r="DP69" s="17">
        <f>DO69*VLOOKUP('Données projet'!$B$14,Paramètres!$A$1:$I$89,3,0)*VLOOKUP('Données projet'!$B$14,Paramètres!$A$1:$I$89,5,0)</f>
        <v>236.7705599999999</v>
      </c>
      <c r="DQ69" s="13">
        <f t="shared" ref="DQ69:DQ132" si="97">EXP(-1.0587+0.8836*LN(DP69)+0.284)</f>
        <v>57.744153841586879</v>
      </c>
      <c r="DR69" s="20">
        <f t="shared" si="70"/>
        <v>512.9464599407637</v>
      </c>
      <c r="DS69" s="59">
        <f t="shared" si="71"/>
        <v>806.27979327409707</v>
      </c>
      <c r="DT69" s="59">
        <f ca="1">AVERAGE(OFFSET($DS$3,0,0,'Données projet'!$E$14+1,1))-AVERAGE(OFFSET($H$3,0,0,'Données projet'!$E$14+1,1))</f>
        <v>353.37479213497227</v>
      </c>
      <c r="DU69" s="59">
        <f t="shared" ref="DU69:DU132" si="98">$DU$3</f>
        <v>345.4750813433123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14.535770984057601</v>
      </c>
      <c r="EB69" s="21">
        <f>EXP(-LN(2)/25)*EB68+(1-EXP(-LN(2)/25))/(LN(2)/25)*Calculateur!DW69*Calculateur!DY69*VLOOKUP('Données projet'!$B$14,Paramètres!$A$1:$I$89,3,0)*0.475*44/12</f>
        <v>15.719075481754166</v>
      </c>
      <c r="EC69" s="21">
        <f>EXP(-LN(2)/2)*EC68+(1-EXP(-LN(2)/2))/(LN(2)/2)*DW69*DZ69*VLOOKUP('Données projet'!$B$14,Paramètres!$A$1:$I$89,3,0)*0.475*44/12</f>
        <v>2.1378937111431719</v>
      </c>
      <c r="ED69" s="22">
        <f t="shared" si="72"/>
        <v>32.392740176954938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>
        <f>VLOOKUP(A69,'Données projet'!$A$191:$I$211,2,0)</f>
        <v>440.2</v>
      </c>
      <c r="EH69" s="12">
        <f>VLOOKUP(A69,'Données projet'!$A$191:$I$211,9,0)</f>
        <v>32.909999999999989</v>
      </c>
      <c r="EI69" s="12">
        <f t="array" ref="EI69">INDEX(EH:EH,MIN(IF(ISNUMBER(EH69:EH265),ROW(EH69:EH265),"")))</f>
        <v>32.909999999999989</v>
      </c>
      <c r="EJ69" s="12">
        <f>IF('Données projet'!$A$192&gt;35,EJ68+EI69-ER68,IF(A69&lt;'Données projet'!$A$192,$EG$205^A69,IF(A69='Données projet'!$A$192,'Données projet'!$B$192,EJ68+EI69-ER68)))</f>
        <v>440.19999999999953</v>
      </c>
      <c r="EK69" s="17">
        <f>EJ69*VLOOKUP('Données projet'!$B$15,Paramètres!$A$1:$I$89,3,0)*VLOOKUP('Données projet'!$B$15,Paramètres!$A$1:$I$89,5,0)</f>
        <v>206.0135999999998</v>
      </c>
      <c r="EL69" s="13">
        <f t="shared" ref="EL69:EL132" si="99">EXP(-1.0587+0.8836*LN(EK69)+0.284)</f>
        <v>51.063487709141434</v>
      </c>
      <c r="EM69" s="20">
        <f t="shared" si="73"/>
        <v>447.74259442675424</v>
      </c>
      <c r="EN69" s="59">
        <f t="shared" si="74"/>
        <v>741.07592776008755</v>
      </c>
      <c r="EO69" s="59">
        <f ca="1">AVERAGE(OFFSET($EN$3,0,0,'Données projet'!$E$15+1,1))-AVERAGE(OFFSET($H$3,0,0,'Données projet'!$E$15+1,1))</f>
        <v>433.05041777893922</v>
      </c>
      <c r="EP69" s="59">
        <f t="shared" ref="EP69:EP132" si="100">$EP$3</f>
        <v>591.24088611958996</v>
      </c>
      <c r="EQ69" s="15">
        <f>IF(ISNA(VLOOKUP(A69,'Données projet'!$A$191:$I$211,3,0)),0,VLOOKUP(A69,'Données projet'!$A$191:$I$211,3,0))</f>
        <v>4</v>
      </c>
      <c r="ER69" s="15">
        <f>IF(ISNA(VLOOKUP(A69,'Données projet'!$A$191:$I$211,4,0)),0,VLOOKUP(A69,'Données projet'!$A$191:$I$211,4,0))</f>
        <v>88.899999999999977</v>
      </c>
      <c r="ES69" s="16">
        <f>IF(ISNA(VLOOKUP(A69,'Données projet'!$A$191:$I$211,5,0)),0%,VLOOKUP(A69,'Données projet'!$A$191:$I$211,5,0)*VLOOKUP('Données projet'!$B$15,Paramètres!$A$1:$I$89,7,0))</f>
        <v>0.33</v>
      </c>
      <c r="ET69" s="16">
        <f>IF(ISNA(VLOOKUP(A69,'Données projet'!$A$191:$I$211,6,0)),0%,VLOOKUP(A69,'Données projet'!$A$191:$I$211,6,0)*VLOOKUP('Données projet'!$B$15,Paramètres!$A$1:$I$89,7,0))</f>
        <v>0.11000000000000001</v>
      </c>
      <c r="EU69" s="16">
        <f>IF(ISNA(VLOOKUP(A69,'Données projet'!$A$191:$I$211,7,0)),0%,VLOOKUP(A69,'Données projet'!$A$191:$I$211,7,0))</f>
        <v>0.2</v>
      </c>
      <c r="EV69" s="21">
        <f>EXP(-LN(2)/35)*EV68+(1-EXP(-LN(2)/35))/(LN(2)/35)*ER69*ES69*VLOOKUP('Données projet'!$B$15,Paramètres!$A$1:$I$89,3,0)*0.475*44/12</f>
        <v>146.27770134568942</v>
      </c>
      <c r="EW69" s="21">
        <f>EXP(-LN(2)/25)*EW68+(1-EXP(-LN(2)/25))/(LN(2)/25)*Calculateur!ER69*Calculateur!ET69*VLOOKUP('Données projet'!$B$15,Paramètres!$A$1:$I$89,3,0)*0.475*44/12</f>
        <v>58.149931000554432</v>
      </c>
      <c r="EX69" s="21">
        <f>EXP(-LN(2)/2)*EX68+(1-EXP(-LN(2)/2))/(LN(2)/2)*ER69*EU69*VLOOKUP('Données projet'!$B$15,Paramètres!$A$1:$I$89,3,0)*0.475*44/12</f>
        <v>13.36387592584575</v>
      </c>
      <c r="EY69" s="22">
        <f t="shared" si="75"/>
        <v>217.7915082720896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2.5641025641025577</v>
      </c>
      <c r="FE69" s="12">
        <f>IF('Données projet'!$A$218&gt;35,FE68+FD69-FM68,IF(A69&lt;'Données projet'!$A$218,$FB$205^A69,IF(A69='Données projet'!$A$218,'Données projet'!$B$218,FE68+FD69-FM68)))</f>
        <v>103.84615384615384</v>
      </c>
      <c r="FF69" s="17">
        <f>FE69*VLOOKUP('Données projet'!$B$16,Paramètres!$A$1:$I$89,3,0)*VLOOKUP('Données projet'!$B$16,Paramètres!$A$1:$I$89,5,0)</f>
        <v>84.240000000000009</v>
      </c>
      <c r="FG69" s="13">
        <f t="shared" ref="FG69:FG132" si="101">EXP(-1.0587+0.8836*LN(FF69)+0.284)</f>
        <v>23.170749718409468</v>
      </c>
      <c r="FH69" s="20">
        <f t="shared" si="76"/>
        <v>187.07372242622981</v>
      </c>
      <c r="FI69" s="59">
        <f t="shared" si="77"/>
        <v>480.40705575956315</v>
      </c>
      <c r="FJ69" s="59">
        <f ca="1">AVERAGE(OFFSET($FI$3,0,0,'Données projet'!$E$16+1,1))-AVERAGE(OFFSET($H$3,0,0,'Données projet'!$E$16+1,1))</f>
        <v>159.4660488566085</v>
      </c>
      <c r="FK69" s="59">
        <f t="shared" ref="FK69:FK132" si="102">$FK$3</f>
        <v>135.33030558297088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3.6205575439291833</v>
      </c>
      <c r="FS69" s="21">
        <f>EXP(-LN(2)/2)*FS68+(1-EXP(-LN(2)/2))/(LN(2)/2)*FM69*FP69*VLOOKUP('Données projet'!$B$16,Paramètres!$A$1:$I$89,3,0)*0.475*44/12</f>
        <v>1.1589123899705811</v>
      </c>
      <c r="FT69" s="22">
        <f t="shared" si="78"/>
        <v>4.7794699338997644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9.733749999999997</v>
      </c>
      <c r="N70" s="13">
        <f>IF('Données projet'!$A$36&gt;35,N69+M70-V69,IF(A70&lt;'Données projet'!$A$36,$K$205^A70,IF(A70='Données projet'!$A$36,'Données projet'!$B$36,N69+M70-V69)))</f>
        <v>242.82375000000033</v>
      </c>
      <c r="O70" s="13">
        <f>N70*VLOOKUP('Données projet'!$B$9,Paramètres!$A$1:$I$89,3,0)*VLOOKUP('Données projet'!$B$9,Paramètres!$A$1:$I$89,5,0)</f>
        <v>246.22328250000032</v>
      </c>
      <c r="P70" s="13">
        <f t="shared" si="87"/>
        <v>59.776498563165894</v>
      </c>
      <c r="Q70" s="20">
        <f t="shared" si="54"/>
        <v>532.94961868501457</v>
      </c>
      <c r="R70" s="59">
        <f t="shared" si="55"/>
        <v>826.28295201834794</v>
      </c>
      <c r="S70" s="59">
        <f ca="1">AVERAGE(OFFSET($R$3,0,0,'Données projet'!$E$9+1,1))-AVERAGE(OFFSET($H$3,0,0,'Données projet'!$E$9+1,1))</f>
        <v>706.69239849991595</v>
      </c>
      <c r="T70" s="59">
        <f t="shared" si="88"/>
        <v>310.59887275116529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8.8783694984742105</v>
      </c>
      <c r="AA70" s="21">
        <f>EXP(-LN(2)/25)*AA69+(1-EXP(-LN(2)/25))/(LN(2)/25)*Calculateur!V70*Calculateur!X70*VLOOKUP('Données projet'!$B$9,Paramètres!$A$1:$I$89,3,0)*0.475*44/12</f>
        <v>36.862975968170709</v>
      </c>
      <c r="AB70" s="21">
        <f>EXP(-LN(2)/2)*AB69+(1-EXP(-LN(2)/2))/(LN(2)/2)*V70*Y70*VLOOKUP('Données projet'!$B$9,Paramètres!$A$1:$I$89,3,0)*0.475*44/12</f>
        <v>4.0569751992691359</v>
      </c>
      <c r="AC70" s="22">
        <f t="shared" si="57"/>
        <v>49.798320665914048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2.6923076923076907</v>
      </c>
      <c r="AI70" s="13">
        <f>IF('Données projet'!$A$62&gt;35,AI69+AH70-AQ69,IF(A70&lt;'Données projet'!$A$62,$AF$205^A70,IF(A70='Données projet'!$A$62,'Données projet'!$B$62,AI69+AH70-AQ69)))</f>
        <v>120.76923076923069</v>
      </c>
      <c r="AJ70" s="13">
        <f>AI70*VLOOKUP('Données projet'!$B$10,Paramètres!$A$1:$I$89,3,0)*VLOOKUP('Données projet'!$B$10,Paramètres!$A$1:$I$89,5,0)</f>
        <v>126.22799999999992</v>
      </c>
      <c r="AK70" s="13">
        <f t="shared" si="89"/>
        <v>33.123272875637802</v>
      </c>
      <c r="AL70" s="20">
        <f t="shared" si="58"/>
        <v>277.53680025840237</v>
      </c>
      <c r="AM70" s="59">
        <f t="shared" si="59"/>
        <v>570.87013359173568</v>
      </c>
      <c r="AN70" s="59">
        <f ca="1">AVERAGE(OFFSET($AM$3,0,0,'Données projet'!$E$10+1,1))-AVERAGE(OFFSET($H$3,0,0,'Données projet'!$E$10+1,1))</f>
        <v>239.26156489359892</v>
      </c>
      <c r="AO70" s="59">
        <f t="shared" si="90"/>
        <v>213.97034450798111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0.45917677521717531</v>
      </c>
      <c r="AV70" s="21">
        <f>EXP(-LN(2)/25)*AV69+(1-EXP(-LN(2)/25))/(LN(2)/25)*Calculateur!AQ70*Calculateur!AS70*VLOOKUP('Données projet'!$B$10,Paramètres!$A$1:$I$89,3,0)*0.475*44/12</f>
        <v>15.828379837671196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16.287556612888373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3.8</v>
      </c>
      <c r="BD70" s="12">
        <f>IF('Données projet'!$A$88&gt;35,BD69+BC70-BL69,IF(A70&lt;'Données projet'!$A$88,$BA$205^A70,IF(A70='Données projet'!$A$88,'Données projet'!$B$88,BD69+BC70-BL69)))</f>
        <v>251.59999999999985</v>
      </c>
      <c r="BE70" s="13">
        <f>BD70*VLOOKUP('Données projet'!$B$11,Paramètres!$A$1:$I$89,3,0)*VLOOKUP('Données projet'!$B$11,Paramètres!$A$1:$I$89,5,0)</f>
        <v>219.7977599999999</v>
      </c>
      <c r="BF70" s="13">
        <f t="shared" si="91"/>
        <v>54.070927503307338</v>
      </c>
      <c r="BG70" s="20">
        <f t="shared" si="61"/>
        <v>476.98796406826</v>
      </c>
      <c r="BH70" s="59">
        <f t="shared" si="62"/>
        <v>770.32129740159326</v>
      </c>
      <c r="BI70" s="59">
        <f ca="1">AVERAGE(OFFSET($BH$3,0,0,'Données projet'!$E$11+1,1))-AVERAGE(OFFSET($H$3,0,0,'Données projet'!$E$11+1,1))</f>
        <v>324.86930206492627</v>
      </c>
      <c r="BJ70" s="59">
        <f t="shared" si="92"/>
        <v>317.03005098025352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11.375740437690382</v>
      </c>
      <c r="BQ70" s="21">
        <f>EXP(-LN(2)/25)*BQ69+(1-EXP(-LN(2)/25))/(LN(2)/25)*Calculateur!BL70*Calculateur!BN70*VLOOKUP('Données projet'!$B$11,Paramètres!$A$1:$I$89,3,0)*0.475*44/12</f>
        <v>13.622721064890129</v>
      </c>
      <c r="BR70" s="21">
        <f>EXP(-LN(2)/2)*BR69+(1-EXP(-LN(2)/2))/(LN(2)/2)*BL70*BO70*VLOOKUP('Données projet'!$B$11,Paramètres!$A$1:$I$89,3,0)*0.475*44/12</f>
        <v>1.4062826746142065</v>
      </c>
      <c r="BS70" s="22">
        <f t="shared" si="63"/>
        <v>26.404744177194718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6.8933333333333326</v>
      </c>
      <c r="BY70" s="12">
        <f>IF('Données projet'!$A$114&gt;35,BY69+BX70-CG69,IF(A70&lt;'Données projet'!$A$114,$BV$205^A70,IF(A70='Données projet'!$A$114,'Données projet'!$B$114,BY69+BX70-CG69)))</f>
        <v>177.0033333333333</v>
      </c>
      <c r="BZ70" s="13">
        <f>BY70*VLOOKUP('Données projet'!$B$12,Paramètres!$A$1:$I$89,3,0)*VLOOKUP('Données projet'!$B$12,Paramètres!$A$1:$I$89,5,0)</f>
        <v>201.57139599999996</v>
      </c>
      <c r="CA70" s="13">
        <f t="shared" si="93"/>
        <v>50.089355546385931</v>
      </c>
      <c r="CB70" s="20">
        <f t="shared" si="64"/>
        <v>438.30914227662203</v>
      </c>
      <c r="CC70" s="59">
        <f t="shared" si="65"/>
        <v>731.64247560995534</v>
      </c>
      <c r="CD70" s="59">
        <f ca="1">AVERAGE(OFFSET($CC$3,0,0,'Données projet'!$E$12+1,1))-AVERAGE(OFFSET($H$3,0,0,'Données projet'!$E$12+1,1))</f>
        <v>593.28343396240075</v>
      </c>
      <c r="CE70" s="59">
        <f t="shared" si="94"/>
        <v>289.66477662068695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25.888090850683259</v>
      </c>
      <c r="CM70" s="21">
        <f>EXP(-LN(2)/2)*CM69+(1-EXP(-LN(2)/2))/(LN(2)/2)*CG70*CJ70*VLOOKUP('Données projet'!$B$12,Paramètres!$A$1:$I$89,3,0)*0.475*44/12</f>
        <v>1.3841256982044619</v>
      </c>
      <c r="CN70" s="22">
        <f t="shared" si="66"/>
        <v>27.27221654888772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9.733749999999997</v>
      </c>
      <c r="CT70" s="12">
        <f>IF('Données projet'!$A$140&gt;35,CT69+CS70-DB69,IF(A70&lt;'Données projet'!$A$140,$CQ$205^A70,IF(A70='Données projet'!$A$140,'Données projet'!$B$140,CT69+CS70-DB69)))</f>
        <v>242.82375000000033</v>
      </c>
      <c r="CU70" s="17">
        <f>CT70*VLOOKUP('Données projet'!$B$13,Paramètres!$A$1:$I$89,3,0)*VLOOKUP('Données projet'!$B$13,Paramètres!$A$1:$I$89,5,0)</f>
        <v>261.37548450000037</v>
      </c>
      <c r="CV70" s="13">
        <f t="shared" si="95"/>
        <v>63.015485569533226</v>
      </c>
      <c r="CW70" s="20">
        <f t="shared" si="67"/>
        <v>564.98093953777095</v>
      </c>
      <c r="CX70" s="59">
        <f t="shared" si="68"/>
        <v>858.31427287110432</v>
      </c>
      <c r="CY70" s="59">
        <f ca="1">AVERAGE(OFFSET($CX$3,0,0,'Données projet'!$E$13+1,1))-AVERAGE(OFFSET($H$3,0,0,'Données projet'!$E$13+1,1))</f>
        <v>747.18304127457918</v>
      </c>
      <c r="CZ70" s="59">
        <f t="shared" si="96"/>
        <v>327.03701004966723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9.4247306983803156</v>
      </c>
      <c r="DG70" s="21">
        <f>EXP(-LN(2)/25)*DG69+(1-EXP(-LN(2)/25))/(LN(2)/25)*Calculateur!DB70*Calculateur!DD70*VLOOKUP('Données projet'!$B$13,Paramètres!$A$1:$I$89,3,0)*0.475*44/12</f>
        <v>39.131466796981201</v>
      </c>
      <c r="DH70" s="21">
        <f>EXP(-LN(2)/2)*DH69+(1-EXP(-LN(2)/2))/(LN(2)/2)*DB70*DE70*VLOOKUP('Données projet'!$B$13,Paramètres!$A$1:$I$89,3,0)*0.475*44/12</f>
        <v>4.3066352115318516</v>
      </c>
      <c r="DI70" s="22">
        <f t="shared" si="69"/>
        <v>52.862832706893371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4.5999999999999996</v>
      </c>
      <c r="DO70" s="12">
        <f>IF('Données projet'!$A$166&gt;35,DO69+DN70-DW69,IF(A70&lt;'Données projet'!$A$166,$DL$205^A70,IF(A70='Données projet'!$A$166,'Données projet'!$B$166,DO69+DN70-DW69)))</f>
        <v>302.19999999999987</v>
      </c>
      <c r="DP70" s="17">
        <f>DO70*VLOOKUP('Données projet'!$B$14,Paramètres!$A$1:$I$89,3,0)*VLOOKUP('Données projet'!$B$14,Paramètres!$A$1:$I$89,5,0)</f>
        <v>240.43031999999991</v>
      </c>
      <c r="DQ70" s="13">
        <f t="shared" si="97"/>
        <v>58.532106271380506</v>
      </c>
      <c r="DR70" s="20">
        <f t="shared" si="70"/>
        <v>520.69289242265415</v>
      </c>
      <c r="DS70" s="59">
        <f t="shared" si="71"/>
        <v>814.02622575598753</v>
      </c>
      <c r="DT70" s="59">
        <f ca="1">AVERAGE(OFFSET($DS$3,0,0,'Données projet'!$E$14+1,1))-AVERAGE(OFFSET($H$3,0,0,'Données projet'!$E$14+1,1))</f>
        <v>353.37479213497227</v>
      </c>
      <c r="DU70" s="59">
        <f t="shared" si="98"/>
        <v>345.4750813433123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14.250733381005093</v>
      </c>
      <c r="EB70" s="21">
        <f>EXP(-LN(2)/25)*EB69+(1-EXP(-LN(2)/25))/(LN(2)/25)*Calculateur!DW70*Calculateur!DY70*VLOOKUP('Données projet'!$B$14,Paramètres!$A$1:$I$89,3,0)*0.475*44/12</f>
        <v>15.289236536075345</v>
      </c>
      <c r="EC70" s="21">
        <f>EXP(-LN(2)/2)*EC69+(1-EXP(-LN(2)/2))/(LN(2)/2)*DW70*DZ70*VLOOKUP('Données projet'!$B$14,Paramètres!$A$1:$I$89,3,0)*0.475*44/12</f>
        <v>1.5117191406054111</v>
      </c>
      <c r="ED70" s="22">
        <f t="shared" si="72"/>
        <v>31.051689057685849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24.01</v>
      </c>
      <c r="EJ70" s="12">
        <f>IF('Données projet'!$A$192&gt;35,EJ69+EI70-ER69,IF(A70&lt;'Données projet'!$A$192,$EG$205^A70,IF(A70='Données projet'!$A$192,'Données projet'!$B$192,EJ69+EI70-ER69)))</f>
        <v>375.30999999999955</v>
      </c>
      <c r="EK70" s="17">
        <f>EJ70*VLOOKUP('Données projet'!$B$15,Paramètres!$A$1:$I$89,3,0)*VLOOKUP('Données projet'!$B$15,Paramètres!$A$1:$I$89,5,0)</f>
        <v>175.64507999999981</v>
      </c>
      <c r="EL70" s="13">
        <f t="shared" si="99"/>
        <v>44.351919974023666</v>
      </c>
      <c r="EM70" s="20">
        <f t="shared" si="73"/>
        <v>383.16144162142422</v>
      </c>
      <c r="EN70" s="59">
        <f t="shared" si="74"/>
        <v>676.49477495475753</v>
      </c>
      <c r="EO70" s="59">
        <f ca="1">AVERAGE(OFFSET($EN$3,0,0,'Données projet'!$E$15+1,1))-AVERAGE(OFFSET($H$3,0,0,'Données projet'!$E$15+1,1))</f>
        <v>433.05041777893922</v>
      </c>
      <c r="EP70" s="59">
        <f t="shared" si="100"/>
        <v>591.24088611958996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143.40928484288847</v>
      </c>
      <c r="EW70" s="21">
        <f>EXP(-LN(2)/25)*EW69+(1-EXP(-LN(2)/25))/(LN(2)/25)*Calculateur!ER70*Calculateur!ET70*VLOOKUP('Données projet'!$B$15,Paramètres!$A$1:$I$89,3,0)*0.475*44/12</f>
        <v>56.559818079372306</v>
      </c>
      <c r="EX70" s="21">
        <f>EXP(-LN(2)/2)*EX69+(1-EXP(-LN(2)/2))/(LN(2)/2)*ER70*EU70*VLOOKUP('Données projet'!$B$15,Paramètres!$A$1:$I$89,3,0)*0.475*44/12</f>
        <v>9.4496872901011812</v>
      </c>
      <c r="EY70" s="22">
        <f t="shared" si="75"/>
        <v>209.41879021236196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2.5641025641025577</v>
      </c>
      <c r="FE70" s="12">
        <f>IF('Données projet'!$A$218&gt;35,FE69+FD70-FM69,IF(A70&lt;'Données projet'!$A$218,$FB$205^A70,IF(A70='Données projet'!$A$218,'Données projet'!$B$218,FE69+FD70-FM69)))</f>
        <v>106.41025641025639</v>
      </c>
      <c r="FF70" s="17">
        <f>FE70*VLOOKUP('Données projet'!$B$16,Paramètres!$A$1:$I$89,3,0)*VLOOKUP('Données projet'!$B$16,Paramètres!$A$1:$I$89,5,0)</f>
        <v>86.32</v>
      </c>
      <c r="FG70" s="13">
        <f t="shared" si="101"/>
        <v>23.675552678472247</v>
      </c>
      <c r="FH70" s="20">
        <f t="shared" si="76"/>
        <v>191.57558758167247</v>
      </c>
      <c r="FI70" s="59">
        <f t="shared" si="77"/>
        <v>484.90892091500575</v>
      </c>
      <c r="FJ70" s="59">
        <f ca="1">AVERAGE(OFFSET($FI$3,0,0,'Données projet'!$E$16+1,1))-AVERAGE(OFFSET($H$3,0,0,'Données projet'!$E$16+1,1))</f>
        <v>159.4660488566085</v>
      </c>
      <c r="FK70" s="59">
        <f t="shared" si="102"/>
        <v>135.33030558297088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3.5215532074935934</v>
      </c>
      <c r="FS70" s="21">
        <f>EXP(-LN(2)/2)*FS69+(1-EXP(-LN(2)/2))/(LN(2)/2)*FM70*FP70*VLOOKUP('Données projet'!$B$16,Paramètres!$A$1:$I$89,3,0)*0.475*44/12</f>
        <v>0.81947480974930653</v>
      </c>
      <c r="FT70" s="22">
        <f t="shared" si="78"/>
        <v>4.3410280172429001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9.733749999999997</v>
      </c>
      <c r="N71" s="13">
        <f>IF('Données projet'!$A$36&gt;35,N70+M71-V70,IF(A71&lt;'Données projet'!$A$36,$K$205^A71,IF(A71='Données projet'!$A$36,'Données projet'!$B$36,N70+M71-V70)))</f>
        <v>252.55750000000032</v>
      </c>
      <c r="O71" s="13">
        <f>N71*VLOOKUP('Données projet'!$B$9,Paramètres!$A$1:$I$89,3,0)*VLOOKUP('Données projet'!$B$9,Paramètres!$A$1:$I$89,5,0)</f>
        <v>256.09330500000038</v>
      </c>
      <c r="P71" s="13">
        <f t="shared" si="87"/>
        <v>61.888896112284726</v>
      </c>
      <c r="Q71" s="20">
        <f t="shared" si="54"/>
        <v>553.81900027056327</v>
      </c>
      <c r="R71" s="59">
        <f t="shared" si="55"/>
        <v>847.15233360389652</v>
      </c>
      <c r="S71" s="59">
        <f ca="1">AVERAGE(OFFSET($R$3,0,0,'Données projet'!$E$9+1,1))-AVERAGE(OFFSET($H$3,0,0,'Données projet'!$E$9+1,1))</f>
        <v>706.69239849991595</v>
      </c>
      <c r="T71" s="59">
        <f t="shared" si="88"/>
        <v>310.59887275116529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8.7042700878798112</v>
      </c>
      <c r="AA71" s="21">
        <f>EXP(-LN(2)/25)*AA70+(1-EXP(-LN(2)/25))/(LN(2)/25)*Calculateur!V71*Calculateur!X71*VLOOKUP('Données projet'!$B$9,Paramètres!$A$1:$I$89,3,0)*0.475*44/12</f>
        <v>35.854955951781427</v>
      </c>
      <c r="AB71" s="21">
        <f>EXP(-LN(2)/2)*AB70+(1-EXP(-LN(2)/2))/(LN(2)/2)*V71*Y71*VLOOKUP('Données projet'!$B$9,Paramètres!$A$1:$I$89,3,0)*0.475*44/12</f>
        <v>2.8687146745088512</v>
      </c>
      <c r="AC71" s="22">
        <f t="shared" si="57"/>
        <v>47.427940714170091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2.6923076923076907</v>
      </c>
      <c r="AI71" s="13">
        <f>IF('Données projet'!$A$62&gt;35,AI70+AH71-AQ70,IF(A71&lt;'Données projet'!$A$62,$AF$205^A71,IF(A71='Données projet'!$A$62,'Données projet'!$B$62,AI70+AH71-AQ70)))</f>
        <v>123.46153846153838</v>
      </c>
      <c r="AJ71" s="13">
        <f>AI71*VLOOKUP('Données projet'!$B$10,Paramètres!$A$1:$I$89,3,0)*VLOOKUP('Données projet'!$B$10,Paramètres!$A$1:$I$89,5,0)</f>
        <v>129.04199999999992</v>
      </c>
      <c r="AK71" s="13">
        <f t="shared" si="89"/>
        <v>33.77489845718803</v>
      </c>
      <c r="AL71" s="20">
        <f t="shared" si="58"/>
        <v>283.5727648129357</v>
      </c>
      <c r="AM71" s="59">
        <f t="shared" si="59"/>
        <v>576.90609814626896</v>
      </c>
      <c r="AN71" s="59">
        <f ca="1">AVERAGE(OFFSET($AM$3,0,0,'Données projet'!$E$10+1,1))-AVERAGE(OFFSET($H$3,0,0,'Données projet'!$E$10+1,1))</f>
        <v>239.26156489359892</v>
      </c>
      <c r="AO71" s="59">
        <f t="shared" si="90"/>
        <v>213.97034450798111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0.45017259872534476</v>
      </c>
      <c r="AV71" s="21">
        <f>EXP(-LN(2)/25)*AV70+(1-EXP(-LN(2)/25))/(LN(2)/25)*Calculateur!AQ71*Calculateur!AS71*VLOOKUP('Données projet'!$B$10,Paramètres!$A$1:$I$89,3,0)*0.475*44/12</f>
        <v>15.395551958631758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15.845724557357103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3.8</v>
      </c>
      <c r="BD71" s="12">
        <f>IF('Données projet'!$A$88&gt;35,BD70+BC71-BL70,IF(A71&lt;'Données projet'!$A$88,$BA$205^A71,IF(A71='Données projet'!$A$88,'Données projet'!$B$88,BD70+BC71-BL70)))</f>
        <v>255.39999999999986</v>
      </c>
      <c r="BE71" s="13">
        <f>BD71*VLOOKUP('Données projet'!$B$11,Paramètres!$A$1:$I$89,3,0)*VLOOKUP('Données projet'!$B$11,Paramètres!$A$1:$I$89,5,0)</f>
        <v>223.11743999999993</v>
      </c>
      <c r="BF71" s="13">
        <f t="shared" si="91"/>
        <v>54.791890039639448</v>
      </c>
      <c r="BG71" s="20">
        <f t="shared" si="61"/>
        <v>484.02541648570531</v>
      </c>
      <c r="BH71" s="59">
        <f t="shared" si="62"/>
        <v>777.35874981903862</v>
      </c>
      <c r="BI71" s="59">
        <f ca="1">AVERAGE(OFFSET($BH$3,0,0,'Données projet'!$E$11+1,1))-AVERAGE(OFFSET($H$3,0,0,'Données projet'!$E$11+1,1))</f>
        <v>324.86930206492627</v>
      </c>
      <c r="BJ71" s="59">
        <f t="shared" si="92"/>
        <v>317.03005098025352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11.152669106223819</v>
      </c>
      <c r="BQ71" s="21">
        <f>EXP(-LN(2)/25)*BQ70+(1-EXP(-LN(2)/25))/(LN(2)/25)*Calculateur!BL71*Calculateur!BN71*VLOOKUP('Données projet'!$B$11,Paramètres!$A$1:$I$89,3,0)*0.475*44/12</f>
        <v>13.250207040982943</v>
      </c>
      <c r="BR71" s="21">
        <f>EXP(-LN(2)/2)*BR70+(1-EXP(-LN(2)/2))/(LN(2)/2)*BL71*BO71*VLOOKUP('Données projet'!$B$11,Paramètres!$A$1:$I$89,3,0)*0.475*44/12</f>
        <v>0.99439201548486067</v>
      </c>
      <c r="BS71" s="22">
        <f t="shared" si="63"/>
        <v>25.397268162691621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6.8933333333333326</v>
      </c>
      <c r="BY71" s="12">
        <f>IF('Données projet'!$A$114&gt;35,BY70+BX71-CG70,IF(A71&lt;'Données projet'!$A$114,$BV$205^A71,IF(A71='Données projet'!$A$114,'Données projet'!$B$114,BY70+BX71-CG70)))</f>
        <v>183.89666666666665</v>
      </c>
      <c r="BZ71" s="13">
        <f>BY71*VLOOKUP('Données projet'!$B$12,Paramètres!$A$1:$I$89,3,0)*VLOOKUP('Données projet'!$B$12,Paramètres!$A$1:$I$89,5,0)</f>
        <v>209.42152400000001</v>
      </c>
      <c r="CA71" s="13">
        <f t="shared" si="93"/>
        <v>51.809153850888102</v>
      </c>
      <c r="CB71" s="20">
        <f t="shared" si="64"/>
        <v>454.97676392363013</v>
      </c>
      <c r="CC71" s="59">
        <f t="shared" si="65"/>
        <v>748.31009725696345</v>
      </c>
      <c r="CD71" s="59">
        <f ca="1">AVERAGE(OFFSET($CC$3,0,0,'Données projet'!$E$12+1,1))-AVERAGE(OFFSET($H$3,0,0,'Données projet'!$E$12+1,1))</f>
        <v>593.28343396240075</v>
      </c>
      <c r="CE71" s="59">
        <f t="shared" si="94"/>
        <v>289.66477662068695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25.180179644975794</v>
      </c>
      <c r="CM71" s="21">
        <f>EXP(-LN(2)/2)*CM70+(1-EXP(-LN(2)/2))/(LN(2)/2)*CG71*CJ71*VLOOKUP('Données projet'!$B$12,Paramètres!$A$1:$I$89,3,0)*0.475*44/12</f>
        <v>0.97872466721493978</v>
      </c>
      <c r="CN71" s="22">
        <f t="shared" si="66"/>
        <v>26.158904312190735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9.733749999999997</v>
      </c>
      <c r="CT71" s="12">
        <f>IF('Données projet'!$A$140&gt;35,CT70+CS71-DB70,IF(A71&lt;'Données projet'!$A$140,$CQ$205^A71,IF(A71='Données projet'!$A$140,'Données projet'!$B$140,CT70+CS71-DB70)))</f>
        <v>252.55750000000032</v>
      </c>
      <c r="CU71" s="17">
        <f>CT71*VLOOKUP('Données projet'!$B$13,Paramètres!$A$1:$I$89,3,0)*VLOOKUP('Données projet'!$B$13,Paramètres!$A$1:$I$89,5,0)</f>
        <v>271.85289300000034</v>
      </c>
      <c r="CV71" s="13">
        <f t="shared" si="95"/>
        <v>65.242343289092531</v>
      </c>
      <c r="CW71" s="20">
        <f t="shared" si="67"/>
        <v>587.10753653683673</v>
      </c>
      <c r="CX71" s="59">
        <f t="shared" si="68"/>
        <v>880.44086987016999</v>
      </c>
      <c r="CY71" s="59">
        <f ca="1">AVERAGE(OFFSET($CX$3,0,0,'Données projet'!$E$13+1,1))-AVERAGE(OFFSET($H$3,0,0,'Données projet'!$E$13+1,1))</f>
        <v>747.18304127457918</v>
      </c>
      <c r="CZ71" s="59">
        <f t="shared" si="96"/>
        <v>327.03701004966723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9.2399174779031839</v>
      </c>
      <c r="DG71" s="21">
        <f>EXP(-LN(2)/25)*DG70+(1-EXP(-LN(2)/25))/(LN(2)/25)*Calculateur!DB71*Calculateur!DD71*VLOOKUP('Données projet'!$B$13,Paramètres!$A$1:$I$89,3,0)*0.475*44/12</f>
        <v>38.061414779583345</v>
      </c>
      <c r="DH71" s="21">
        <f>EXP(-LN(2)/2)*DH70+(1-EXP(-LN(2)/2))/(LN(2)/2)*DB71*DE71*VLOOKUP('Données projet'!$B$13,Paramètres!$A$1:$I$89,3,0)*0.475*44/12</f>
        <v>3.0452509621709338</v>
      </c>
      <c r="DI71" s="22">
        <f t="shared" si="69"/>
        <v>50.346583219657461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4.5999999999999996</v>
      </c>
      <c r="DO71" s="12">
        <f>IF('Données projet'!$A$166&gt;35,DO70+DN71-DW70,IF(A71&lt;'Données projet'!$A$166,$DL$205^A71,IF(A71='Données projet'!$A$166,'Données projet'!$B$166,DO70+DN71-DW70)))</f>
        <v>306.7999999999999</v>
      </c>
      <c r="DP71" s="17">
        <f>DO71*VLOOKUP('Données projet'!$B$14,Paramètres!$A$1:$I$89,3,0)*VLOOKUP('Données projet'!$B$14,Paramètres!$A$1:$I$89,5,0)</f>
        <v>244.09007999999994</v>
      </c>
      <c r="DQ71" s="13">
        <f t="shared" si="97"/>
        <v>59.318663780863893</v>
      </c>
      <c r="DR71" s="20">
        <f t="shared" si="70"/>
        <v>528.43689541833794</v>
      </c>
      <c r="DS71" s="59">
        <f t="shared" si="71"/>
        <v>821.77022875167131</v>
      </c>
      <c r="DT71" s="59">
        <f ca="1">AVERAGE(OFFSET($DS$3,0,0,'Données projet'!$E$14+1,1))-AVERAGE(OFFSET($H$3,0,0,'Données projet'!$E$14+1,1))</f>
        <v>353.37479213497227</v>
      </c>
      <c r="DU71" s="59">
        <f t="shared" si="98"/>
        <v>345.4750813433123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13.971285191492672</v>
      </c>
      <c r="EB71" s="21">
        <f>EXP(-LN(2)/25)*EB70+(1-EXP(-LN(2)/25))/(LN(2)/25)*Calculateur!DW71*Calculateur!DY71*VLOOKUP('Données projet'!$B$14,Paramètres!$A$1:$I$89,3,0)*0.475*44/12</f>
        <v>14.871151558970359</v>
      </c>
      <c r="EC71" s="21">
        <f>EXP(-LN(2)/2)*EC70+(1-EXP(-LN(2)/2))/(LN(2)/2)*DW71*DZ71*VLOOKUP('Données projet'!$B$14,Paramètres!$A$1:$I$89,3,0)*0.475*44/12</f>
        <v>1.0689468555715862</v>
      </c>
      <c r="ED71" s="22">
        <f t="shared" si="72"/>
        <v>29.911383606034615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24.01</v>
      </c>
      <c r="EJ71" s="12">
        <f>IF('Données projet'!$A$192&gt;35,EJ70+EI71-ER70,IF(A71&lt;'Données projet'!$A$192,$EG$205^A71,IF(A71='Données projet'!$A$192,'Données projet'!$B$192,EJ70+EI71-ER70)))</f>
        <v>399.31999999999954</v>
      </c>
      <c r="EK71" s="17">
        <f>EJ71*VLOOKUP('Données projet'!$B$15,Paramètres!$A$1:$I$89,3,0)*VLOOKUP('Données projet'!$B$15,Paramètres!$A$1:$I$89,5,0)</f>
        <v>186.88175999999979</v>
      </c>
      <c r="EL71" s="13">
        <f t="shared" si="99"/>
        <v>46.849891713541972</v>
      </c>
      <c r="EM71" s="20">
        <f t="shared" si="73"/>
        <v>407.08262673441862</v>
      </c>
      <c r="EN71" s="59">
        <f t="shared" si="74"/>
        <v>700.41596006775194</v>
      </c>
      <c r="EO71" s="59">
        <f ca="1">AVERAGE(OFFSET($EN$3,0,0,'Données projet'!$E$15+1,1))-AVERAGE(OFFSET($H$3,0,0,'Données projet'!$E$15+1,1))</f>
        <v>433.05041777893922</v>
      </c>
      <c r="EP71" s="59">
        <f t="shared" si="100"/>
        <v>591.24088611958996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140.59711623814613</v>
      </c>
      <c r="EW71" s="21">
        <f>EXP(-LN(2)/25)*EW70+(1-EXP(-LN(2)/25))/(LN(2)/25)*Calculateur!ER71*Calculateur!ET71*VLOOKUP('Données projet'!$B$15,Paramètres!$A$1:$I$89,3,0)*0.475*44/12</f>
        <v>55.013186879640308</v>
      </c>
      <c r="EX71" s="21">
        <f>EXP(-LN(2)/2)*EX70+(1-EXP(-LN(2)/2))/(LN(2)/2)*ER71*EU71*VLOOKUP('Données projet'!$B$15,Paramètres!$A$1:$I$89,3,0)*0.475*44/12</f>
        <v>6.6819379629228752</v>
      </c>
      <c r="EY71" s="22">
        <f t="shared" si="75"/>
        <v>202.29224108070932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2.5641025641025577</v>
      </c>
      <c r="FE71" s="12">
        <f>IF('Données projet'!$A$218&gt;35,FE70+FD71-FM70,IF(A71&lt;'Données projet'!$A$218,$FB$205^A71,IF(A71='Données projet'!$A$218,'Données projet'!$B$218,FE70+FD71-FM70)))</f>
        <v>108.97435897435895</v>
      </c>
      <c r="FF71" s="17">
        <f>FE71*VLOOKUP('Données projet'!$B$16,Paramètres!$A$1:$I$89,3,0)*VLOOKUP('Données projet'!$B$16,Paramètres!$A$1:$I$89,5,0)</f>
        <v>88.399999999999991</v>
      </c>
      <c r="FG71" s="13">
        <f t="shared" si="101"/>
        <v>24.178941596629553</v>
      </c>
      <c r="FH71" s="20">
        <f t="shared" si="76"/>
        <v>196.07498994746314</v>
      </c>
      <c r="FI71" s="59">
        <f t="shared" si="77"/>
        <v>489.40832328079648</v>
      </c>
      <c r="FJ71" s="59">
        <f ca="1">AVERAGE(OFFSET($FI$3,0,0,'Données projet'!$E$16+1,1))-AVERAGE(OFFSET($H$3,0,0,'Données projet'!$E$16+1,1))</f>
        <v>159.4660488566085</v>
      </c>
      <c r="FK71" s="59">
        <f t="shared" si="102"/>
        <v>135.33030558297088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3.4252561498442464</v>
      </c>
      <c r="FS71" s="21">
        <f>EXP(-LN(2)/2)*FS70+(1-EXP(-LN(2)/2))/(LN(2)/2)*FM71*FP71*VLOOKUP('Données projet'!$B$16,Paramètres!$A$1:$I$89,3,0)*0.475*44/12</f>
        <v>0.57945619498529055</v>
      </c>
      <c r="FT71" s="22">
        <f t="shared" si="78"/>
        <v>4.004712344829537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9.733749999999997</v>
      </c>
      <c r="N72" s="13">
        <f>IF('Données projet'!$A$36&gt;35,N71+M72-V71,IF(A72&lt;'Données projet'!$A$36,$K$205^A72,IF(A72='Données projet'!$A$36,'Données projet'!$B$36,N71+M72-V71)))</f>
        <v>262.29125000000033</v>
      </c>
      <c r="O72" s="13">
        <f>N72*VLOOKUP('Données projet'!$B$9,Paramètres!$A$1:$I$89,3,0)*VLOOKUP('Données projet'!$B$9,Paramètres!$A$1:$I$89,5,0)</f>
        <v>265.96332750000033</v>
      </c>
      <c r="P72" s="13">
        <f t="shared" si="87"/>
        <v>63.991835900335317</v>
      </c>
      <c r="Q72" s="20">
        <f t="shared" si="54"/>
        <v>574.67190958891786</v>
      </c>
      <c r="R72" s="59">
        <f t="shared" si="55"/>
        <v>868.00524292225123</v>
      </c>
      <c r="S72" s="59">
        <f ca="1">AVERAGE(OFFSET($R$3,0,0,'Données projet'!$E$9+1,1))-AVERAGE(OFFSET($H$3,0,0,'Données projet'!$E$9+1,1))</f>
        <v>706.69239849991595</v>
      </c>
      <c r="T72" s="59">
        <f t="shared" si="88"/>
        <v>310.59887275116529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8.5335846605370129</v>
      </c>
      <c r="AA72" s="21">
        <f>EXP(-LN(2)/25)*AA71+(1-EXP(-LN(2)/25))/(LN(2)/25)*Calculateur!V72*Calculateur!X72*VLOOKUP('Données projet'!$B$9,Paramètres!$A$1:$I$89,3,0)*0.475*44/12</f>
        <v>34.874500295749776</v>
      </c>
      <c r="AB72" s="21">
        <f>EXP(-LN(2)/2)*AB71+(1-EXP(-LN(2)/2))/(LN(2)/2)*V72*Y72*VLOOKUP('Données projet'!$B$9,Paramètres!$A$1:$I$89,3,0)*0.475*44/12</f>
        <v>2.0284875996345684</v>
      </c>
      <c r="AC72" s="22">
        <f t="shared" si="57"/>
        <v>45.436572555921352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2.6923076923076907</v>
      </c>
      <c r="AI72" s="13">
        <f>IF('Données projet'!$A$62&gt;35,AI71+AH72-AQ71,IF(A72&lt;'Données projet'!$A$62,$AF$205^A72,IF(A72='Données projet'!$A$62,'Données projet'!$B$62,AI71+AH72-AQ71)))</f>
        <v>126.15384615384608</v>
      </c>
      <c r="AJ72" s="13">
        <f>AI72*VLOOKUP('Données projet'!$B$10,Paramètres!$A$1:$I$89,3,0)*VLOOKUP('Données projet'!$B$10,Paramètres!$A$1:$I$89,5,0)</f>
        <v>131.85599999999994</v>
      </c>
      <c r="AK72" s="13">
        <f t="shared" si="89"/>
        <v>34.424871965010759</v>
      </c>
      <c r="AL72" s="20">
        <f t="shared" si="58"/>
        <v>289.60585200572694</v>
      </c>
      <c r="AM72" s="59">
        <f t="shared" si="59"/>
        <v>582.93918533906026</v>
      </c>
      <c r="AN72" s="59">
        <f ca="1">AVERAGE(OFFSET($AM$3,0,0,'Données projet'!$E$10+1,1))-AVERAGE(OFFSET($H$3,0,0,'Données projet'!$E$10+1,1))</f>
        <v>239.26156489359892</v>
      </c>
      <c r="AO72" s="59">
        <f t="shared" si="90"/>
        <v>213.97034450798111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0.44134498864251365</v>
      </c>
      <c r="AV72" s="21">
        <f>EXP(-LN(2)/25)*AV71+(1-EXP(-LN(2)/25))/(LN(2)/25)*Calculateur!AQ72*Calculateur!AS72*VLOOKUP('Données projet'!$B$10,Paramètres!$A$1:$I$89,3,0)*0.475*44/12</f>
        <v>14.974559780706082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15.415904769348597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3.8</v>
      </c>
      <c r="BD72" s="12">
        <f>IF('Données projet'!$A$88&gt;35,BD71+BC72-BL71,IF(A72&lt;'Données projet'!$A$88,$BA$205^A72,IF(A72='Données projet'!$A$88,'Données projet'!$B$88,BD71+BC72-BL71)))</f>
        <v>259.19999999999987</v>
      </c>
      <c r="BE72" s="13">
        <f>BD72*VLOOKUP('Données projet'!$B$11,Paramètres!$A$1:$I$89,3,0)*VLOOKUP('Données projet'!$B$11,Paramètres!$A$1:$I$89,5,0)</f>
        <v>226.43711999999991</v>
      </c>
      <c r="BF72" s="13">
        <f t="shared" si="91"/>
        <v>55.5116049933753</v>
      </c>
      <c r="BG72" s="20">
        <f t="shared" si="61"/>
        <v>491.06069603012844</v>
      </c>
      <c r="BH72" s="59">
        <f t="shared" si="62"/>
        <v>784.39402936346175</v>
      </c>
      <c r="BI72" s="59">
        <f ca="1">AVERAGE(OFFSET($BH$3,0,0,'Données projet'!$E$11+1,1))-AVERAGE(OFFSET($H$3,0,0,'Données projet'!$E$11+1,1))</f>
        <v>324.86930206492627</v>
      </c>
      <c r="BJ72" s="59">
        <f t="shared" si="92"/>
        <v>317.03005098025352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10.933972067507238</v>
      </c>
      <c r="BQ72" s="21">
        <f>EXP(-LN(2)/25)*BQ71+(1-EXP(-LN(2)/25))/(LN(2)/25)*Calculateur!BL72*Calculateur!BN72*VLOOKUP('Données projet'!$B$11,Paramètres!$A$1:$I$89,3,0)*0.475*44/12</f>
        <v>12.887879432649159</v>
      </c>
      <c r="BR72" s="21">
        <f>EXP(-LN(2)/2)*BR71+(1-EXP(-LN(2)/2))/(LN(2)/2)*BL72*BO72*VLOOKUP('Données projet'!$B$11,Paramètres!$A$1:$I$89,3,0)*0.475*44/12</f>
        <v>0.70314133730710338</v>
      </c>
      <c r="BS72" s="22">
        <f t="shared" si="63"/>
        <v>24.5249928374635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>
        <f>VLOOKUP(A72,'Données projet'!$A$113:$I$133,2,0)</f>
        <v>190.79</v>
      </c>
      <c r="BW72" s="12">
        <f>VLOOKUP(A72,'Données projet'!$A$113:$I$133,9,0)</f>
        <v>6.8933333333333326</v>
      </c>
      <c r="BX72" s="12">
        <f t="array" ref="BX72">INDEX(BW:BW,MIN(IF(ISNUMBER(BW72:BW268),ROW(BW72:BW268),"")))</f>
        <v>6.8933333333333326</v>
      </c>
      <c r="BY72" s="12">
        <f>IF('Données projet'!$A$114&gt;35,BY71+BX72-CG71,IF(A72&lt;'Données projet'!$A$114,$BV$205^A72,IF(A72='Données projet'!$A$114,'Données projet'!$B$114,BY71+BX72-CG71)))</f>
        <v>190.79</v>
      </c>
      <c r="BZ72" s="13">
        <f>BY72*VLOOKUP('Données projet'!$B$12,Paramètres!$A$1:$I$89,3,0)*VLOOKUP('Données projet'!$B$12,Paramètres!$A$1:$I$89,5,0)</f>
        <v>217.27165199999996</v>
      </c>
      <c r="CA72" s="13">
        <f t="shared" si="93"/>
        <v>53.521462768957484</v>
      </c>
      <c r="CB72" s="20">
        <f t="shared" si="64"/>
        <v>471.63134155593411</v>
      </c>
      <c r="CC72" s="59">
        <f t="shared" si="65"/>
        <v>764.96467488926737</v>
      </c>
      <c r="CD72" s="59">
        <f ca="1">AVERAGE(OFFSET($CC$3,0,0,'Données projet'!$E$12+1,1))-AVERAGE(OFFSET($H$3,0,0,'Données projet'!$E$12+1,1))</f>
        <v>593.28343396240075</v>
      </c>
      <c r="CE72" s="59">
        <f t="shared" si="94"/>
        <v>289.66477662068695</v>
      </c>
      <c r="CF72" s="15">
        <f>IF(ISNA(VLOOKUP(A72,'Données projet'!$A$113:$I$133,3,0)),0,VLOOKUP(A72,'Données projet'!$A$113:$I$133,3,0))</f>
        <v>2</v>
      </c>
      <c r="CG72" s="15">
        <f>IF(ISNA(VLOOKUP(A72,'Données projet'!$A$113:$I$133,4,0)),0,VLOOKUP(A72,'Données projet'!$A$113:$I$133,4,0))</f>
        <v>42.22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0.34400000000000003</v>
      </c>
      <c r="CJ72" s="16">
        <f>IF(ISNA(VLOOKUP(A72,'Données projet'!$A$113:$I$133,7,0)),0%,VLOOKUP(A72,'Données projet'!$A$113:$I$133,7,0))</f>
        <v>0.2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42.703636399077894</v>
      </c>
      <c r="CM72" s="21">
        <f>EXP(-LN(2)/2)*CM71+(1-EXP(-LN(2)/2))/(LN(2)/2)*CG72*CJ72*VLOOKUP('Données projet'!$B$12,Paramètres!$A$1:$I$89,3,0)*0.475*44/12</f>
        <v>9.7650433238797198</v>
      </c>
      <c r="CN72" s="22">
        <f t="shared" si="66"/>
        <v>52.468679722957617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9.733749999999997</v>
      </c>
      <c r="CT72" s="12">
        <f>IF('Données projet'!$A$140&gt;35,CT71+CS72-DB71,IF(A72&lt;'Données projet'!$A$140,$CQ$205^A72,IF(A72='Données projet'!$A$140,'Données projet'!$B$140,CT71+CS72-DB71)))</f>
        <v>262.29125000000033</v>
      </c>
      <c r="CU72" s="17">
        <f>CT72*VLOOKUP('Données projet'!$B$13,Paramètres!$A$1:$I$89,3,0)*VLOOKUP('Données projet'!$B$13,Paramètres!$A$1:$I$89,5,0)</f>
        <v>282.3303015000003</v>
      </c>
      <c r="CV72" s="13">
        <f t="shared" si="95"/>
        <v>67.459230779206578</v>
      </c>
      <c r="CW72" s="20">
        <f t="shared" si="67"/>
        <v>609.2167687196187</v>
      </c>
      <c r="CX72" s="59">
        <f t="shared" si="68"/>
        <v>902.55010205295207</v>
      </c>
      <c r="CY72" s="59">
        <f ca="1">AVERAGE(OFFSET($CX$3,0,0,'Données projet'!$E$13+1,1))-AVERAGE(OFFSET($H$3,0,0,'Données projet'!$E$13+1,1))</f>
        <v>747.18304127457918</v>
      </c>
      <c r="CZ72" s="59">
        <f t="shared" si="96"/>
        <v>327.03701004966723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9.0587283319546756</v>
      </c>
      <c r="DG72" s="21">
        <f>EXP(-LN(2)/25)*DG71+(1-EXP(-LN(2)/25))/(LN(2)/25)*Calculateur!DB72*Calculateur!DD72*VLOOKUP('Données projet'!$B$13,Paramètres!$A$1:$I$89,3,0)*0.475*44/12</f>
        <v>37.020623390872828</v>
      </c>
      <c r="DH72" s="21">
        <f>EXP(-LN(2)/2)*DH71+(1-EXP(-LN(2)/2))/(LN(2)/2)*DB72*DE72*VLOOKUP('Données projet'!$B$13,Paramètres!$A$1:$I$89,3,0)*0.475*44/12</f>
        <v>2.1533176057659258</v>
      </c>
      <c r="DI72" s="22">
        <f t="shared" si="69"/>
        <v>48.232669328593431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4.5999999999999996</v>
      </c>
      <c r="DO72" s="12">
        <f>IF('Données projet'!$A$166&gt;35,DO71+DN72-DW71,IF(A72&lt;'Données projet'!$A$166,$DL$205^A72,IF(A72='Données projet'!$A$166,'Données projet'!$B$166,DO71+DN72-DW71)))</f>
        <v>311.39999999999992</v>
      </c>
      <c r="DP72" s="17">
        <f>DO72*VLOOKUP('Données projet'!$B$14,Paramètres!$A$1:$I$89,3,0)*VLOOKUP('Données projet'!$B$14,Paramètres!$A$1:$I$89,5,0)</f>
        <v>247.74983999999995</v>
      </c>
      <c r="DQ72" s="13">
        <f t="shared" si="97"/>
        <v>60.103849700617872</v>
      </c>
      <c r="DR72" s="20">
        <f t="shared" si="70"/>
        <v>536.17850956190932</v>
      </c>
      <c r="DS72" s="59">
        <f t="shared" si="71"/>
        <v>829.51184289524258</v>
      </c>
      <c r="DT72" s="59">
        <f ca="1">AVERAGE(OFFSET($DS$3,0,0,'Données projet'!$E$14+1,1))-AVERAGE(OFFSET($H$3,0,0,'Données projet'!$E$14+1,1))</f>
        <v>353.37479213497227</v>
      </c>
      <c r="DU72" s="59">
        <f t="shared" si="98"/>
        <v>345.4750813433123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13.697316810530026</v>
      </c>
      <c r="EB72" s="21">
        <f>EXP(-LN(2)/25)*EB71+(1-EXP(-LN(2)/25))/(LN(2)/25)*Calculateur!DW72*Calculateur!DY72*VLOOKUP('Données projet'!$B$14,Paramètres!$A$1:$I$89,3,0)*0.475*44/12</f>
        <v>14.464499137550442</v>
      </c>
      <c r="EC72" s="21">
        <f>EXP(-LN(2)/2)*EC71+(1-EXP(-LN(2)/2))/(LN(2)/2)*DW72*DZ72*VLOOKUP('Données projet'!$B$14,Paramètres!$A$1:$I$89,3,0)*0.475*44/12</f>
        <v>0.75585957030270567</v>
      </c>
      <c r="ED72" s="22">
        <f t="shared" si="72"/>
        <v>28.917675518383174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24.01</v>
      </c>
      <c r="EJ72" s="12">
        <f>IF('Données projet'!$A$192&gt;35,EJ71+EI72-ER71,IF(A72&lt;'Données projet'!$A$192,$EG$205^A72,IF(A72='Données projet'!$A$192,'Données projet'!$B$192,EJ71+EI72-ER71)))</f>
        <v>423.32999999999953</v>
      </c>
      <c r="EK72" s="17">
        <f>EJ72*VLOOKUP('Données projet'!$B$15,Paramètres!$A$1:$I$89,3,0)*VLOOKUP('Données projet'!$B$15,Paramètres!$A$1:$I$89,5,0)</f>
        <v>198.11843999999977</v>
      </c>
      <c r="EL72" s="13">
        <f t="shared" si="99"/>
        <v>49.330430579182263</v>
      </c>
      <c r="EM72" s="20">
        <f t="shared" si="73"/>
        <v>430.97344959207538</v>
      </c>
      <c r="EN72" s="59">
        <f t="shared" si="74"/>
        <v>724.3067829254087</v>
      </c>
      <c r="EO72" s="59">
        <f ca="1">AVERAGE(OFFSET($EN$3,0,0,'Données projet'!$E$15+1,1))-AVERAGE(OFFSET($H$3,0,0,'Données projet'!$E$15+1,1))</f>
        <v>433.05041777893922</v>
      </c>
      <c r="EP72" s="59">
        <f t="shared" si="100"/>
        <v>591.24088611958996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137.84009254448929</v>
      </c>
      <c r="EW72" s="21">
        <f>EXP(-LN(2)/25)*EW71+(1-EXP(-LN(2)/25))/(LN(2)/25)*Calculateur!ER72*Calculateur!ET72*VLOOKUP('Données projet'!$B$15,Paramètres!$A$1:$I$89,3,0)*0.475*44/12</f>
        <v>53.508848391398779</v>
      </c>
      <c r="EX72" s="21">
        <f>EXP(-LN(2)/2)*EX71+(1-EXP(-LN(2)/2))/(LN(2)/2)*ER72*EU72*VLOOKUP('Données projet'!$B$15,Paramètres!$A$1:$I$89,3,0)*0.475*44/12</f>
        <v>4.7248436450505906</v>
      </c>
      <c r="EY72" s="22">
        <f t="shared" si="75"/>
        <v>196.07378458093865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2.5641025641025577</v>
      </c>
      <c r="FE72" s="12">
        <f>IF('Données projet'!$A$218&gt;35,FE71+FD72-FM71,IF(A72&lt;'Données projet'!$A$218,$FB$205^A72,IF(A72='Données projet'!$A$218,'Données projet'!$B$218,FE71+FD72-FM71)))</f>
        <v>111.5384615384615</v>
      </c>
      <c r="FF72" s="17">
        <f>FE72*VLOOKUP('Données projet'!$B$16,Paramètres!$A$1:$I$89,3,0)*VLOOKUP('Données projet'!$B$16,Paramètres!$A$1:$I$89,5,0)</f>
        <v>90.479999999999976</v>
      </c>
      <c r="FG72" s="13">
        <f t="shared" si="101"/>
        <v>24.680953573367983</v>
      </c>
      <c r="FH72" s="20">
        <f t="shared" si="76"/>
        <v>200.57199414028253</v>
      </c>
      <c r="FI72" s="59">
        <f t="shared" si="77"/>
        <v>493.90532747361584</v>
      </c>
      <c r="FJ72" s="59">
        <f ca="1">AVERAGE(OFFSET($FI$3,0,0,'Données projet'!$E$16+1,1))-AVERAGE(OFFSET($H$3,0,0,'Données projet'!$E$16+1,1))</f>
        <v>159.4660488566085</v>
      </c>
      <c r="FK72" s="59">
        <f t="shared" si="102"/>
        <v>135.33030558297088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3.3315923403003631</v>
      </c>
      <c r="FS72" s="21">
        <f>EXP(-LN(2)/2)*FS71+(1-EXP(-LN(2)/2))/(LN(2)/2)*FM72*FP72*VLOOKUP('Données projet'!$B$16,Paramètres!$A$1:$I$89,3,0)*0.475*44/12</f>
        <v>0.40973740487465327</v>
      </c>
      <c r="FT72" s="22">
        <f t="shared" si="78"/>
        <v>3.7413297451750163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9.733749999999997</v>
      </c>
      <c r="N73" s="13">
        <f>IF('Données projet'!$A$36&gt;35,N72+M73-V72,IF(A73&lt;'Données projet'!$A$36,$K$205^A73,IF(A73='Données projet'!$A$36,'Données projet'!$B$36,N72+M73-V72)))</f>
        <v>272.02500000000032</v>
      </c>
      <c r="O73" s="13">
        <f>N73*VLOOKUP('Données projet'!$B$9,Paramètres!$A$1:$I$89,3,0)*VLOOKUP('Données projet'!$B$9,Paramètres!$A$1:$I$89,5,0)</f>
        <v>275.83335000000034</v>
      </c>
      <c r="P73" s="13">
        <f t="shared" si="87"/>
        <v>66.085709101140665</v>
      </c>
      <c r="Q73" s="20">
        <f t="shared" si="54"/>
        <v>595.50902793448722</v>
      </c>
      <c r="R73" s="59">
        <f t="shared" si="55"/>
        <v>888.84236126782048</v>
      </c>
      <c r="S73" s="59">
        <f ca="1">AVERAGE(OFFSET($R$3,0,0,'Données projet'!$E$9+1,1))-AVERAGE(OFFSET($H$3,0,0,'Données projet'!$E$9+1,1))</f>
        <v>706.69239849991595</v>
      </c>
      <c r="T73" s="59">
        <f t="shared" si="88"/>
        <v>310.59887275116529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8.3662462703165765</v>
      </c>
      <c r="AA73" s="21">
        <f>EXP(-LN(2)/25)*AA72+(1-EXP(-LN(2)/25))/(LN(2)/25)*Calculateur!V73*Calculateur!X73*VLOOKUP('Données projet'!$B$9,Paramètres!$A$1:$I$89,3,0)*0.475*44/12</f>
        <v>33.920855251192236</v>
      </c>
      <c r="AB73" s="21">
        <f>EXP(-LN(2)/2)*AB72+(1-EXP(-LN(2)/2))/(LN(2)/2)*V73*Y73*VLOOKUP('Données projet'!$B$9,Paramètres!$A$1:$I$89,3,0)*0.475*44/12</f>
        <v>1.4343573372544258</v>
      </c>
      <c r="AC73" s="22">
        <f t="shared" si="57"/>
        <v>43.721458858763242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128.84615384615384</v>
      </c>
      <c r="AG73" s="12">
        <f>VLOOKUP(A73,'Données projet'!$A$61:$I$81,9,0)</f>
        <v>2.6923076923076907</v>
      </c>
      <c r="AH73" s="12">
        <f t="array" ref="AH73">INDEX(AG:AG,MIN(IF(ISNUMBER(AG73:AG269),ROW(AG73:AG269),"")))</f>
        <v>2.6923076923076907</v>
      </c>
      <c r="AI73" s="13">
        <f>IF('Données projet'!$A$62&gt;35,AI72+AH73-AQ72,IF(A73&lt;'Données projet'!$A$62,$AF$205^A73,IF(A73='Données projet'!$A$62,'Données projet'!$B$62,AI72+AH73-AQ72)))</f>
        <v>128.84615384615375</v>
      </c>
      <c r="AJ73" s="13">
        <f>AI73*VLOOKUP('Données projet'!$B$10,Paramètres!$A$1:$I$89,3,0)*VLOOKUP('Données projet'!$B$10,Paramètres!$A$1:$I$89,5,0)</f>
        <v>134.66999999999993</v>
      </c>
      <c r="AK73" s="13">
        <f t="shared" si="89"/>
        <v>35.07323271794791</v>
      </c>
      <c r="AL73" s="20">
        <f t="shared" si="58"/>
        <v>295.63613031709252</v>
      </c>
      <c r="AM73" s="59">
        <f t="shared" si="59"/>
        <v>588.96946365042584</v>
      </c>
      <c r="AN73" s="59">
        <f ca="1">AVERAGE(OFFSET($AM$3,0,0,'Données projet'!$E$10+1,1))-AVERAGE(OFFSET($H$3,0,0,'Données projet'!$E$10+1,1))</f>
        <v>239.26156489359892</v>
      </c>
      <c r="AO73" s="59">
        <f t="shared" si="90"/>
        <v>213.97034450798111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8.9743589743589745</v>
      </c>
      <c r="AR73" s="16">
        <f>IF(ISNA(VLOOKUP(A73,'Données projet'!$A$61:$I$81,5,0)),0%,VLOOKUP(A73,'Données projet'!$A$61:$I$81,5,0)*VLOOKUP('Données projet'!$B$10,Paramètres!$A$1:$I$89,7,0))</f>
        <v>4.3000000000000003E-2</v>
      </c>
      <c r="AS73" s="16">
        <f>IF(ISNA(VLOOKUP(A73,'Données projet'!$A$61:$I$81,6,0)),0%,VLOOKUP(A73,'Données projet'!$A$61:$I$81,6,0)*VLOOKUP('Données projet'!$B$10,Paramètres!$A$1:$I$89,7,0))</f>
        <v>0.215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0.87857090548991645</v>
      </c>
      <c r="AV73" s="21">
        <f>EXP(-LN(2)/25)*AV72+(1-EXP(-LN(2)/25))/(LN(2)/25)*Calculateur!AQ73*Calculateur!AS73*VLOOKUP('Données projet'!$B$10,Paramètres!$A$1:$I$89,3,0)*0.475*44/12</f>
        <v>16.785703764835688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17.664274670325604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3.8</v>
      </c>
      <c r="BC73" s="12">
        <f t="array" ref="BC73">INDEX(BB:BB,MIN(IF(ISNUMBER(BB73:BB269),ROW(BB73:BB269),"")))</f>
        <v>3.8</v>
      </c>
      <c r="BD73" s="12">
        <f>IF('Données projet'!$A$88&gt;35,BD72+BC73-BL72,IF(A73&lt;'Données projet'!$A$88,$BA$205^A73,IF(A73='Données projet'!$A$88,'Données projet'!$B$88,BD72+BC73-BL72)))</f>
        <v>262.99999999999989</v>
      </c>
      <c r="BE73" s="13">
        <f>BD73*VLOOKUP('Données projet'!$B$11,Paramètres!$A$1:$I$89,3,0)*VLOOKUP('Données projet'!$B$11,Paramètres!$A$1:$I$89,5,0)</f>
        <v>229.75679999999991</v>
      </c>
      <c r="BF73" s="13">
        <f t="shared" si="91"/>
        <v>56.23009276772752</v>
      </c>
      <c r="BG73" s="20">
        <f t="shared" si="61"/>
        <v>498.09383823712528</v>
      </c>
      <c r="BH73" s="59">
        <f t="shared" si="62"/>
        <v>791.42717157045854</v>
      </c>
      <c r="BI73" s="59">
        <f ca="1">AVERAGE(OFFSET($BH$3,0,0,'Données projet'!$E$11+1,1))-AVERAGE(OFFSET($H$3,0,0,'Données projet'!$E$11+1,1))</f>
        <v>324.86930206492627</v>
      </c>
      <c r="BJ73" s="59">
        <f t="shared" si="92"/>
        <v>317.03005098025352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10</v>
      </c>
      <c r="BM73" s="16">
        <f>IF(ISNA(VLOOKUP(A73,'Données projet'!$A$87:$I$107,5,0)),0%,VLOOKUP(A73,'Données projet'!$A$87:$I$107,5,0)*VLOOKUP('Données projet'!$B$11,Paramètres!$A$1:$I$89,7,0))</f>
        <v>0.13250000000000001</v>
      </c>
      <c r="BN73" s="16">
        <f>IF(ISNA(VLOOKUP(A73,'Données projet'!$A$87:$I$107,6,0)),0%,VLOOKUP(A73,'Données projet'!$A$87:$I$107,6,0)*VLOOKUP('Données projet'!$B$11,Paramètres!$A$1:$I$89,7,0))</f>
        <v>0.13250000000000001</v>
      </c>
      <c r="BO73" s="16">
        <f>IF(ISNA(VLOOKUP(A73,'Données projet'!$A$87:$I$107,7,0)),0%,VLOOKUP(A73,'Données projet'!$A$87:$I$107,7,0))</f>
        <v>0.25</v>
      </c>
      <c r="BP73" s="21">
        <f>EXP(-LN(2)/35)*BP72+(1-EXP(-LN(2)/35))/(LN(2)/35)*BL73*BM73*VLOOKUP('Données projet'!$B$11,Paramètres!$A$1:$I$89,3,0)*0.475*44/12</f>
        <v>11.999167618044847</v>
      </c>
      <c r="BQ73" s="21">
        <f>EXP(-LN(2)/25)*BQ72+(1-EXP(-LN(2)/25))/(LN(2)/25)*Calculateur!BL73*Calculateur!BN73*VLOOKUP('Données projet'!$B$11,Paramètres!$A$1:$I$89,3,0)*0.475*44/12</f>
        <v>13.810025476730626</v>
      </c>
      <c r="BR73" s="21">
        <f>EXP(-LN(2)/2)*BR72+(1-EXP(-LN(2)/2))/(LN(2)/2)*BL73*BO73*VLOOKUP('Données projet'!$B$11,Paramètres!$A$1:$I$89,3,0)*0.475*44/12</f>
        <v>2.5578587892405982</v>
      </c>
      <c r="BS73" s="22">
        <f t="shared" si="63"/>
        <v>28.367051884016071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6.7437500000000021</v>
      </c>
      <c r="BY73" s="12">
        <f>IF('Données projet'!$A$114&gt;35,BY72+BX73-CG72,IF(A73&lt;'Données projet'!$A$114,$BV$205^A73,IF(A73='Données projet'!$A$114,'Données projet'!$B$114,BY72+BX73-CG72)))</f>
        <v>155.31375</v>
      </c>
      <c r="BZ73" s="13">
        <f>BY73*VLOOKUP('Données projet'!$B$12,Paramètres!$A$1:$I$89,3,0)*VLOOKUP('Données projet'!$B$12,Paramètres!$A$1:$I$89,5,0)</f>
        <v>176.87129849999999</v>
      </c>
      <c r="CA73" s="13">
        <f t="shared" si="93"/>
        <v>44.625398966300217</v>
      </c>
      <c r="CB73" s="20">
        <f t="shared" si="64"/>
        <v>385.77341475380621</v>
      </c>
      <c r="CC73" s="59">
        <f t="shared" si="65"/>
        <v>679.10674808713952</v>
      </c>
      <c r="CD73" s="59">
        <f ca="1">AVERAGE(OFFSET($CC$3,0,0,'Données projet'!$E$12+1,1))-AVERAGE(OFFSET($H$3,0,0,'Données projet'!$E$12+1,1))</f>
        <v>593.28343396240075</v>
      </c>
      <c r="CE73" s="59">
        <f t="shared" si="94"/>
        <v>289.66477662068695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41.535903216058472</v>
      </c>
      <c r="CM73" s="21">
        <f>EXP(-LN(2)/2)*CM72+(1-EXP(-LN(2)/2))/(LN(2)/2)*CG73*CJ73*VLOOKUP('Données projet'!$B$12,Paramètres!$A$1:$I$89,3,0)*0.475*44/12</f>
        <v>6.9049283528957739</v>
      </c>
      <c r="CN73" s="22">
        <f t="shared" si="66"/>
        <v>48.440831568954245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9.733749999999997</v>
      </c>
      <c r="CT73" s="12">
        <f>IF('Données projet'!$A$140&gt;35,CT72+CS73-DB72,IF(A73&lt;'Données projet'!$A$140,$CQ$205^A73,IF(A73='Données projet'!$A$140,'Données projet'!$B$140,CT72+CS73-DB72)))</f>
        <v>272.02500000000032</v>
      </c>
      <c r="CU73" s="17">
        <f>CT73*VLOOKUP('Données projet'!$B$13,Paramètres!$A$1:$I$89,3,0)*VLOOKUP('Données projet'!$B$13,Paramètres!$A$1:$I$89,5,0)</f>
        <v>292.80771000000033</v>
      </c>
      <c r="CV73" s="13">
        <f t="shared" si="95"/>
        <v>69.666560409434922</v>
      </c>
      <c r="CW73" s="20">
        <f t="shared" si="67"/>
        <v>631.30935429643307</v>
      </c>
      <c r="CX73" s="59">
        <f t="shared" si="68"/>
        <v>924.64268762976644</v>
      </c>
      <c r="CY73" s="59">
        <f ca="1">AVERAGE(OFFSET($CX$3,0,0,'Données projet'!$E$13+1,1))-AVERAGE(OFFSET($H$3,0,0,'Données projet'!$E$13+1,1))</f>
        <v>747.18304127457918</v>
      </c>
      <c r="CZ73" s="59">
        <f t="shared" si="96"/>
        <v>327.03701004966723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8.8810921946437507</v>
      </c>
      <c r="DG73" s="21">
        <f>EXP(-LN(2)/25)*DG72+(1-EXP(-LN(2)/25))/(LN(2)/25)*Calculateur!DB73*Calculateur!DD73*VLOOKUP('Données projet'!$B$13,Paramètres!$A$1:$I$89,3,0)*0.475*44/12</f>
        <v>36.00829249741944</v>
      </c>
      <c r="DH73" s="21">
        <f>EXP(-LN(2)/2)*DH72+(1-EXP(-LN(2)/2))/(LN(2)/2)*DB73*DE73*VLOOKUP('Données projet'!$B$13,Paramètres!$A$1:$I$89,3,0)*0.475*44/12</f>
        <v>1.5226254810854669</v>
      </c>
      <c r="DI73" s="22">
        <f t="shared" si="69"/>
        <v>46.412010173148659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316</v>
      </c>
      <c r="DM73" s="12">
        <f>VLOOKUP(A73,'Données projet'!$A$165:$I$185,9,0)</f>
        <v>4.5999999999999996</v>
      </c>
      <c r="DN73" s="12">
        <f t="array" ref="DN73">INDEX(DM:DM,MIN(IF(ISNUMBER(DM73:DM269),ROW(DM73:DM269),"")))</f>
        <v>4.5999999999999996</v>
      </c>
      <c r="DO73" s="12">
        <f>IF('Données projet'!$A$166&gt;35,DO72+DN73-DW72,IF(A73&lt;'Données projet'!$A$166,$DL$205^A73,IF(A73='Données projet'!$A$166,'Données projet'!$B$166,DO72+DN73-DW72)))</f>
        <v>315.99999999999994</v>
      </c>
      <c r="DP73" s="17">
        <f>DO73*VLOOKUP('Données projet'!$B$14,Paramètres!$A$1:$I$89,3,0)*VLOOKUP('Données projet'!$B$14,Paramètres!$A$1:$I$89,5,0)</f>
        <v>251.40959999999995</v>
      </c>
      <c r="DQ73" s="13">
        <f t="shared" si="97"/>
        <v>60.887686632376123</v>
      </c>
      <c r="DR73" s="20">
        <f t="shared" si="70"/>
        <v>543.917774218055</v>
      </c>
      <c r="DS73" s="59">
        <f t="shared" si="71"/>
        <v>837.25110755138826</v>
      </c>
      <c r="DT73" s="59">
        <f ca="1">AVERAGE(OFFSET($DS$3,0,0,'Données projet'!$E$14+1,1))-AVERAGE(OFFSET($H$3,0,0,'Données projet'!$E$14+1,1))</f>
        <v>353.37479213497227</v>
      </c>
      <c r="DU73" s="59">
        <f t="shared" si="98"/>
        <v>345.4750813433123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13</v>
      </c>
      <c r="DX73" s="16">
        <f>IF(ISNA(VLOOKUP(A73,'Données projet'!$A$165:$I$185,5,0)),0%,VLOOKUP(A73,'Données projet'!$A$165:$I$185,5,0)*VLOOKUP('Données projet'!$B$14,Paramètres!$A$1:$I$89,7,0))</f>
        <v>0.13250000000000001</v>
      </c>
      <c r="DY73" s="16">
        <f>IF(ISNA(VLOOKUP(A73,'Données projet'!$A$165:$I$185,6,0)),0%,VLOOKUP(A73,'Données projet'!$A$165:$I$185,6,0)*VLOOKUP('Données projet'!$B$14,Paramètres!$A$1:$I$89,7,0))</f>
        <v>0.13250000000000001</v>
      </c>
      <c r="DZ73" s="16">
        <f>IF(ISNA(VLOOKUP(A73,'Données projet'!$A$165:$I$185,7,0)),0%,VLOOKUP(A73,'Données projet'!$A$165:$I$185,7,0))</f>
        <v>0.25</v>
      </c>
      <c r="EA73" s="21">
        <f>EXP(-LN(2)/35)*EA72+(1-EXP(-LN(2)/35))/(LN(2)/35)*DW73*DX73*VLOOKUP('Données projet'!$B$14,Paramètres!$A$1:$I$89,3,0)*0.475*44/12</f>
        <v>14.94368060540377</v>
      </c>
      <c r="EB73" s="21">
        <f>EXP(-LN(2)/25)*EB72+(1-EXP(-LN(2)/25))/(LN(2)/25)*Calculateur!DW73*Calculateur!DY73*VLOOKUP('Données projet'!$B$14,Paramètres!$A$1:$I$89,3,0)*0.475*44/12</f>
        <v>15.57796149690104</v>
      </c>
      <c r="EC73" s="21">
        <f>EXP(-LN(2)/2)*EC72+(1-EXP(-LN(2)/2))/(LN(2)/2)*DW73*DZ73*VLOOKUP('Données projet'!$B$14,Paramètres!$A$1:$I$89,3,0)*0.475*44/12</f>
        <v>2.9741509708809453</v>
      </c>
      <c r="ED73" s="22">
        <f t="shared" si="72"/>
        <v>33.495793073185752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24.01</v>
      </c>
      <c r="EJ73" s="12">
        <f>IF('Données projet'!$A$192&gt;35,EJ72+EI73-ER72,IF(A73&lt;'Données projet'!$A$192,$EG$205^A73,IF(A73='Données projet'!$A$192,'Données projet'!$B$192,EJ72+EI73-ER72)))</f>
        <v>447.33999999999952</v>
      </c>
      <c r="EK73" s="17">
        <f>EJ73*VLOOKUP('Données projet'!$B$15,Paramètres!$A$1:$I$89,3,0)*VLOOKUP('Données projet'!$B$15,Paramètres!$A$1:$I$89,5,0)</f>
        <v>209.35511999999977</v>
      </c>
      <c r="EL73" s="13">
        <f t="shared" si="99"/>
        <v>51.794637978309964</v>
      </c>
      <c r="EM73" s="20">
        <f t="shared" si="73"/>
        <v>454.83582847888937</v>
      </c>
      <c r="EN73" s="59">
        <f t="shared" si="74"/>
        <v>748.16916181222268</v>
      </c>
      <c r="EO73" s="59">
        <f ca="1">AVERAGE(OFFSET($EN$3,0,0,'Données projet'!$E$15+1,1))-AVERAGE(OFFSET($H$3,0,0,'Données projet'!$E$15+1,1))</f>
        <v>433.05041777893922</v>
      </c>
      <c r="EP73" s="59">
        <f t="shared" si="100"/>
        <v>591.24088611958996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135.13713240384669</v>
      </c>
      <c r="EW73" s="21">
        <f>EXP(-LN(2)/25)*EW72+(1-EXP(-LN(2)/25))/(LN(2)/25)*Calculateur!ER73*Calculateur!ET73*VLOOKUP('Données projet'!$B$15,Paramètres!$A$1:$I$89,3,0)*0.475*44/12</f>
        <v>52.045646118227936</v>
      </c>
      <c r="EX73" s="21">
        <f>EXP(-LN(2)/2)*EX72+(1-EXP(-LN(2)/2))/(LN(2)/2)*ER73*EU73*VLOOKUP('Données projet'!$B$15,Paramètres!$A$1:$I$89,3,0)*0.475*44/12</f>
        <v>3.3409689814614376</v>
      </c>
      <c r="EY73" s="22">
        <f t="shared" si="75"/>
        <v>190.52374750353604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114.10256410256409</v>
      </c>
      <c r="FC73" s="12">
        <f>VLOOKUP(A73,'Données projet'!$A$217:$I$237,9,0)</f>
        <v>2.5641025641025577</v>
      </c>
      <c r="FD73" s="12">
        <f t="array" ref="FD73">INDEX(FC:FC,MIN(IF(ISNUMBER(FC73:FC269),ROW(FC73:FC269),"")))</f>
        <v>2.5641025641025577</v>
      </c>
      <c r="FE73" s="12">
        <f>IF('Données projet'!$A$218&gt;35,FE72+FD73-FM72,IF(A73&lt;'Données projet'!$A$218,$FB$205^A73,IF(A73='Données projet'!$A$218,'Données projet'!$B$218,FE72+FD73-FM72)))</f>
        <v>114.10256410256406</v>
      </c>
      <c r="FF73" s="17">
        <f>FE73*VLOOKUP('Données projet'!$B$16,Paramètres!$A$1:$I$89,3,0)*VLOOKUP('Données projet'!$B$16,Paramètres!$A$1:$I$89,5,0)</f>
        <v>92.559999999999974</v>
      </c>
      <c r="FG73" s="13">
        <f t="shared" si="101"/>
        <v>25.181623906063926</v>
      </c>
      <c r="FH73" s="20">
        <f t="shared" si="76"/>
        <v>205.06666163639463</v>
      </c>
      <c r="FI73" s="59">
        <f t="shared" si="77"/>
        <v>498.39999496972791</v>
      </c>
      <c r="FJ73" s="59">
        <f ca="1">AVERAGE(OFFSET($FI$3,0,0,'Données projet'!$E$16+1,1))-AVERAGE(OFFSET($H$3,0,0,'Données projet'!$E$16+1,1))</f>
        <v>159.4660488566085</v>
      </c>
      <c r="FK73" s="59">
        <f t="shared" si="102"/>
        <v>135.33030558297088</v>
      </c>
      <c r="FL73" s="15">
        <f>IF(ISNA(VLOOKUP(A73,'Données projet'!$A$217:$I$237,3,0)),0,VLOOKUP(A73,'Données projet'!$A$217:$I$237,3,0))</f>
        <v>12</v>
      </c>
      <c r="FM73" s="15">
        <f>IF(ISNA(VLOOKUP(A73,'Données projet'!$A$217:$I$237,4,0)),0,VLOOKUP(A73,'Données projet'!$A$217:$I$237,4,0))</f>
        <v>7.0512820512820511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0.1075</v>
      </c>
      <c r="FP73" s="16">
        <f>IF(ISNA(VLOOKUP(A73,'Données projet'!$A$217:$I$237,7,0)),0%,VLOOKUP(A73,'Données projet'!$A$217:$I$237,7,0))</f>
        <v>0.25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3.9175670594622471</v>
      </c>
      <c r="FS73" s="21">
        <f>EXP(-LN(2)/2)*FS72+(1-EXP(-LN(2)/2))/(LN(2)/2)*FM73*FP73*VLOOKUP('Données projet'!$B$16,Paramètres!$A$1:$I$89,3,0)*0.475*44/12</f>
        <v>1.6389715853783506</v>
      </c>
      <c r="FT73" s="22">
        <f t="shared" si="78"/>
        <v>5.5565386448405976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9.733749999999997</v>
      </c>
      <c r="N74" s="13">
        <f>IF('Données projet'!$A$36&gt;35,N73+M74-V73,IF(A74&lt;'Données projet'!$A$36,$K$205^A74,IF(A74='Données projet'!$A$36,'Données projet'!$B$36,N73+M74-V73)))</f>
        <v>281.7587500000003</v>
      </c>
      <c r="O74" s="13">
        <f>N74*VLOOKUP('Données projet'!$B$9,Paramètres!$A$1:$I$89,3,0)*VLOOKUP('Données projet'!$B$9,Paramètres!$A$1:$I$89,5,0)</f>
        <v>285.70337250000034</v>
      </c>
      <c r="P74" s="13">
        <f t="shared" si="87"/>
        <v>68.170877307212365</v>
      </c>
      <c r="Q74" s="20">
        <f t="shared" si="54"/>
        <v>616.3309850808954</v>
      </c>
      <c r="R74" s="59">
        <f t="shared" si="55"/>
        <v>909.66431841422877</v>
      </c>
      <c r="S74" s="59">
        <f ca="1">AVERAGE(OFFSET($R$3,0,0,'Données projet'!$E$9+1,1))-AVERAGE(OFFSET($H$3,0,0,'Données projet'!$E$9+1,1))</f>
        <v>706.69239849991595</v>
      </c>
      <c r="T74" s="59">
        <f t="shared" si="88"/>
        <v>310.59887275116529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8.2021892838620225</v>
      </c>
      <c r="AA74" s="21">
        <f>EXP(-LN(2)/25)*AA73+(1-EXP(-LN(2)/25))/(LN(2)/25)*Calculateur!V74*Calculateur!X74*VLOOKUP('Données projet'!$B$9,Paramètres!$A$1:$I$89,3,0)*0.475*44/12</f>
        <v>32.993287680528134</v>
      </c>
      <c r="AB74" s="21">
        <f>EXP(-LN(2)/2)*AB73+(1-EXP(-LN(2)/2))/(LN(2)/2)*V74*Y74*VLOOKUP('Données projet'!$B$9,Paramètres!$A$1:$I$89,3,0)*0.475*44/12</f>
        <v>1.0142437998172844</v>
      </c>
      <c r="AC74" s="22">
        <f t="shared" si="57"/>
        <v>42.209720764207439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2.1794871794871766</v>
      </c>
      <c r="AI74" s="13">
        <f>IF('Données projet'!$A$62&gt;35,AI73+AH74-AQ73,IF(A74&lt;'Données projet'!$A$62,$AF$205^A74,IF(A74='Données projet'!$A$62,'Données projet'!$B$62,AI73+AH74-AQ73)))</f>
        <v>122.05128205128196</v>
      </c>
      <c r="AJ74" s="13">
        <f>AI74*VLOOKUP('Données projet'!$B$10,Paramètres!$A$1:$I$89,3,0)*VLOOKUP('Données projet'!$B$10,Paramètres!$A$1:$I$89,5,0)</f>
        <v>127.56799999999991</v>
      </c>
      <c r="AK74" s="13">
        <f t="shared" si="89"/>
        <v>33.43377937608831</v>
      </c>
      <c r="AL74" s="20">
        <f t="shared" si="58"/>
        <v>280.41143241335362</v>
      </c>
      <c r="AM74" s="59">
        <f t="shared" si="59"/>
        <v>573.74476574668688</v>
      </c>
      <c r="AN74" s="59">
        <f ca="1">AVERAGE(OFFSET($AM$3,0,0,'Données projet'!$E$10+1,1))-AVERAGE(OFFSET($H$3,0,0,'Données projet'!$E$10+1,1))</f>
        <v>239.26156489359892</v>
      </c>
      <c r="AO74" s="59">
        <f t="shared" si="90"/>
        <v>213.97034450798111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0.8613426659085982</v>
      </c>
      <c r="AV74" s="21">
        <f>EXP(-LN(2)/25)*AV73+(1-EXP(-LN(2)/25))/(LN(2)/25)*Calculateur!AQ74*Calculateur!AS74*VLOOKUP('Données projet'!$B$10,Paramètres!$A$1:$I$89,3,0)*0.475*44/12</f>
        <v>16.32669781266446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17.188040478573058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256.39999999999986</v>
      </c>
      <c r="BE74" s="13">
        <f>BD74*VLOOKUP('Données projet'!$B$11,Paramètres!$A$1:$I$89,3,0)*VLOOKUP('Données projet'!$B$11,Paramètres!$A$1:$I$89,5,0)</f>
        <v>223.99103999999991</v>
      </c>
      <c r="BF74" s="13">
        <f t="shared" si="91"/>
        <v>54.981408824201552</v>
      </c>
      <c r="BG74" s="20">
        <f t="shared" si="61"/>
        <v>485.87701503548419</v>
      </c>
      <c r="BH74" s="59">
        <f t="shared" si="62"/>
        <v>779.21034836881745</v>
      </c>
      <c r="BI74" s="59">
        <f ca="1">AVERAGE(OFFSET($BH$3,0,0,'Données projet'!$E$11+1,1))-AVERAGE(OFFSET($H$3,0,0,'Données projet'!$E$11+1,1))</f>
        <v>324.86930206492627</v>
      </c>
      <c r="BJ74" s="59">
        <f t="shared" si="92"/>
        <v>317.03005098025352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11.763871259824567</v>
      </c>
      <c r="BQ74" s="21">
        <f>EXP(-LN(2)/25)*BQ73+(1-EXP(-LN(2)/25))/(LN(2)/25)*Calculateur!BL74*Calculateur!BN74*VLOOKUP('Données projet'!$B$11,Paramètres!$A$1:$I$89,3,0)*0.475*44/12</f>
        <v>13.432389603831751</v>
      </c>
      <c r="BR74" s="21">
        <f>EXP(-LN(2)/2)*BR73+(1-EXP(-LN(2)/2))/(LN(2)/2)*BL74*BO74*VLOOKUP('Données projet'!$B$11,Paramètres!$A$1:$I$89,3,0)*0.475*44/12</f>
        <v>1.8086792951896391</v>
      </c>
      <c r="BS74" s="22">
        <f t="shared" si="63"/>
        <v>27.004940158845958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6.7437500000000021</v>
      </c>
      <c r="BY74" s="12">
        <f>IF('Données projet'!$A$114&gt;35,BY73+BX74-CG73,IF(A74&lt;'Données projet'!$A$114,$BV$205^A74,IF(A74='Données projet'!$A$114,'Données projet'!$B$114,BY73+BX74-CG73)))</f>
        <v>162.0575</v>
      </c>
      <c r="BZ74" s="13">
        <f>BY74*VLOOKUP('Données projet'!$B$12,Paramètres!$A$1:$I$89,3,0)*VLOOKUP('Données projet'!$B$12,Paramètres!$A$1:$I$89,5,0)</f>
        <v>184.55108100000001</v>
      </c>
      <c r="CA74" s="13">
        <f t="shared" si="93"/>
        <v>46.333241717897458</v>
      </c>
      <c r="CB74" s="20">
        <f t="shared" si="64"/>
        <v>402.12352873367144</v>
      </c>
      <c r="CC74" s="59">
        <f t="shared" si="65"/>
        <v>695.45686206700475</v>
      </c>
      <c r="CD74" s="59">
        <f ca="1">AVERAGE(OFFSET($CC$3,0,0,'Données projet'!$E$12+1,1))-AVERAGE(OFFSET($H$3,0,0,'Données projet'!$E$12+1,1))</f>
        <v>593.28343396240075</v>
      </c>
      <c r="CE74" s="59">
        <f t="shared" si="94"/>
        <v>289.66477662068695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40.400101758337136</v>
      </c>
      <c r="CM74" s="21">
        <f>EXP(-LN(2)/2)*CM73+(1-EXP(-LN(2)/2))/(LN(2)/2)*CG74*CJ74*VLOOKUP('Données projet'!$B$12,Paramètres!$A$1:$I$89,3,0)*0.475*44/12</f>
        <v>4.8825216619398599</v>
      </c>
      <c r="CN74" s="22">
        <f t="shared" si="66"/>
        <v>45.282623420276998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9.733749999999997</v>
      </c>
      <c r="CT74" s="12">
        <f>IF('Données projet'!$A$140&gt;35,CT73+CS74-DB73,IF(A74&lt;'Données projet'!$A$140,$CQ$205^A74,IF(A74='Données projet'!$A$140,'Données projet'!$B$140,CT73+CS74-DB73)))</f>
        <v>281.7587500000003</v>
      </c>
      <c r="CU74" s="17">
        <f>CT74*VLOOKUP('Données projet'!$B$13,Paramètres!$A$1:$I$89,3,0)*VLOOKUP('Données projet'!$B$13,Paramètres!$A$1:$I$89,5,0)</f>
        <v>303.28511850000029</v>
      </c>
      <c r="CV74" s="13">
        <f t="shared" si="95"/>
        <v>71.864713365163979</v>
      </c>
      <c r="CW74" s="20">
        <f t="shared" si="67"/>
        <v>653.38595716516113</v>
      </c>
      <c r="CX74" s="59">
        <f t="shared" si="68"/>
        <v>946.7192904984945</v>
      </c>
      <c r="CY74" s="59">
        <f ca="1">AVERAGE(OFFSET($CX$3,0,0,'Données projet'!$E$13+1,1))-AVERAGE(OFFSET($H$3,0,0,'Données projet'!$E$13+1,1))</f>
        <v>747.18304127457918</v>
      </c>
      <c r="CZ74" s="59">
        <f t="shared" si="96"/>
        <v>327.03701004966723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8.7069393936381481</v>
      </c>
      <c r="DG74" s="21">
        <f>EXP(-LN(2)/25)*DG73+(1-EXP(-LN(2)/25))/(LN(2)/25)*Calculateur!DB74*Calculateur!DD74*VLOOKUP('Données projet'!$B$13,Paramètres!$A$1:$I$89,3,0)*0.475*44/12</f>
        <v>35.023643845483704</v>
      </c>
      <c r="DH74" s="21">
        <f>EXP(-LN(2)/2)*DH73+(1-EXP(-LN(2)/2))/(LN(2)/2)*DB74*DE74*VLOOKUP('Données projet'!$B$13,Paramètres!$A$1:$I$89,3,0)*0.475*44/12</f>
        <v>1.0766588028829629</v>
      </c>
      <c r="DI74" s="22">
        <f t="shared" si="69"/>
        <v>44.807242042004816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4.2</v>
      </c>
      <c r="DO74" s="12">
        <f>IF('Données projet'!$A$166&gt;35,DO73+DN74-DW73,IF(A74&lt;'Données projet'!$A$166,$DL$205^A74,IF(A74='Données projet'!$A$166,'Données projet'!$B$166,DO73+DN74-DW73)))</f>
        <v>307.19999999999993</v>
      </c>
      <c r="DP74" s="17">
        <f>DO74*VLOOKUP('Données projet'!$B$14,Paramètres!$A$1:$I$89,3,0)*VLOOKUP('Données projet'!$B$14,Paramètres!$A$1:$I$89,5,0)</f>
        <v>244.40831999999995</v>
      </c>
      <c r="DQ74" s="13">
        <f t="shared" si="97"/>
        <v>59.38699493610541</v>
      </c>
      <c r="DR74" s="20">
        <f t="shared" si="70"/>
        <v>529.11017351371675</v>
      </c>
      <c r="DS74" s="59">
        <f t="shared" si="71"/>
        <v>822.44350684705</v>
      </c>
      <c r="DT74" s="59">
        <f ca="1">AVERAGE(OFFSET($DS$3,0,0,'Données projet'!$E$14+1,1))-AVERAGE(OFFSET($H$3,0,0,'Données projet'!$E$14+1,1))</f>
        <v>353.37479213497227</v>
      </c>
      <c r="DU74" s="59">
        <f t="shared" si="98"/>
        <v>345.4750813433123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14.650644143476965</v>
      </c>
      <c r="EB74" s="21">
        <f>EXP(-LN(2)/25)*EB73+(1-EXP(-LN(2)/25))/(LN(2)/25)*Calculateur!DW74*Calculateur!DY74*VLOOKUP('Données projet'!$B$14,Paramètres!$A$1:$I$89,3,0)*0.475*44/12</f>
        <v>15.151981320558889</v>
      </c>
      <c r="EC74" s="21">
        <f>EXP(-LN(2)/2)*EC73+(1-EXP(-LN(2)/2))/(LN(2)/2)*DW74*DZ74*VLOOKUP('Données projet'!$B$14,Paramètres!$A$1:$I$89,3,0)*0.475*44/12</f>
        <v>2.1030423197824706</v>
      </c>
      <c r="ED74" s="22">
        <f t="shared" si="72"/>
        <v>31.905667783818327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>
        <f>VLOOKUP(A74,'Données projet'!$A$191:$I$211,2,0)</f>
        <v>471.35</v>
      </c>
      <c r="EH74" s="12">
        <f>VLOOKUP(A74,'Données projet'!$A$191:$I$211,9,0)</f>
        <v>24.01</v>
      </c>
      <c r="EI74" s="12">
        <f t="array" ref="EI74">INDEX(EH:EH,MIN(IF(ISNUMBER(EH74:EH270),ROW(EH74:EH270),"")))</f>
        <v>24.01</v>
      </c>
      <c r="EJ74" s="12">
        <f>IF('Données projet'!$A$192&gt;35,EJ73+EI74-ER73,IF(A74&lt;'Données projet'!$A$192,$EG$205^A74,IF(A74='Données projet'!$A$192,'Données projet'!$B$192,EJ73+EI74-ER73)))</f>
        <v>471.34999999999951</v>
      </c>
      <c r="EK74" s="17">
        <f>EJ74*VLOOKUP('Données projet'!$B$15,Paramètres!$A$1:$I$89,3,0)*VLOOKUP('Données projet'!$B$15,Paramètres!$A$1:$I$89,5,0)</f>
        <v>220.59179999999975</v>
      </c>
      <c r="EL74" s="13">
        <f t="shared" si="99"/>
        <v>54.243490409514202</v>
      </c>
      <c r="EM74" s="20">
        <f t="shared" si="73"/>
        <v>478.67146412990343</v>
      </c>
      <c r="EN74" s="59">
        <f t="shared" si="74"/>
        <v>772.00479746323674</v>
      </c>
      <c r="EO74" s="59">
        <f ca="1">AVERAGE(OFFSET($EN$3,0,0,'Données projet'!$E$15+1,1))-AVERAGE(OFFSET($H$3,0,0,'Données projet'!$E$15+1,1))</f>
        <v>433.05041777893922</v>
      </c>
      <c r="EP74" s="59">
        <f t="shared" si="100"/>
        <v>591.24088611958996</v>
      </c>
      <c r="EQ74" s="15">
        <f>IF(ISNA(VLOOKUP(A74,'Données projet'!$A$191:$I$211,3,0)),0,VLOOKUP(A74,'Données projet'!$A$191:$I$211,3,0))</f>
        <v>5</v>
      </c>
      <c r="ER74" s="15">
        <f>IF(ISNA(VLOOKUP(A74,'Données projet'!$A$191:$I$211,4,0)),0,VLOOKUP(A74,'Données projet'!$A$191:$I$211,4,0))</f>
        <v>91.730000000000018</v>
      </c>
      <c r="ES74" s="16">
        <f>IF(ISNA(VLOOKUP(A74,'Données projet'!$A$191:$I$211,5,0)),0%,VLOOKUP(A74,'Données projet'!$A$191:$I$211,5,0)*VLOOKUP('Données projet'!$B$15,Paramètres!$A$1:$I$89,7,0))</f>
        <v>0.33</v>
      </c>
      <c r="ET74" s="16">
        <f>IF(ISNA(VLOOKUP(A74,'Données projet'!$A$191:$I$211,6,0)),0%,VLOOKUP(A74,'Données projet'!$A$191:$I$211,6,0)*VLOOKUP('Données projet'!$B$15,Paramètres!$A$1:$I$89,7,0))</f>
        <v>0.11000000000000001</v>
      </c>
      <c r="EU74" s="16">
        <f>IF(ISNA(VLOOKUP(A74,'Données projet'!$A$191:$I$211,7,0)),0%,VLOOKUP(A74,'Données projet'!$A$191:$I$211,7,0))</f>
        <v>0.2</v>
      </c>
      <c r="EV74" s="21">
        <f>EXP(-LN(2)/35)*EV73+(1-EXP(-LN(2)/35))/(LN(2)/35)*ER74*ES74*VLOOKUP('Données projet'!$B$15,Paramètres!$A$1:$I$89,3,0)*0.475*44/12</f>
        <v>151.28032405082831</v>
      </c>
      <c r="EW74" s="21">
        <f>EXP(-LN(2)/25)*EW73+(1-EXP(-LN(2)/25))/(LN(2)/25)*Calculateur!ER74*Calculateur!ET74*VLOOKUP('Données projet'!$B$15,Paramètres!$A$1:$I$89,3,0)*0.475*44/12</f>
        <v>56.862172722148415</v>
      </c>
      <c r="EX74" s="21">
        <f>EXP(-LN(2)/2)*EX73+(1-EXP(-LN(2)/2))/(LN(2)/2)*ER74*EU74*VLOOKUP('Données projet'!$B$15,Paramètres!$A$1:$I$89,3,0)*0.475*44/12</f>
        <v>12.08368680836211</v>
      </c>
      <c r="EY74" s="22">
        <f t="shared" si="75"/>
        <v>220.22618358133883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2.3076923076923093</v>
      </c>
      <c r="FE74" s="12">
        <f>IF('Données projet'!$A$218&gt;35,FE73+FD74-FM73,IF(A74&lt;'Données projet'!$A$218,$FB$205^A74,IF(A74='Données projet'!$A$218,'Données projet'!$B$218,FE73+FD74-FM73)))</f>
        <v>109.35897435897431</v>
      </c>
      <c r="FF74" s="17">
        <f>FE74*VLOOKUP('Données projet'!$B$16,Paramètres!$A$1:$I$89,3,0)*VLOOKUP('Données projet'!$B$16,Paramètres!$A$1:$I$89,5,0)</f>
        <v>88.711999999999961</v>
      </c>
      <c r="FG74" s="13">
        <f t="shared" si="101"/>
        <v>24.254330290837913</v>
      </c>
      <c r="FH74" s="20">
        <f t="shared" si="76"/>
        <v>196.74969192320927</v>
      </c>
      <c r="FI74" s="59">
        <f t="shared" si="77"/>
        <v>490.08302525654256</v>
      </c>
      <c r="FJ74" s="59">
        <f ca="1">AVERAGE(OFFSET($FI$3,0,0,'Données projet'!$E$16+1,1))-AVERAGE(OFFSET($H$3,0,0,'Données projet'!$E$16+1,1))</f>
        <v>159.4660488566085</v>
      </c>
      <c r="FK74" s="59">
        <f t="shared" si="102"/>
        <v>135.33030558297088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3.8104409822053542</v>
      </c>
      <c r="FS74" s="21">
        <f>EXP(-LN(2)/2)*FS73+(1-EXP(-LN(2)/2))/(LN(2)/2)*FM74*FP74*VLOOKUP('Données projet'!$B$16,Paramètres!$A$1:$I$89,3,0)*0.475*44/12</f>
        <v>1.1589279221930984</v>
      </c>
      <c r="FT74" s="22">
        <f t="shared" si="78"/>
        <v>4.9693689043984524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9.733749999999997</v>
      </c>
      <c r="N75" s="13">
        <f>IF('Données projet'!$A$36&gt;35,N74+M75-V74,IF(A75&lt;'Données projet'!$A$36,$K$205^A75,IF(A75='Données projet'!$A$36,'Données projet'!$B$36,N74+M75-V74)))</f>
        <v>291.49250000000029</v>
      </c>
      <c r="O75" s="13">
        <f>N75*VLOOKUP('Données projet'!$B$9,Paramètres!$A$1:$I$89,3,0)*VLOOKUP('Données projet'!$B$9,Paramètres!$A$1:$I$89,5,0)</f>
        <v>295.57339500000029</v>
      </c>
      <c r="P75" s="13">
        <f t="shared" si="87"/>
        <v>70.247675710683964</v>
      </c>
      <c r="Q75" s="20">
        <f t="shared" si="54"/>
        <v>637.13836482110844</v>
      </c>
      <c r="R75" s="59">
        <f t="shared" si="55"/>
        <v>930.47169815444181</v>
      </c>
      <c r="S75" s="59">
        <f ca="1">AVERAGE(OFFSET($R$3,0,0,'Données projet'!$E$9+1,1))-AVERAGE(OFFSET($H$3,0,0,'Données projet'!$E$9+1,1))</f>
        <v>706.69239849991595</v>
      </c>
      <c r="T75" s="59">
        <f t="shared" si="88"/>
        <v>310.59887275116529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8.041349354846961</v>
      </c>
      <c r="AA75" s="21">
        <f>EXP(-LN(2)/25)*AA74+(1-EXP(-LN(2)/25))/(LN(2)/25)*Calculateur!V75*Calculateur!X75*VLOOKUP('Données projet'!$B$9,Paramètres!$A$1:$I$89,3,0)*0.475*44/12</f>
        <v>32.091084493862503</v>
      </c>
      <c r="AB75" s="21">
        <f>EXP(-LN(2)/2)*AB74+(1-EXP(-LN(2)/2))/(LN(2)/2)*V75*Y75*VLOOKUP('Données projet'!$B$9,Paramètres!$A$1:$I$89,3,0)*0.475*44/12</f>
        <v>0.71717866862721313</v>
      </c>
      <c r="AC75" s="22">
        <f t="shared" si="57"/>
        <v>40.849612517336681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2.1794871794871766</v>
      </c>
      <c r="AI75" s="13">
        <f>IF('Données projet'!$A$62&gt;35,AI74+AH75-AQ74,IF(A75&lt;'Données projet'!$A$62,$AF$205^A75,IF(A75='Données projet'!$A$62,'Données projet'!$B$62,AI74+AH75-AQ74)))</f>
        <v>124.23076923076914</v>
      </c>
      <c r="AJ75" s="13">
        <f>AI75*VLOOKUP('Données projet'!$B$10,Paramètres!$A$1:$I$89,3,0)*VLOOKUP('Données projet'!$B$10,Paramètres!$A$1:$I$89,5,0)</f>
        <v>129.84599999999992</v>
      </c>
      <c r="AK75" s="13">
        <f t="shared" si="89"/>
        <v>33.960771999433035</v>
      </c>
      <c r="AL75" s="20">
        <f t="shared" si="58"/>
        <v>285.29679456567902</v>
      </c>
      <c r="AM75" s="59">
        <f t="shared" si="59"/>
        <v>578.63012789901234</v>
      </c>
      <c r="AN75" s="59">
        <f ca="1">AVERAGE(OFFSET($AM$3,0,0,'Données projet'!$E$10+1,1))-AVERAGE(OFFSET($H$3,0,0,'Données projet'!$E$10+1,1))</f>
        <v>239.26156489359892</v>
      </c>
      <c r="AO75" s="59">
        <f t="shared" si="90"/>
        <v>213.97034450798111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0.84445226159728115</v>
      </c>
      <c r="AV75" s="21">
        <f>EXP(-LN(2)/25)*AV74+(1-EXP(-LN(2)/25))/(LN(2)/25)*Calculateur!AQ75*Calculateur!AS75*VLOOKUP('Données projet'!$B$10,Paramètres!$A$1:$I$89,3,0)*0.475*44/12</f>
        <v>15.880243402393427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16.724695663990708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259.79999999999984</v>
      </c>
      <c r="BE75" s="13">
        <f>BD75*VLOOKUP('Données projet'!$B$11,Paramètres!$A$1:$I$89,3,0)*VLOOKUP('Données projet'!$B$11,Paramètres!$A$1:$I$89,5,0)</f>
        <v>226.96127999999987</v>
      </c>
      <c r="BF75" s="13">
        <f t="shared" si="91"/>
        <v>55.625131501998617</v>
      </c>
      <c r="BG75" s="20">
        <f t="shared" si="61"/>
        <v>492.17133336598067</v>
      </c>
      <c r="BH75" s="59">
        <f t="shared" si="62"/>
        <v>785.50466669931393</v>
      </c>
      <c r="BI75" s="59">
        <f ca="1">AVERAGE(OFFSET($BH$3,0,0,'Données projet'!$E$11+1,1))-AVERAGE(OFFSET($H$3,0,0,'Données projet'!$E$11+1,1))</f>
        <v>324.86930206492627</v>
      </c>
      <c r="BJ75" s="59">
        <f t="shared" si="92"/>
        <v>317.03005098025352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11.533188919672378</v>
      </c>
      <c r="BQ75" s="21">
        <f>EXP(-LN(2)/25)*BQ74+(1-EXP(-LN(2)/25))/(LN(2)/25)*Calculateur!BL75*Calculateur!BN75*VLOOKUP('Données projet'!$B$11,Paramètres!$A$1:$I$89,3,0)*0.475*44/12</f>
        <v>13.065080203736303</v>
      </c>
      <c r="BR75" s="21">
        <f>EXP(-LN(2)/2)*BR74+(1-EXP(-LN(2)/2))/(LN(2)/2)*BL75*BO75*VLOOKUP('Données projet'!$B$11,Paramètres!$A$1:$I$89,3,0)*0.475*44/12</f>
        <v>1.2789293946202993</v>
      </c>
      <c r="BS75" s="22">
        <f t="shared" si="63"/>
        <v>25.87719851802898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6.7437500000000021</v>
      </c>
      <c r="BY75" s="12">
        <f>IF('Données projet'!$A$114&gt;35,BY74+BX75-CG74,IF(A75&lt;'Données projet'!$A$114,$BV$205^A75,IF(A75='Données projet'!$A$114,'Données projet'!$B$114,BY74+BX75-CG74)))</f>
        <v>168.80125000000001</v>
      </c>
      <c r="BZ75" s="13">
        <f>BY75*VLOOKUP('Données projet'!$B$12,Paramètres!$A$1:$I$89,3,0)*VLOOKUP('Données projet'!$B$12,Paramètres!$A$1:$I$89,5,0)</f>
        <v>192.2308635</v>
      </c>
      <c r="CA75" s="13">
        <f t="shared" si="93"/>
        <v>48.032829524396625</v>
      </c>
      <c r="CB75" s="20">
        <f t="shared" si="64"/>
        <v>418.45926535082413</v>
      </c>
      <c r="CC75" s="59">
        <f t="shared" si="65"/>
        <v>711.79259868415738</v>
      </c>
      <c r="CD75" s="59">
        <f ca="1">AVERAGE(OFFSET($CC$3,0,0,'Données projet'!$E$12+1,1))-AVERAGE(OFFSET($H$3,0,0,'Données projet'!$E$12+1,1))</f>
        <v>593.28343396240075</v>
      </c>
      <c r="CE75" s="59">
        <f t="shared" si="94"/>
        <v>289.66477662068695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39.295358851206394</v>
      </c>
      <c r="CM75" s="21">
        <f>EXP(-LN(2)/2)*CM74+(1-EXP(-LN(2)/2))/(LN(2)/2)*CG75*CJ75*VLOOKUP('Données projet'!$B$12,Paramètres!$A$1:$I$89,3,0)*0.475*44/12</f>
        <v>3.4524641764478869</v>
      </c>
      <c r="CN75" s="22">
        <f t="shared" si="66"/>
        <v>42.747823027654285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9.733749999999997</v>
      </c>
      <c r="CT75" s="12">
        <f>IF('Données projet'!$A$140&gt;35,CT74+CS75-DB74,IF(A75&lt;'Données projet'!$A$140,$CQ$205^A75,IF(A75='Données projet'!$A$140,'Données projet'!$B$140,CT74+CS75-DB74)))</f>
        <v>291.49250000000029</v>
      </c>
      <c r="CU75" s="17">
        <f>CT75*VLOOKUP('Données projet'!$B$13,Paramètres!$A$1:$I$89,3,0)*VLOOKUP('Données projet'!$B$13,Paramètres!$A$1:$I$89,5,0)</f>
        <v>313.76252700000032</v>
      </c>
      <c r="CV75" s="13">
        <f t="shared" si="95"/>
        <v>74.054043000898787</v>
      </c>
      <c r="CW75" s="20">
        <f t="shared" si="67"/>
        <v>675.44719275156592</v>
      </c>
      <c r="CX75" s="59">
        <f t="shared" si="68"/>
        <v>968.78052608489929</v>
      </c>
      <c r="CY75" s="59">
        <f ca="1">AVERAGE(OFFSET($CX$3,0,0,'Données projet'!$E$13+1,1))-AVERAGE(OFFSET($H$3,0,0,'Données projet'!$E$13+1,1))</f>
        <v>747.18304127457918</v>
      </c>
      <c r="CZ75" s="59">
        <f t="shared" si="96"/>
        <v>327.03701004966723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8.5362016228375452</v>
      </c>
      <c r="DG75" s="21">
        <f>EXP(-LN(2)/25)*DG74+(1-EXP(-LN(2)/25))/(LN(2)/25)*Calculateur!DB75*Calculateur!DD75*VLOOKUP('Données projet'!$B$13,Paramètres!$A$1:$I$89,3,0)*0.475*44/12</f>
        <v>34.065920462715567</v>
      </c>
      <c r="DH75" s="21">
        <f>EXP(-LN(2)/2)*DH74+(1-EXP(-LN(2)/2))/(LN(2)/2)*DB75*DE75*VLOOKUP('Données projet'!$B$13,Paramètres!$A$1:$I$89,3,0)*0.475*44/12</f>
        <v>0.76131274054273346</v>
      </c>
      <c r="DI75" s="22">
        <f t="shared" si="69"/>
        <v>43.363434826095848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4.2</v>
      </c>
      <c r="DO75" s="12">
        <f>IF('Données projet'!$A$166&gt;35,DO74+DN75-DW74,IF(A75&lt;'Données projet'!$A$166,$DL$205^A75,IF(A75='Données projet'!$A$166,'Données projet'!$B$166,DO74+DN75-DW74)))</f>
        <v>311.39999999999992</v>
      </c>
      <c r="DP75" s="17">
        <f>DO75*VLOOKUP('Données projet'!$B$14,Paramètres!$A$1:$I$89,3,0)*VLOOKUP('Données projet'!$B$14,Paramètres!$A$1:$I$89,5,0)</f>
        <v>247.74983999999995</v>
      </c>
      <c r="DQ75" s="13">
        <f t="shared" si="97"/>
        <v>60.103849700617872</v>
      </c>
      <c r="DR75" s="20">
        <f t="shared" si="70"/>
        <v>536.17850956190932</v>
      </c>
      <c r="DS75" s="59">
        <f t="shared" si="71"/>
        <v>829.51184289524258</v>
      </c>
      <c r="DT75" s="59">
        <f ca="1">AVERAGE(OFFSET($DS$3,0,0,'Données projet'!$E$14+1,1))-AVERAGE(OFFSET($H$3,0,0,'Données projet'!$E$14+1,1))</f>
        <v>353.37479213497227</v>
      </c>
      <c r="DU75" s="59">
        <f t="shared" si="98"/>
        <v>345.4750813433123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14.363353947833952</v>
      </c>
      <c r="EB75" s="21">
        <f>EXP(-LN(2)/25)*EB74+(1-EXP(-LN(2)/25))/(LN(2)/25)*Calculateur!DW75*Calculateur!DY75*VLOOKUP('Données projet'!$B$14,Paramètres!$A$1:$I$89,3,0)*0.475*44/12</f>
        <v>14.737649594540139</v>
      </c>
      <c r="EC75" s="21">
        <f>EXP(-LN(2)/2)*EC74+(1-EXP(-LN(2)/2))/(LN(2)/2)*DW75*DZ75*VLOOKUP('Données projet'!$B$14,Paramètres!$A$1:$I$89,3,0)*0.475*44/12</f>
        <v>1.4870754854404729</v>
      </c>
      <c r="ED75" s="22">
        <f t="shared" si="72"/>
        <v>30.588079027814565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27.4375</v>
      </c>
      <c r="EJ75" s="12">
        <f>IF('Données projet'!$A$192&gt;35,EJ74+EI75-ER74,IF(A75&lt;'Données projet'!$A$192,$EG$205^A75,IF(A75='Données projet'!$A$192,'Données projet'!$B$192,EJ74+EI75-ER74)))</f>
        <v>407.05749999999949</v>
      </c>
      <c r="EK75" s="17">
        <f>EJ75*VLOOKUP('Données projet'!$B$15,Paramètres!$A$1:$I$89,3,0)*VLOOKUP('Données projet'!$B$15,Paramètres!$A$1:$I$89,5,0)</f>
        <v>190.50290999999976</v>
      </c>
      <c r="EL75" s="13">
        <f t="shared" si="99"/>
        <v>47.651122000489082</v>
      </c>
      <c r="EM75" s="20">
        <f t="shared" si="73"/>
        <v>414.78493906751805</v>
      </c>
      <c r="EN75" s="59">
        <f t="shared" si="74"/>
        <v>708.11827240085131</v>
      </c>
      <c r="EO75" s="59">
        <f ca="1">AVERAGE(OFFSET($EN$3,0,0,'Données projet'!$E$15+1,1))-AVERAGE(OFFSET($H$3,0,0,'Données projet'!$E$15+1,1))</f>
        <v>433.05041777893922</v>
      </c>
      <c r="EP75" s="59">
        <f t="shared" si="100"/>
        <v>591.24088611958996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148.31380916807814</v>
      </c>
      <c r="EW75" s="21">
        <f>EXP(-LN(2)/25)*EW74+(1-EXP(-LN(2)/25))/(LN(2)/25)*Calculateur!ER75*Calculateur!ET75*VLOOKUP('Données projet'!$B$15,Paramètres!$A$1:$I$89,3,0)*0.475*44/12</f>
        <v>55.30727361880956</v>
      </c>
      <c r="EX75" s="21">
        <f>EXP(-LN(2)/2)*EX74+(1-EXP(-LN(2)/2))/(LN(2)/2)*ER75*EU75*VLOOKUP('Données projet'!$B$15,Paramètres!$A$1:$I$89,3,0)*0.475*44/12</f>
        <v>8.5444568839272783</v>
      </c>
      <c r="EY75" s="22">
        <f t="shared" si="75"/>
        <v>212.16553967081498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2.3076923076923093</v>
      </c>
      <c r="FE75" s="12">
        <f>IF('Données projet'!$A$218&gt;35,FE74+FD75-FM74,IF(A75&lt;'Données projet'!$A$218,$FB$205^A75,IF(A75='Données projet'!$A$218,'Données projet'!$B$218,FE74+FD75-FM74)))</f>
        <v>111.66666666666661</v>
      </c>
      <c r="FF75" s="17">
        <f>FE75*VLOOKUP('Données projet'!$B$16,Paramètres!$A$1:$I$89,3,0)*VLOOKUP('Données projet'!$B$16,Paramètres!$A$1:$I$89,5,0)</f>
        <v>90.583999999999961</v>
      </c>
      <c r="FG75" s="13">
        <f t="shared" si="101"/>
        <v>24.706018667982935</v>
      </c>
      <c r="FH75" s="20">
        <f t="shared" si="76"/>
        <v>200.79678251340351</v>
      </c>
      <c r="FI75" s="59">
        <f t="shared" si="77"/>
        <v>494.13011584673683</v>
      </c>
      <c r="FJ75" s="59">
        <f ca="1">AVERAGE(OFFSET($FI$3,0,0,'Données projet'!$E$16+1,1))-AVERAGE(OFFSET($H$3,0,0,'Données projet'!$E$16+1,1))</f>
        <v>159.4660488566085</v>
      </c>
      <c r="FK75" s="59">
        <f t="shared" si="102"/>
        <v>135.33030558297088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3.7062442731645664</v>
      </c>
      <c r="FS75" s="21">
        <f>EXP(-LN(2)/2)*FS74+(1-EXP(-LN(2)/2))/(LN(2)/2)*FM75*FP75*VLOOKUP('Données projet'!$B$16,Paramètres!$A$1:$I$89,3,0)*0.475*44/12</f>
        <v>0.81948579268917543</v>
      </c>
      <c r="FT75" s="22">
        <f t="shared" si="78"/>
        <v>4.5257300658537414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9.733749999999997</v>
      </c>
      <c r="N76" s="13">
        <f>IF('Données projet'!$A$36&gt;35,N75+M76-V75,IF(A76&lt;'Données projet'!$A$36,$K$205^A76,IF(A76='Données projet'!$A$36,'Données projet'!$B$36,N75+M76-V75)))</f>
        <v>301.22625000000028</v>
      </c>
      <c r="O76" s="13">
        <f>N76*VLOOKUP('Données projet'!$B$9,Paramètres!$A$1:$I$89,3,0)*VLOOKUP('Données projet'!$B$9,Paramètres!$A$1:$I$89,5,0)</f>
        <v>305.44341750000029</v>
      </c>
      <c r="P76" s="13">
        <f t="shared" si="87"/>
        <v>72.316415847426583</v>
      </c>
      <c r="Q76" s="20">
        <f t="shared" si="54"/>
        <v>657.93170974676843</v>
      </c>
      <c r="R76" s="59">
        <f t="shared" si="55"/>
        <v>951.2650430801018</v>
      </c>
      <c r="S76" s="59">
        <f ca="1">AVERAGE(OFFSET($R$3,0,0,'Données projet'!$E$9+1,1))-AVERAGE(OFFSET($H$3,0,0,'Données projet'!$E$9+1,1))</f>
        <v>706.69239849991595</v>
      </c>
      <c r="T76" s="59">
        <f t="shared" si="88"/>
        <v>310.59887275116529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7.883663398737216</v>
      </c>
      <c r="AA76" s="21">
        <f>EXP(-LN(2)/25)*AA75+(1-EXP(-LN(2)/25))/(LN(2)/25)*Calculateur!V76*Calculateur!X76*VLOOKUP('Données projet'!$B$9,Paramètres!$A$1:$I$89,3,0)*0.475*44/12</f>
        <v>31.213552100781044</v>
      </c>
      <c r="AB76" s="21">
        <f>EXP(-LN(2)/2)*AB75+(1-EXP(-LN(2)/2))/(LN(2)/2)*V76*Y76*VLOOKUP('Données projet'!$B$9,Paramètres!$A$1:$I$89,3,0)*0.475*44/12</f>
        <v>0.50712189990864232</v>
      </c>
      <c r="AC76" s="22">
        <f t="shared" si="57"/>
        <v>39.604337399426896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2.1794871794871766</v>
      </c>
      <c r="AI76" s="13">
        <f>IF('Données projet'!$A$62&gt;35,AI75+AH76-AQ75,IF(A76&lt;'Données projet'!$A$62,$AF$205^A76,IF(A76='Données projet'!$A$62,'Données projet'!$B$62,AI75+AH76-AQ75)))</f>
        <v>126.41025641025632</v>
      </c>
      <c r="AJ76" s="13">
        <f>AI76*VLOOKUP('Données projet'!$B$10,Paramètres!$A$1:$I$89,3,0)*VLOOKUP('Données projet'!$B$10,Paramètres!$A$1:$I$89,5,0)</f>
        <v>132.12399999999994</v>
      </c>
      <c r="AK76" s="13">
        <f t="shared" si="89"/>
        <v>34.486689488144428</v>
      </c>
      <c r="AL76" s="20">
        <f t="shared" si="58"/>
        <v>290.18028419185146</v>
      </c>
      <c r="AM76" s="59">
        <f t="shared" si="59"/>
        <v>583.51361752518483</v>
      </c>
      <c r="AN76" s="59">
        <f ca="1">AVERAGE(OFFSET($AM$3,0,0,'Données projet'!$E$10+1,1))-AVERAGE(OFFSET($H$3,0,0,'Données projet'!$E$10+1,1))</f>
        <v>239.26156489359892</v>
      </c>
      <c r="AO76" s="59">
        <f t="shared" si="90"/>
        <v>213.97034450798111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0.82789306781237959</v>
      </c>
      <c r="AV76" s="21">
        <f>EXP(-LN(2)/25)*AV75+(1-EXP(-LN(2)/25))/(LN(2)/25)*Calculateur!AQ76*Calculateur!AS76*VLOOKUP('Données projet'!$B$10,Paramètres!$A$1:$I$89,3,0)*0.475*44/12</f>
        <v>15.445997311449274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16.273890379261655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263.19999999999982</v>
      </c>
      <c r="BE76" s="13">
        <f>BD76*VLOOKUP('Données projet'!$B$11,Paramètres!$A$1:$I$89,3,0)*VLOOKUP('Données projet'!$B$11,Paramètres!$A$1:$I$89,5,0)</f>
        <v>229.93151999999986</v>
      </c>
      <c r="BF76" s="13">
        <f t="shared" si="91"/>
        <v>56.26787429746841</v>
      </c>
      <c r="BG76" s="20">
        <f t="shared" si="61"/>
        <v>498.4639450680906</v>
      </c>
      <c r="BH76" s="59">
        <f t="shared" si="62"/>
        <v>791.79727840142391</v>
      </c>
      <c r="BI76" s="59">
        <f ca="1">AVERAGE(OFFSET($BH$3,0,0,'Données projet'!$E$11+1,1))-AVERAGE(OFFSET($H$3,0,0,'Données projet'!$E$11+1,1))</f>
        <v>324.86930206492627</v>
      </c>
      <c r="BJ76" s="59">
        <f t="shared" si="92"/>
        <v>317.03005098025352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11.307030119508239</v>
      </c>
      <c r="BQ76" s="21">
        <f>EXP(-LN(2)/25)*BQ75+(1-EXP(-LN(2)/25))/(LN(2)/25)*Calculateur!BL76*Calculateur!BN76*VLOOKUP('Données projet'!$B$11,Paramètres!$A$1:$I$89,3,0)*0.475*44/12</f>
        <v>12.707814898502425</v>
      </c>
      <c r="BR76" s="21">
        <f>EXP(-LN(2)/2)*BR75+(1-EXP(-LN(2)/2))/(LN(2)/2)*BL76*BO76*VLOOKUP('Données projet'!$B$11,Paramètres!$A$1:$I$89,3,0)*0.475*44/12</f>
        <v>0.90433964759481977</v>
      </c>
      <c r="BS76" s="22">
        <f t="shared" si="63"/>
        <v>24.919184665605485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6.7437500000000021</v>
      </c>
      <c r="BY76" s="12">
        <f>IF('Données projet'!$A$114&gt;35,BY75+BX76-CG75,IF(A76&lt;'Données projet'!$A$114,$BV$205^A76,IF(A76='Données projet'!$A$114,'Données projet'!$B$114,BY75+BX76-CG75)))</f>
        <v>175.54500000000002</v>
      </c>
      <c r="BZ76" s="13">
        <f>BY76*VLOOKUP('Données projet'!$B$12,Paramètres!$A$1:$I$89,3,0)*VLOOKUP('Données projet'!$B$12,Paramètres!$A$1:$I$89,5,0)</f>
        <v>199.91064600000001</v>
      </c>
      <c r="CA76" s="13">
        <f t="shared" si="93"/>
        <v>49.724529909965376</v>
      </c>
      <c r="CB76" s="20">
        <f t="shared" si="64"/>
        <v>434.78126470985643</v>
      </c>
      <c r="CC76" s="59">
        <f t="shared" si="65"/>
        <v>728.11459804318974</v>
      </c>
      <c r="CD76" s="59">
        <f ca="1">AVERAGE(OFFSET($CC$3,0,0,'Données projet'!$E$12+1,1))-AVERAGE(OFFSET($H$3,0,0,'Données projet'!$E$12+1,1))</f>
        <v>593.28343396240075</v>
      </c>
      <c r="CE76" s="59">
        <f t="shared" si="94"/>
        <v>289.66477662068695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38.220825196967041</v>
      </c>
      <c r="CM76" s="21">
        <f>EXP(-LN(2)/2)*CM75+(1-EXP(-LN(2)/2))/(LN(2)/2)*CG76*CJ76*VLOOKUP('Données projet'!$B$12,Paramètres!$A$1:$I$89,3,0)*0.475*44/12</f>
        <v>2.44126083096993</v>
      </c>
      <c r="CN76" s="22">
        <f t="shared" si="66"/>
        <v>40.662086027936972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9.733749999999997</v>
      </c>
      <c r="CT76" s="12">
        <f>IF('Données projet'!$A$140&gt;35,CT75+CS76-DB75,IF(A76&lt;'Données projet'!$A$140,$CQ$205^A76,IF(A76='Données projet'!$A$140,'Données projet'!$B$140,CT75+CS76-DB75)))</f>
        <v>301.22625000000028</v>
      </c>
      <c r="CU76" s="17">
        <f>CT76*VLOOKUP('Données projet'!$B$13,Paramètres!$A$1:$I$89,3,0)*VLOOKUP('Données projet'!$B$13,Paramètres!$A$1:$I$89,5,0)</f>
        <v>324.23993550000029</v>
      </c>
      <c r="CV76" s="13">
        <f t="shared" si="95"/>
        <v>76.234877733067975</v>
      </c>
      <c r="CW76" s="20">
        <f t="shared" si="67"/>
        <v>697.4936330475939</v>
      </c>
      <c r="CX76" s="59">
        <f t="shared" si="68"/>
        <v>990.82696638092716</v>
      </c>
      <c r="CY76" s="59">
        <f ca="1">AVERAGE(OFFSET($CX$3,0,0,'Données projet'!$E$13+1,1))-AVERAGE(OFFSET($H$3,0,0,'Données projet'!$E$13+1,1))</f>
        <v>747.18304127457918</v>
      </c>
      <c r="CZ76" s="59">
        <f t="shared" si="96"/>
        <v>327.03701004966723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8.3688119155825849</v>
      </c>
      <c r="DG76" s="21">
        <f>EXP(-LN(2)/25)*DG75+(1-EXP(-LN(2)/25))/(LN(2)/25)*Calculateur!DB76*Calculateur!DD76*VLOOKUP('Données projet'!$B$13,Paramètres!$A$1:$I$89,3,0)*0.475*44/12</f>
        <v>33.134386076213708</v>
      </c>
      <c r="DH76" s="21">
        <f>EXP(-LN(2)/2)*DH75+(1-EXP(-LN(2)/2))/(LN(2)/2)*DB76*DE76*VLOOKUP('Données projet'!$B$13,Paramètres!$A$1:$I$89,3,0)*0.475*44/12</f>
        <v>0.53832940144148145</v>
      </c>
      <c r="DI76" s="22">
        <f t="shared" si="69"/>
        <v>42.041527393237772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4.2</v>
      </c>
      <c r="DO76" s="12">
        <f>IF('Données projet'!$A$166&gt;35,DO75+DN76-DW75,IF(A76&lt;'Données projet'!$A$166,$DL$205^A76,IF(A76='Données projet'!$A$166,'Données projet'!$B$166,DO75+DN76-DW75)))</f>
        <v>315.59999999999991</v>
      </c>
      <c r="DP76" s="17">
        <f>DO76*VLOOKUP('Données projet'!$B$14,Paramètres!$A$1:$I$89,3,0)*VLOOKUP('Données projet'!$B$14,Paramètres!$A$1:$I$89,5,0)</f>
        <v>251.09135999999995</v>
      </c>
      <c r="DQ76" s="13">
        <f t="shared" si="97"/>
        <v>60.81957989149403</v>
      </c>
      <c r="DR76" s="20">
        <f t="shared" si="70"/>
        <v>543.24488697768527</v>
      </c>
      <c r="DS76" s="59">
        <f t="shared" si="71"/>
        <v>836.57822031101864</v>
      </c>
      <c r="DT76" s="59">
        <f ca="1">AVERAGE(OFFSET($DS$3,0,0,'Données projet'!$E$14+1,1))-AVERAGE(OFFSET($H$3,0,0,'Données projet'!$E$14+1,1))</f>
        <v>353.37479213497227</v>
      </c>
      <c r="DU76" s="59">
        <f t="shared" si="98"/>
        <v>345.4750813433123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14.081697337697781</v>
      </c>
      <c r="EB76" s="21">
        <f>EXP(-LN(2)/25)*EB75+(1-EXP(-LN(2)/25))/(LN(2)/25)*Calculateur!DW76*Calculateur!DY76*VLOOKUP('Données projet'!$B$14,Paramètres!$A$1:$I$89,3,0)*0.475*44/12</f>
        <v>14.33464779135813</v>
      </c>
      <c r="EC76" s="21">
        <f>EXP(-LN(2)/2)*EC75+(1-EXP(-LN(2)/2))/(LN(2)/2)*DW76*DZ76*VLOOKUP('Données projet'!$B$14,Paramètres!$A$1:$I$89,3,0)*0.475*44/12</f>
        <v>1.0515211598912355</v>
      </c>
      <c r="ED76" s="22">
        <f t="shared" si="72"/>
        <v>29.46786628894715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27.4375</v>
      </c>
      <c r="EJ76" s="12">
        <f>IF('Données projet'!$A$192&gt;35,EJ75+EI76-ER75,IF(A76&lt;'Données projet'!$A$192,$EG$205^A76,IF(A76='Données projet'!$A$192,'Données projet'!$B$192,EJ75+EI76-ER75)))</f>
        <v>434.49499999999949</v>
      </c>
      <c r="EK76" s="17">
        <f>EJ76*VLOOKUP('Données projet'!$B$15,Paramètres!$A$1:$I$89,3,0)*VLOOKUP('Données projet'!$B$15,Paramètres!$A$1:$I$89,5,0)</f>
        <v>203.34365999999977</v>
      </c>
      <c r="EL76" s="13">
        <f t="shared" si="99"/>
        <v>50.47829240180485</v>
      </c>
      <c r="EM76" s="20">
        <f t="shared" si="73"/>
        <v>442.07323376647633</v>
      </c>
      <c r="EN76" s="59">
        <f t="shared" si="74"/>
        <v>735.40656709980965</v>
      </c>
      <c r="EO76" s="59">
        <f ca="1">AVERAGE(OFFSET($EN$3,0,0,'Données projet'!$E$15+1,1))-AVERAGE(OFFSET($H$3,0,0,'Données projet'!$E$15+1,1))</f>
        <v>433.05041777893922</v>
      </c>
      <c r="EP76" s="59">
        <f t="shared" si="100"/>
        <v>591.24088611958996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145.40546583278328</v>
      </c>
      <c r="EW76" s="21">
        <f>EXP(-LN(2)/25)*EW75+(1-EXP(-LN(2)/25))/(LN(2)/25)*Calculateur!ER76*Calculateur!ET76*VLOOKUP('Données projet'!$B$15,Paramètres!$A$1:$I$89,3,0)*0.475*44/12</f>
        <v>53.794893313220101</v>
      </c>
      <c r="EX76" s="21">
        <f>EXP(-LN(2)/2)*EX75+(1-EXP(-LN(2)/2))/(LN(2)/2)*ER76*EU76*VLOOKUP('Données projet'!$B$15,Paramètres!$A$1:$I$89,3,0)*0.475*44/12</f>
        <v>6.0418434041810558</v>
      </c>
      <c r="EY76" s="22">
        <f t="shared" si="75"/>
        <v>205.24220255018446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2.3076923076923093</v>
      </c>
      <c r="FE76" s="12">
        <f>IF('Données projet'!$A$218&gt;35,FE75+FD76-FM75,IF(A76&lt;'Données projet'!$A$218,$FB$205^A76,IF(A76='Données projet'!$A$218,'Données projet'!$B$218,FE75+FD76-FM75)))</f>
        <v>113.97435897435892</v>
      </c>
      <c r="FF76" s="17">
        <f>FE76*VLOOKUP('Données projet'!$B$16,Paramètres!$A$1:$I$89,3,0)*VLOOKUP('Données projet'!$B$16,Paramètres!$A$1:$I$89,5,0)</f>
        <v>92.455999999999975</v>
      </c>
      <c r="FG76" s="13">
        <f t="shared" si="101"/>
        <v>25.156621727947371</v>
      </c>
      <c r="FH76" s="20">
        <f t="shared" si="76"/>
        <v>204.84198284284162</v>
      </c>
      <c r="FI76" s="59">
        <f t="shared" si="77"/>
        <v>498.17531617617493</v>
      </c>
      <c r="FJ76" s="59">
        <f ca="1">AVERAGE(OFFSET($FI$3,0,0,'Données projet'!$E$16+1,1))-AVERAGE(OFFSET($H$3,0,0,'Données projet'!$E$16+1,1))</f>
        <v>159.4660488566085</v>
      </c>
      <c r="FK76" s="59">
        <f t="shared" si="102"/>
        <v>135.33030558297088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3.6048968286119658</v>
      </c>
      <c r="FS76" s="21">
        <f>EXP(-LN(2)/2)*FS75+(1-EXP(-LN(2)/2))/(LN(2)/2)*FM76*FP76*VLOOKUP('Données projet'!$B$16,Paramètres!$A$1:$I$89,3,0)*0.475*44/12</f>
        <v>0.5794639610965493</v>
      </c>
      <c r="FT76" s="22">
        <f t="shared" si="78"/>
        <v>4.1843607897085153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310.95999999999998</v>
      </c>
      <c r="L77" s="12">
        <f>VLOOKUP(A77,'Données projet'!$A$35:$I$55,9,0)</f>
        <v>9.733749999999997</v>
      </c>
      <c r="M77" s="12">
        <f t="array" ref="M77">INDEX(L:L,MIN(IF(ISNUMBER(L77:L273),ROW(L77:L273),"")))</f>
        <v>9.733749999999997</v>
      </c>
      <c r="N77" s="13">
        <f>IF('Données projet'!$A$36&gt;35,N76+M77-V76,IF(A77&lt;'Données projet'!$A$36,$K$205^A77,IF(A77='Données projet'!$A$36,'Données projet'!$B$36,N76+M77-V76)))</f>
        <v>310.96000000000026</v>
      </c>
      <c r="O77" s="13">
        <f>N77*VLOOKUP('Données projet'!$B$9,Paramètres!$A$1:$I$89,3,0)*VLOOKUP('Données projet'!$B$9,Paramètres!$A$1:$I$89,5,0)</f>
        <v>315.31344000000024</v>
      </c>
      <c r="P77" s="13">
        <f t="shared" si="87"/>
        <v>74.377387976510789</v>
      </c>
      <c r="Q77" s="20">
        <f t="shared" si="54"/>
        <v>678.71152539242337</v>
      </c>
      <c r="R77" s="59">
        <f t="shared" si="55"/>
        <v>972.04485872575674</v>
      </c>
      <c r="S77" s="59">
        <f ca="1">AVERAGE(OFFSET($R$3,0,0,'Données projet'!$E$9+1,1))-AVERAGE(OFFSET($H$3,0,0,'Données projet'!$E$9+1,1))</f>
        <v>706.69239849991595</v>
      </c>
      <c r="T77" s="59">
        <f t="shared" si="88"/>
        <v>310.59887275116529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51.339999999999975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16.390256852917666</v>
      </c>
      <c r="AA77" s="21">
        <f>EXP(-LN(2)/25)*AA76+(1-EXP(-LN(2)/25))/(LN(2)/25)*Calculateur!V77*Calculateur!X77*VLOOKUP('Données projet'!$B$9,Paramètres!$A$1:$I$89,3,0)*0.475*44/12</f>
        <v>35.289778671626223</v>
      </c>
      <c r="AB77" s="21">
        <f>EXP(-LN(2)/2)*AB76+(1-EXP(-LN(2)/2))/(LN(2)/2)*V77*Y77*VLOOKUP('Données projet'!$B$9,Paramètres!$A$1:$I$89,3,0)*0.475*44/12</f>
        <v>5.2704734544118432</v>
      </c>
      <c r="AC77" s="22">
        <f t="shared" si="57"/>
        <v>56.950508978955732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2.1794871794871766</v>
      </c>
      <c r="AI77" s="13">
        <f>IF('Données projet'!$A$62&gt;35,AI76+AH77-AQ76,IF(A77&lt;'Données projet'!$A$62,$AF$205^A77,IF(A77='Données projet'!$A$62,'Données projet'!$B$62,AI76+AH77-AQ76)))</f>
        <v>128.58974358974351</v>
      </c>
      <c r="AJ77" s="13">
        <f>AI77*VLOOKUP('Données projet'!$B$10,Paramètres!$A$1:$I$89,3,0)*VLOOKUP('Données projet'!$B$10,Paramètres!$A$1:$I$89,5,0)</f>
        <v>134.40199999999993</v>
      </c>
      <c r="AK77" s="13">
        <f t="shared" si="89"/>
        <v>35.011552518023244</v>
      </c>
      <c r="AL77" s="20">
        <f t="shared" si="58"/>
        <v>295.06193730222367</v>
      </c>
      <c r="AM77" s="59">
        <f t="shared" si="59"/>
        <v>588.39527063555693</v>
      </c>
      <c r="AN77" s="59">
        <f ca="1">AVERAGE(OFFSET($AM$3,0,0,'Données projet'!$E$10+1,1))-AVERAGE(OFFSET($H$3,0,0,'Données projet'!$E$10+1,1))</f>
        <v>239.26156489359892</v>
      </c>
      <c r="AO77" s="59">
        <f t="shared" si="90"/>
        <v>213.97034450798111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0.81165858971748905</v>
      </c>
      <c r="AV77" s="21">
        <f>EXP(-LN(2)/25)*AV76+(1-EXP(-LN(2)/25))/(LN(2)/25)*Calculateur!AQ77*Calculateur!AS77*VLOOKUP('Données projet'!$B$10,Paramètres!$A$1:$I$89,3,0)*0.475*44/12</f>
        <v>15.023625702697997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15.835284292415485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266.5999999999998</v>
      </c>
      <c r="BE77" s="13">
        <f>BD77*VLOOKUP('Données projet'!$B$11,Paramètres!$A$1:$I$89,3,0)*VLOOKUP('Données projet'!$B$11,Paramètres!$A$1:$I$89,5,0)</f>
        <v>232.90175999999985</v>
      </c>
      <c r="BF77" s="13">
        <f t="shared" si="91"/>
        <v>56.909651332233778</v>
      </c>
      <c r="BG77" s="20">
        <f t="shared" si="61"/>
        <v>504.75487473697353</v>
      </c>
      <c r="BH77" s="59">
        <f t="shared" si="62"/>
        <v>798.08820807030679</v>
      </c>
      <c r="BI77" s="59">
        <f ca="1">AVERAGE(OFFSET($BH$3,0,0,'Données projet'!$E$11+1,1))-AVERAGE(OFFSET($H$3,0,0,'Données projet'!$E$11+1,1))</f>
        <v>324.86930206492627</v>
      </c>
      <c r="BJ77" s="59">
        <f t="shared" si="92"/>
        <v>317.03005098025352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11.085306155472072</v>
      </c>
      <c r="BQ77" s="21">
        <f>EXP(-LN(2)/25)*BQ76+(1-EXP(-LN(2)/25))/(LN(2)/25)*Calculateur!BL77*Calculateur!BN77*VLOOKUP('Données projet'!$B$11,Paramètres!$A$1:$I$89,3,0)*0.475*44/12</f>
        <v>12.360319031827935</v>
      </c>
      <c r="BR77" s="21">
        <f>EXP(-LN(2)/2)*BR76+(1-EXP(-LN(2)/2))/(LN(2)/2)*BL77*BO77*VLOOKUP('Données projet'!$B$11,Paramètres!$A$1:$I$89,3,0)*0.475*44/12</f>
        <v>0.63946469731014977</v>
      </c>
      <c r="BS77" s="22">
        <f t="shared" si="63"/>
        <v>24.085089884610156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6.7437500000000021</v>
      </c>
      <c r="BY77" s="12">
        <f>IF('Données projet'!$A$114&gt;35,BY76+BX77-CG76,IF(A77&lt;'Données projet'!$A$114,$BV$205^A77,IF(A77='Données projet'!$A$114,'Données projet'!$B$114,BY76+BX77-CG76)))</f>
        <v>182.28875000000002</v>
      </c>
      <c r="BZ77" s="13">
        <f>BY77*VLOOKUP('Données projet'!$B$12,Paramètres!$A$1:$I$89,3,0)*VLOOKUP('Données projet'!$B$12,Paramètres!$A$1:$I$89,5,0)</f>
        <v>207.59042850000003</v>
      </c>
      <c r="CA77" s="13">
        <f t="shared" si="93"/>
        <v>51.408680561939029</v>
      </c>
      <c r="CB77" s="20">
        <f t="shared" si="64"/>
        <v>451.09011494954387</v>
      </c>
      <c r="CC77" s="59">
        <f t="shared" si="65"/>
        <v>744.42344828287719</v>
      </c>
      <c r="CD77" s="59">
        <f ca="1">AVERAGE(OFFSET($CC$3,0,0,'Données projet'!$E$12+1,1))-AVERAGE(OFFSET($H$3,0,0,'Données projet'!$E$12+1,1))</f>
        <v>593.28343396240075</v>
      </c>
      <c r="CE77" s="59">
        <f t="shared" si="94"/>
        <v>289.66477662068695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37.175674722010136</v>
      </c>
      <c r="CM77" s="21">
        <f>EXP(-LN(2)/2)*CM76+(1-EXP(-LN(2)/2))/(LN(2)/2)*CG77*CJ77*VLOOKUP('Données projet'!$B$12,Paramètres!$A$1:$I$89,3,0)*0.475*44/12</f>
        <v>1.7262320882239435</v>
      </c>
      <c r="CN77" s="22">
        <f t="shared" si="66"/>
        <v>38.901906810234081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310.95999999999998</v>
      </c>
      <c r="CR77" s="12">
        <f>VLOOKUP(A77,'Données projet'!$A$139:$I$159,9,0)</f>
        <v>9.733749999999997</v>
      </c>
      <c r="CS77" s="12">
        <f t="array" ref="CS77">INDEX(CR:CR,MIN(IF(ISNUMBER(CR77:CR273),ROW(CR77:CR273),"")))</f>
        <v>9.733749999999997</v>
      </c>
      <c r="CT77" s="12">
        <f>IF('Données projet'!$A$140&gt;35,CT76+CS77-DB76,IF(A77&lt;'Données projet'!$A$140,$CQ$205^A77,IF(A77='Données projet'!$A$140,'Données projet'!$B$140,CT76+CS77-DB76)))</f>
        <v>310.96000000000026</v>
      </c>
      <c r="CU77" s="17">
        <f>CT77*VLOOKUP('Données projet'!$B$13,Paramètres!$A$1:$I$89,3,0)*VLOOKUP('Données projet'!$B$13,Paramètres!$A$1:$I$89,5,0)</f>
        <v>334.71734400000025</v>
      </c>
      <c r="CV77" s="13">
        <f t="shared" si="95"/>
        <v>78.407523548417757</v>
      </c>
      <c r="CW77" s="20">
        <f t="shared" si="67"/>
        <v>719.52581098016128</v>
      </c>
      <c r="CX77" s="59">
        <f t="shared" si="68"/>
        <v>1012.8591443134947</v>
      </c>
      <c r="CY77" s="59">
        <f ca="1">AVERAGE(OFFSET($CX$3,0,0,'Données projet'!$E$13+1,1))-AVERAGE(OFFSET($H$3,0,0,'Données projet'!$E$13+1,1))</f>
        <v>747.18304127457918</v>
      </c>
      <c r="CZ77" s="59">
        <f t="shared" si="96"/>
        <v>327.03701004966723</v>
      </c>
      <c r="DA77" s="15">
        <f>IF(ISNA(VLOOKUP(A77,'Données projet'!$A$139:$I$159,3,0)),0,VLOOKUP(A77,'Données projet'!$A$139:$I$159,3,0))</f>
        <v>5</v>
      </c>
      <c r="DB77" s="15">
        <f>IF(ISNA(VLOOKUP(A77,'Données projet'!$A$139:$I$159,4,0)),0,VLOOKUP(A77,'Données projet'!$A$139:$I$159,4,0))</f>
        <v>51.339999999999975</v>
      </c>
      <c r="DC77" s="16">
        <f>IF(ISNA(VLOOKUP(A77,'Données projet'!$A$139:$I$159,5,0)),0%,VLOOKUP(A77,'Données projet'!$A$139:$I$159,5,0)*VLOOKUP('Données projet'!$B$13,Paramètres!$A$1:$I$89,7,0))</f>
        <v>0.15049999999999999</v>
      </c>
      <c r="DD77" s="16">
        <f>IF(ISNA(VLOOKUP(A77,'Données projet'!$A$139:$I$159,6,0)),0%,VLOOKUP(A77,'Données projet'!$A$139:$I$159,6,0)*VLOOKUP('Données projet'!$B$13,Paramètres!$A$1:$I$89,7,0))</f>
        <v>8.6000000000000007E-2</v>
      </c>
      <c r="DE77" s="16">
        <f>IF(ISNA(VLOOKUP(A77,'Données projet'!$A$139:$I$159,7,0)),0%,VLOOKUP(A77,'Données projet'!$A$139:$I$159,7,0))</f>
        <v>0.1</v>
      </c>
      <c r="DF77" s="21">
        <f>EXP(-LN(2)/35)*DF76+(1-EXP(-LN(2)/35))/(LN(2)/35)*DB77*DC77*VLOOKUP('Données projet'!$B$13,Paramètres!$A$1:$I$89,3,0)*0.475*44/12</f>
        <v>17.398888043866442</v>
      </c>
      <c r="DG77" s="21">
        <f>EXP(-LN(2)/25)*DG76+(1-EXP(-LN(2)/25))/(LN(2)/25)*Calculateur!DB77*Calculateur!DD77*VLOOKUP('Données projet'!$B$13,Paramètres!$A$1:$I$89,3,0)*0.475*44/12</f>
        <v>37.461457359110895</v>
      </c>
      <c r="DH77" s="21">
        <f>EXP(-LN(2)/2)*DH76+(1-EXP(-LN(2)/2))/(LN(2)/2)*DB77*DE77*VLOOKUP('Données projet'!$B$13,Paramètres!$A$1:$I$89,3,0)*0.475*44/12</f>
        <v>5.594810282375648</v>
      </c>
      <c r="DI77" s="22">
        <f t="shared" si="69"/>
        <v>60.455155685352985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4.2</v>
      </c>
      <c r="DO77" s="12">
        <f>IF('Données projet'!$A$166&gt;35,DO76+DN77-DW76,IF(A77&lt;'Données projet'!$A$166,$DL$205^A77,IF(A77='Données projet'!$A$166,'Données projet'!$B$166,DO76+DN77-DW76)))</f>
        <v>319.7999999999999</v>
      </c>
      <c r="DP77" s="17">
        <f>DO77*VLOOKUP('Données projet'!$B$14,Paramètres!$A$1:$I$89,3,0)*VLOOKUP('Données projet'!$B$14,Paramètres!$A$1:$I$89,5,0)</f>
        <v>254.43287999999995</v>
      </c>
      <c r="DQ77" s="13">
        <f t="shared" si="97"/>
        <v>61.534202204620392</v>
      </c>
      <c r="DR77" s="20">
        <f t="shared" si="70"/>
        <v>550.30933483971376</v>
      </c>
      <c r="DS77" s="59">
        <f t="shared" si="71"/>
        <v>843.64266817304701</v>
      </c>
      <c r="DT77" s="59">
        <f ca="1">AVERAGE(OFFSET($DS$3,0,0,'Données projet'!$E$14+1,1))-AVERAGE(OFFSET($H$3,0,0,'Données projet'!$E$14+1,1))</f>
        <v>353.37479213497227</v>
      </c>
      <c r="DU77" s="59">
        <f t="shared" si="98"/>
        <v>345.4750813433123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13.805563841892811</v>
      </c>
      <c r="EB77" s="21">
        <f>EXP(-LN(2)/25)*EB76+(1-EXP(-LN(2)/25))/(LN(2)/25)*Calculateur!DW77*Calculateur!DY77*VLOOKUP('Données projet'!$B$14,Paramètres!$A$1:$I$89,3,0)*0.475*44/12</f>
        <v>13.942666093677076</v>
      </c>
      <c r="EC77" s="21">
        <f>EXP(-LN(2)/2)*EC76+(1-EXP(-LN(2)/2))/(LN(2)/2)*DW77*DZ77*VLOOKUP('Données projet'!$B$14,Paramètres!$A$1:$I$89,3,0)*0.475*44/12</f>
        <v>0.74353774272023654</v>
      </c>
      <c r="ED77" s="22">
        <f t="shared" si="72"/>
        <v>28.491767678290124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27.4375</v>
      </c>
      <c r="EJ77" s="12">
        <f>IF('Données projet'!$A$192&gt;35,EJ76+EI77-ER76,IF(A77&lt;'Données projet'!$A$192,$EG$205^A77,IF(A77='Données projet'!$A$192,'Données projet'!$B$192,EJ76+EI77-ER76)))</f>
        <v>461.93249999999949</v>
      </c>
      <c r="EK77" s="17">
        <f>EJ77*VLOOKUP('Données projet'!$B$15,Paramètres!$A$1:$I$89,3,0)*VLOOKUP('Données projet'!$B$15,Paramètres!$A$1:$I$89,5,0)</f>
        <v>216.18440999999976</v>
      </c>
      <c r="EL77" s="13">
        <f t="shared" si="99"/>
        <v>53.284743540806673</v>
      </c>
      <c r="EM77" s="20">
        <f t="shared" si="73"/>
        <v>469.32544241690448</v>
      </c>
      <c r="EN77" s="59">
        <f t="shared" si="74"/>
        <v>762.65877575023774</v>
      </c>
      <c r="EO77" s="59">
        <f ca="1">AVERAGE(OFFSET($EN$3,0,0,'Données projet'!$E$15+1,1))-AVERAGE(OFFSET($H$3,0,0,'Données projet'!$E$15+1,1))</f>
        <v>433.05041777893922</v>
      </c>
      <c r="EP77" s="59">
        <f t="shared" si="100"/>
        <v>591.24088611958996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142.5541533363793</v>
      </c>
      <c r="EW77" s="21">
        <f>EXP(-LN(2)/25)*EW76+(1-EXP(-LN(2)/25))/(LN(2)/25)*Calculateur!ER77*Calculateur!ET77*VLOOKUP('Données projet'!$B$15,Paramètres!$A$1:$I$89,3,0)*0.475*44/12</f>
        <v>52.323869126619606</v>
      </c>
      <c r="EX77" s="21">
        <f>EXP(-LN(2)/2)*EX76+(1-EXP(-LN(2)/2))/(LN(2)/2)*ER77*EU77*VLOOKUP('Données projet'!$B$15,Paramètres!$A$1:$I$89,3,0)*0.475*44/12</f>
        <v>4.2722284419636392</v>
      </c>
      <c r="EY77" s="22">
        <f t="shared" si="75"/>
        <v>199.15025090496255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2.3076923076923093</v>
      </c>
      <c r="FE77" s="12">
        <f>IF('Données projet'!$A$218&gt;35,FE76+FD77-FM76,IF(A77&lt;'Données projet'!$A$218,$FB$205^A77,IF(A77='Données projet'!$A$218,'Données projet'!$B$218,FE76+FD77-FM76)))</f>
        <v>116.28205128205123</v>
      </c>
      <c r="FF77" s="17">
        <f>FE77*VLOOKUP('Données projet'!$B$16,Paramètres!$A$1:$I$89,3,0)*VLOOKUP('Données projet'!$B$16,Paramètres!$A$1:$I$89,5,0)</f>
        <v>94.32799999999996</v>
      </c>
      <c r="FG77" s="13">
        <f t="shared" si="101"/>
        <v>25.606163978031738</v>
      </c>
      <c r="FH77" s="20">
        <f t="shared" si="76"/>
        <v>208.88533559507187</v>
      </c>
      <c r="FI77" s="59">
        <f t="shared" si="77"/>
        <v>502.21866892840518</v>
      </c>
      <c r="FJ77" s="59">
        <f ca="1">AVERAGE(OFFSET($FI$3,0,0,'Données projet'!$E$16+1,1))-AVERAGE(OFFSET($H$3,0,0,'Données projet'!$E$16+1,1))</f>
        <v>159.4660488566085</v>
      </c>
      <c r="FK77" s="59">
        <f t="shared" si="102"/>
        <v>135.33030558297088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3.5063207352602865</v>
      </c>
      <c r="FS77" s="21">
        <f>EXP(-LN(2)/2)*FS76+(1-EXP(-LN(2)/2))/(LN(2)/2)*FM77*FP77*VLOOKUP('Données projet'!$B$16,Paramètres!$A$1:$I$89,3,0)*0.475*44/12</f>
        <v>0.40974289634458783</v>
      </c>
      <c r="FT77" s="22">
        <f t="shared" si="78"/>
        <v>3.9160636316048745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9.546999999999997</v>
      </c>
      <c r="N78" s="13">
        <f>IF('Données projet'!$A$36&gt;35,N77+M78-V77,IF(A78&lt;'Données projet'!$A$36,$K$205^A78,IF(A78='Données projet'!$A$36,'Données projet'!$B$36,N77+M78-V77)))</f>
        <v>269.16700000000031</v>
      </c>
      <c r="O78" s="13">
        <f>N78*VLOOKUP('Données projet'!$B$9,Paramètres!$A$1:$I$89,3,0)*VLOOKUP('Données projet'!$B$9,Paramètres!$A$1:$I$89,5,0)</f>
        <v>272.93533800000034</v>
      </c>
      <c r="P78" s="13">
        <f t="shared" si="87"/>
        <v>65.471829519996945</v>
      </c>
      <c r="Q78" s="20">
        <f t="shared" si="54"/>
        <v>589.39248343066197</v>
      </c>
      <c r="R78" s="59">
        <f t="shared" si="55"/>
        <v>882.72581676399523</v>
      </c>
      <c r="S78" s="59">
        <f ca="1">AVERAGE(OFFSET($R$3,0,0,'Données projet'!$E$9+1,1))-AVERAGE(OFFSET($H$3,0,0,'Données projet'!$E$9+1,1))</f>
        <v>706.69239849991595</v>
      </c>
      <c r="T78" s="59">
        <f t="shared" si="88"/>
        <v>310.59887275116529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16.068853913101503</v>
      </c>
      <c r="AA78" s="21">
        <f>EXP(-LN(2)/25)*AA77+(1-EXP(-LN(2)/25))/(LN(2)/25)*Calculateur!V78*Calculateur!X78*VLOOKUP('Données projet'!$B$9,Paramètres!$A$1:$I$89,3,0)*0.475*44/12</f>
        <v>34.324777818041802</v>
      </c>
      <c r="AB78" s="21">
        <f>EXP(-LN(2)/2)*AB77+(1-EXP(-LN(2)/2))/(LN(2)/2)*V78*Y78*VLOOKUP('Données projet'!$B$9,Paramètres!$A$1:$I$89,3,0)*0.475*44/12</f>
        <v>3.7267875196783029</v>
      </c>
      <c r="AC78" s="22">
        <f t="shared" si="57"/>
        <v>54.120419250821605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130.76923076923075</v>
      </c>
      <c r="AG78" s="12">
        <f>VLOOKUP(A78,'Données projet'!$A$61:$I$81,9,0)</f>
        <v>2.1794871794871766</v>
      </c>
      <c r="AH78" s="12">
        <f t="array" ref="AH78">INDEX(AG:AG,MIN(IF(ISNUMBER(AG78:AG274),ROW(AG78:AG274),"")))</f>
        <v>2.1794871794871766</v>
      </c>
      <c r="AI78" s="13">
        <f>IF('Données projet'!$A$62&gt;35,AI77+AH78-AQ77,IF(A78&lt;'Données projet'!$A$62,$AF$205^A78,IF(A78='Données projet'!$A$62,'Données projet'!$B$62,AI77+AH78-AQ77)))</f>
        <v>130.76923076923069</v>
      </c>
      <c r="AJ78" s="13">
        <f>AI78*VLOOKUP('Données projet'!$B$10,Paramètres!$A$1:$I$89,3,0)*VLOOKUP('Données projet'!$B$10,Paramètres!$A$1:$I$89,5,0)</f>
        <v>136.67999999999992</v>
      </c>
      <c r="AK78" s="13">
        <f t="shared" si="89"/>
        <v>35.535381023829849</v>
      </c>
      <c r="AL78" s="20">
        <f t="shared" si="58"/>
        <v>299.94178861650352</v>
      </c>
      <c r="AM78" s="59">
        <f t="shared" si="59"/>
        <v>593.27512194983683</v>
      </c>
      <c r="AN78" s="59">
        <f ca="1">AVERAGE(OFFSET($AM$3,0,0,'Données projet'!$E$10+1,1))-AVERAGE(OFFSET($H$3,0,0,'Données projet'!$E$10+1,1))</f>
        <v>239.26156489359892</v>
      </c>
      <c r="AO78" s="59">
        <f t="shared" si="90"/>
        <v>213.97034450798111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7.6923076923076916</v>
      </c>
      <c r="AR78" s="16">
        <f>IF(ISNA(VLOOKUP(A78,'Données projet'!$A$61:$I$81,5,0)),0%,VLOOKUP(A78,'Données projet'!$A$61:$I$81,5,0)*VLOOKUP('Données projet'!$B$10,Paramètres!$A$1:$I$89,7,0))</f>
        <v>4.3000000000000003E-2</v>
      </c>
      <c r="AS78" s="16">
        <f>IF(ISNA(VLOOKUP(A78,'Données projet'!$A$61:$I$81,6,0)),0%,VLOOKUP(A78,'Données projet'!$A$61:$I$81,6,0)*VLOOKUP('Données projet'!$B$10,Paramètres!$A$1:$I$89,7,0))</f>
        <v>0.215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1.177925679448117</v>
      </c>
      <c r="AV78" s="21">
        <f>EXP(-LN(2)/25)*AV77+(1-EXP(-LN(2)/25))/(LN(2)/25)*Calculateur!AQ78*Calculateur!AS78*VLOOKUP('Données projet'!$B$10,Paramètres!$A$1:$I$89,3,0)*0.475*44/12</f>
        <v>16.516195961066057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17.694121640514172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270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269.99999999999977</v>
      </c>
      <c r="BE78" s="13">
        <f>BD78*VLOOKUP('Données projet'!$B$11,Paramètres!$A$1:$I$89,3,0)*VLOOKUP('Données projet'!$B$11,Paramètres!$A$1:$I$89,5,0)</f>
        <v>235.87199999999982</v>
      </c>
      <c r="BF78" s="13">
        <f t="shared" si="91"/>
        <v>57.55047634701522</v>
      </c>
      <c r="BG78" s="20">
        <f t="shared" si="61"/>
        <v>511.04414630438458</v>
      </c>
      <c r="BH78" s="59">
        <f t="shared" si="62"/>
        <v>804.3774796377179</v>
      </c>
      <c r="BI78" s="59">
        <f ca="1">AVERAGE(OFFSET($BH$3,0,0,'Données projet'!$E$11+1,1))-AVERAGE(OFFSET($H$3,0,0,'Données projet'!$E$11+1,1))</f>
        <v>324.86930206492627</v>
      </c>
      <c r="BJ78" s="59">
        <f t="shared" si="92"/>
        <v>317.03005098025352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9</v>
      </c>
      <c r="BM78" s="16">
        <f>IF(ISNA(VLOOKUP(A78,'Données projet'!$A$87:$I$107,5,0)),0%,VLOOKUP(A78,'Données projet'!$A$87:$I$107,5,0)*VLOOKUP('Données projet'!$B$11,Paramètres!$A$1:$I$89,7,0))</f>
        <v>0.13250000000000001</v>
      </c>
      <c r="BN78" s="16">
        <f>IF(ISNA(VLOOKUP(A78,'Données projet'!$A$87:$I$107,6,0)),0%,VLOOKUP(A78,'Données projet'!$A$87:$I$107,6,0)*VLOOKUP('Données projet'!$B$11,Paramètres!$A$1:$I$89,7,0))</f>
        <v>0.13250000000000001</v>
      </c>
      <c r="BO78" s="16">
        <f>IF(ISNA(VLOOKUP(A78,'Données projet'!$A$87:$I$107,7,0)),0%,VLOOKUP(A78,'Données projet'!$A$87:$I$107,7,0))</f>
        <v>0.25</v>
      </c>
      <c r="BP78" s="21">
        <f>EXP(-LN(2)/35)*BP77+(1-EXP(-LN(2)/35))/(LN(2)/35)*BL78*BM78*VLOOKUP('Données projet'!$B$11,Paramètres!$A$1:$I$89,3,0)*0.475*44/12</f>
        <v>12.019573729477672</v>
      </c>
      <c r="BQ78" s="21">
        <f>EXP(-LN(2)/25)*BQ77+(1-EXP(-LN(2)/25))/(LN(2)/25)*Calculateur!BL78*Calculateur!BN78*VLOOKUP('Données projet'!$B$11,Paramètres!$A$1:$I$89,3,0)*0.475*44/12</f>
        <v>13.169434664321916</v>
      </c>
      <c r="BR78" s="21">
        <f>EXP(-LN(2)/2)*BR77+(1-EXP(-LN(2)/2))/(LN(2)/2)*BL78*BO78*VLOOKUP('Données projet'!$B$11,Paramètres!$A$1:$I$89,3,0)*0.475*44/12</f>
        <v>2.3067663271457612</v>
      </c>
      <c r="BS78" s="22">
        <f t="shared" si="63"/>
        <v>27.495774720945352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6.7437500000000021</v>
      </c>
      <c r="BY78" s="12">
        <f>IF('Données projet'!$A$114&gt;35,BY77+BX78-CG77,IF(A78&lt;'Données projet'!$A$114,$BV$205^A78,IF(A78='Données projet'!$A$114,'Données projet'!$B$114,BY77+BX78-CG77)))</f>
        <v>189.03250000000003</v>
      </c>
      <c r="BZ78" s="13">
        <f>BY78*VLOOKUP('Données projet'!$B$12,Paramètres!$A$1:$I$89,3,0)*VLOOKUP('Données projet'!$B$12,Paramètres!$A$1:$I$89,5,0)</f>
        <v>215.27021100000002</v>
      </c>
      <c r="CA78" s="13">
        <f t="shared" si="93"/>
        <v>53.085592766561511</v>
      </c>
      <c r="CB78" s="20">
        <f t="shared" si="64"/>
        <v>467.38635822676127</v>
      </c>
      <c r="CC78" s="59">
        <f t="shared" si="65"/>
        <v>760.71969156009459</v>
      </c>
      <c r="CD78" s="59">
        <f ca="1">AVERAGE(OFFSET($CC$3,0,0,'Données projet'!$E$12+1,1))-AVERAGE(OFFSET($H$3,0,0,'Données projet'!$E$12+1,1))</f>
        <v>593.28343396240075</v>
      </c>
      <c r="CE78" s="59">
        <f t="shared" si="94"/>
        <v>289.66477662068695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36.159103941753003</v>
      </c>
      <c r="CM78" s="21">
        <f>EXP(-LN(2)/2)*CM77+(1-EXP(-LN(2)/2))/(LN(2)/2)*CG78*CJ78*VLOOKUP('Données projet'!$B$12,Paramètres!$A$1:$I$89,3,0)*0.475*44/12</f>
        <v>1.220630415484965</v>
      </c>
      <c r="CN78" s="22">
        <f t="shared" si="66"/>
        <v>37.379734357237965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9.546999999999997</v>
      </c>
      <c r="CT78" s="12">
        <f>IF('Données projet'!$A$140&gt;35,CT77+CS78-DB77,IF(A78&lt;'Données projet'!$A$140,$CQ$205^A78,IF(A78='Données projet'!$A$140,'Données projet'!$B$140,CT77+CS78-DB77)))</f>
        <v>269.16700000000031</v>
      </c>
      <c r="CU78" s="17">
        <f>CT78*VLOOKUP('Données projet'!$B$13,Paramètres!$A$1:$I$89,3,0)*VLOOKUP('Données projet'!$B$13,Paramètres!$A$1:$I$89,5,0)</f>
        <v>289.73135880000035</v>
      </c>
      <c r="CV78" s="13">
        <f t="shared" si="95"/>
        <v>69.01941778956207</v>
      </c>
      <c r="CW78" s="20">
        <f t="shared" si="67"/>
        <v>624.82426922682123</v>
      </c>
      <c r="CX78" s="59">
        <f t="shared" si="68"/>
        <v>918.1576025601546</v>
      </c>
      <c r="CY78" s="59">
        <f ca="1">AVERAGE(OFFSET($CX$3,0,0,'Données projet'!$E$13+1,1))-AVERAGE(OFFSET($H$3,0,0,'Données projet'!$E$13+1,1))</f>
        <v>747.18304127457918</v>
      </c>
      <c r="CZ78" s="59">
        <f t="shared" si="96"/>
        <v>327.03701004966723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17.057706461600052</v>
      </c>
      <c r="DG78" s="21">
        <f>EXP(-LN(2)/25)*DG77+(1-EXP(-LN(2)/25))/(LN(2)/25)*Calculateur!DB78*Calculateur!DD78*VLOOKUP('Données projet'!$B$13,Paramètres!$A$1:$I$89,3,0)*0.475*44/12</f>
        <v>36.437071837613587</v>
      </c>
      <c r="DH78" s="21">
        <f>EXP(-LN(2)/2)*DH77+(1-EXP(-LN(2)/2))/(LN(2)/2)*DB78*DE78*VLOOKUP('Données projet'!$B$13,Paramètres!$A$1:$I$89,3,0)*0.475*44/12</f>
        <v>3.9561282901200436</v>
      </c>
      <c r="DI78" s="22">
        <f t="shared" si="69"/>
        <v>57.450906589333677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324</v>
      </c>
      <c r="DM78" s="12">
        <f>VLOOKUP(A78,'Données projet'!$A$165:$I$185,9,0)</f>
        <v>4.2</v>
      </c>
      <c r="DN78" s="12">
        <f t="array" ref="DN78">INDEX(DM:DM,MIN(IF(ISNUMBER(DM78:DM274),ROW(DM78:DM274),"")))</f>
        <v>4.2</v>
      </c>
      <c r="DO78" s="12">
        <f>IF('Données projet'!$A$166&gt;35,DO77+DN78-DW77,IF(A78&lt;'Données projet'!$A$166,$DL$205^A78,IF(A78='Données projet'!$A$166,'Données projet'!$B$166,DO77+DN78-DW77)))</f>
        <v>323.99999999999989</v>
      </c>
      <c r="DP78" s="17">
        <f>DO78*VLOOKUP('Données projet'!$B$14,Paramètres!$A$1:$I$89,3,0)*VLOOKUP('Données projet'!$B$14,Paramètres!$A$1:$I$89,5,0)</f>
        <v>257.77439999999996</v>
      </c>
      <c r="DQ78" s="13">
        <f t="shared" si="97"/>
        <v>62.247732872134293</v>
      </c>
      <c r="DR78" s="20">
        <f t="shared" si="70"/>
        <v>557.37188141896718</v>
      </c>
      <c r="DS78" s="59">
        <f t="shared" si="71"/>
        <v>850.70521475230044</v>
      </c>
      <c r="DT78" s="59">
        <f ca="1">AVERAGE(OFFSET($DS$3,0,0,'Données projet'!$E$14+1,1))-AVERAGE(OFFSET($H$3,0,0,'Données projet'!$E$14+1,1))</f>
        <v>353.37479213497227</v>
      </c>
      <c r="DU78" s="59">
        <f t="shared" si="98"/>
        <v>345.4750813433123</v>
      </c>
      <c r="DV78" s="15">
        <f>IF(ISNA(VLOOKUP(A78,'Données projet'!$A$165:$I$185,3,0)),0,VLOOKUP(A78,'Données projet'!$A$165:$I$185,3,0))</f>
        <v>13</v>
      </c>
      <c r="DW78" s="15">
        <f>IF(ISNA(VLOOKUP(A78,'Données projet'!$A$165:$I$185,4,0)),0,VLOOKUP(A78,'Données projet'!$A$165:$I$185,4,0))</f>
        <v>12</v>
      </c>
      <c r="DX78" s="16">
        <f>IF(ISNA(VLOOKUP(A78,'Données projet'!$A$165:$I$185,5,0)),0%,VLOOKUP(A78,'Données projet'!$A$165:$I$185,5,0)*VLOOKUP('Données projet'!$B$14,Paramètres!$A$1:$I$89,7,0))</f>
        <v>0.13250000000000001</v>
      </c>
      <c r="DY78" s="16">
        <f>IF(ISNA(VLOOKUP(A78,'Données projet'!$A$165:$I$185,6,0)),0%,VLOOKUP(A78,'Données projet'!$A$165:$I$185,6,0)*VLOOKUP('Données projet'!$B$14,Paramètres!$A$1:$I$89,7,0))</f>
        <v>0.13250000000000001</v>
      </c>
      <c r="DZ78" s="16">
        <f>IF(ISNA(VLOOKUP(A78,'Données projet'!$A$165:$I$185,7,0)),0%,VLOOKUP(A78,'Données projet'!$A$165:$I$185,7,0))</f>
        <v>0.25</v>
      </c>
      <c r="EA78" s="21">
        <f>EXP(-LN(2)/35)*EA77+(1-EXP(-LN(2)/35))/(LN(2)/35)*DW78*DX78*VLOOKUP('Données projet'!$B$14,Paramètres!$A$1:$I$89,3,0)*0.475*44/12</f>
        <v>14.933269607506475</v>
      </c>
      <c r="EB78" s="21">
        <f>EXP(-LN(2)/25)*EB77+(1-EXP(-LN(2)/25))/(LN(2)/25)*Calculateur!DW78*Calculateur!DY78*VLOOKUP('Données projet'!$B$14,Paramètres!$A$1:$I$89,3,0)*0.475*44/12</f>
        <v>14.954321478214256</v>
      </c>
      <c r="EC78" s="21">
        <f>EXP(-LN(2)/2)*EC77+(1-EXP(-LN(2)/2))/(LN(2)/2)*DW78*DZ78*VLOOKUP('Données projet'!$B$14,Paramètres!$A$1:$I$89,3,0)*0.475*44/12</f>
        <v>2.7777706197257581</v>
      </c>
      <c r="ED78" s="22">
        <f t="shared" si="72"/>
        <v>32.665361705446486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489.37</v>
      </c>
      <c r="EH78" s="12">
        <f>VLOOKUP(A78,'Données projet'!$A$191:$I$211,9,0)</f>
        <v>27.4375</v>
      </c>
      <c r="EI78" s="12">
        <f t="array" ref="EI78">INDEX(EH:EH,MIN(IF(ISNUMBER(EH78:EH274),ROW(EH78:EH274),"")))</f>
        <v>27.4375</v>
      </c>
      <c r="EJ78" s="12">
        <f>IF('Données projet'!$A$192&gt;35,EJ77+EI78-ER77,IF(A78&lt;'Données projet'!$A$192,$EG$205^A78,IF(A78='Données projet'!$A$192,'Données projet'!$B$192,EJ77+EI78-ER77)))</f>
        <v>489.36999999999949</v>
      </c>
      <c r="EK78" s="17">
        <f>EJ78*VLOOKUP('Données projet'!$B$15,Paramètres!$A$1:$I$89,3,0)*VLOOKUP('Données projet'!$B$15,Paramètres!$A$1:$I$89,5,0)</f>
        <v>229.02515999999977</v>
      </c>
      <c r="EL78" s="13">
        <f t="shared" si="99"/>
        <v>56.071846253835936</v>
      </c>
      <c r="EM78" s="20">
        <f t="shared" si="73"/>
        <v>496.54395255876381</v>
      </c>
      <c r="EN78" s="59">
        <f t="shared" si="74"/>
        <v>789.87728589209712</v>
      </c>
      <c r="EO78" s="59">
        <f ca="1">AVERAGE(OFFSET($EN$3,0,0,'Données projet'!$E$15+1,1))-AVERAGE(OFFSET($H$3,0,0,'Données projet'!$E$15+1,1))</f>
        <v>433.05041777893922</v>
      </c>
      <c r="EP78" s="59">
        <f t="shared" si="100"/>
        <v>591.24088611958996</v>
      </c>
      <c r="EQ78" s="15">
        <f>IF(ISNA(VLOOKUP(A78,'Données projet'!$A$191:$I$211,3,0)),0,VLOOKUP(A78,'Données projet'!$A$191:$I$211,3,0))</f>
        <v>5</v>
      </c>
      <c r="ER78" s="15">
        <f>IF(ISNA(VLOOKUP(A78,'Données projet'!$A$191:$I$211,4,0)),0,VLOOKUP(A78,'Données projet'!$A$191:$I$211,4,0))</f>
        <v>89.149999999999977</v>
      </c>
      <c r="ES78" s="16">
        <f>IF(ISNA(VLOOKUP(A78,'Données projet'!$A$191:$I$211,5,0)),0%,VLOOKUP(A78,'Données projet'!$A$191:$I$211,5,0)*VLOOKUP('Données projet'!$B$15,Paramètres!$A$1:$I$89,7,0))</f>
        <v>0.33</v>
      </c>
      <c r="ET78" s="16">
        <f>IF(ISNA(VLOOKUP(A78,'Données projet'!$A$191:$I$211,6,0)),0%,VLOOKUP(A78,'Données projet'!$A$191:$I$211,6,0)*VLOOKUP('Données projet'!$B$15,Paramètres!$A$1:$I$89,7,0))</f>
        <v>0.11000000000000001</v>
      </c>
      <c r="EU78" s="16">
        <f>IF(ISNA(VLOOKUP(A78,'Données projet'!$A$191:$I$211,7,0)),0%,VLOOKUP(A78,'Données projet'!$A$191:$I$211,7,0))</f>
        <v>0.2</v>
      </c>
      <c r="EV78" s="21">
        <f>EXP(-LN(2)/35)*EV77+(1-EXP(-LN(2)/35))/(LN(2)/35)*ER78*ES78*VLOOKUP('Données projet'!$B$15,Paramètres!$A$1:$I$89,3,0)*0.475*44/12</f>
        <v>158.02332522140495</v>
      </c>
      <c r="EW78" s="21">
        <f>EXP(-LN(2)/25)*EW77+(1-EXP(-LN(2)/25))/(LN(2)/25)*Calculateur!ER78*Calculateur!ET78*VLOOKUP('Données projet'!$B$15,Paramètres!$A$1:$I$89,3,0)*0.475*44/12</f>
        <v>56.957289274977889</v>
      </c>
      <c r="EX78" s="21">
        <f>EXP(-LN(2)/2)*EX77+(1-EXP(-LN(2)/2))/(LN(2)/2)*ER78*EU78*VLOOKUP('Données projet'!$B$15,Paramètres!$A$1:$I$89,3,0)*0.475*44/12</f>
        <v>12.468766174862267</v>
      </c>
      <c r="EY78" s="22">
        <f t="shared" si="75"/>
        <v>227.44938067124508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118.58974358974359</v>
      </c>
      <c r="FC78" s="12">
        <f>VLOOKUP(A78,'Données projet'!$A$217:$I$237,9,0)</f>
        <v>2.3076923076923093</v>
      </c>
      <c r="FD78" s="12">
        <f t="array" ref="FD78">INDEX(FC:FC,MIN(IF(ISNUMBER(FC78:FC274),ROW(FC78:FC274),"")))</f>
        <v>2.3076923076923093</v>
      </c>
      <c r="FE78" s="12">
        <f>IF('Données projet'!$A$218&gt;35,FE77+FD78-FM77,IF(A78&lt;'Données projet'!$A$218,$FB$205^A78,IF(A78='Données projet'!$A$218,'Données projet'!$B$218,FE77+FD78-FM77)))</f>
        <v>118.58974358974353</v>
      </c>
      <c r="FF78" s="17">
        <f>FE78*VLOOKUP('Données projet'!$B$16,Paramètres!$A$1:$I$89,3,0)*VLOOKUP('Données projet'!$B$16,Paramètres!$A$1:$I$89,5,0)</f>
        <v>96.19999999999996</v>
      </c>
      <c r="FG78" s="13">
        <f t="shared" si="101"/>
        <v>26.054668897183113</v>
      </c>
      <c r="FH78" s="20">
        <f t="shared" si="76"/>
        <v>212.92688166259384</v>
      </c>
      <c r="FI78" s="59">
        <f t="shared" si="77"/>
        <v>506.26021499592719</v>
      </c>
      <c r="FJ78" s="59">
        <f ca="1">AVERAGE(OFFSET($FI$3,0,0,'Données projet'!$E$16+1,1))-AVERAGE(OFFSET($H$3,0,0,'Données projet'!$E$16+1,1))</f>
        <v>159.4660488566085</v>
      </c>
      <c r="FK78" s="59">
        <f t="shared" si="102"/>
        <v>135.33030558297088</v>
      </c>
      <c r="FL78" s="15">
        <f>IF(ISNA(VLOOKUP(A78,'Données projet'!$A$217:$I$237,3,0)),0,VLOOKUP(A78,'Données projet'!$A$217:$I$237,3,0))</f>
        <v>13</v>
      </c>
      <c r="FM78" s="15">
        <f>IF(ISNA(VLOOKUP(A78,'Données projet'!$A$217:$I$237,4,0)),0,VLOOKUP(A78,'Données projet'!$A$217:$I$237,4,0))</f>
        <v>7.0512820512820511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0.1075</v>
      </c>
      <c r="FP78" s="16">
        <f>IF(ISNA(VLOOKUP(A78,'Données projet'!$A$217:$I$237,7,0)),0%,VLOOKUP(A78,'Données projet'!$A$217:$I$237,7,0))</f>
        <v>0.25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4.0875174972734243</v>
      </c>
      <c r="FS78" s="21">
        <f>EXP(-LN(2)/2)*FS77+(1-EXP(-LN(2)/2))/(LN(2)/2)*FM78*FP78*VLOOKUP('Données projet'!$B$16,Paramètres!$A$1:$I$89,3,0)*0.475*44/12</f>
        <v>1.6389754684339801</v>
      </c>
      <c r="FT78" s="22">
        <f t="shared" si="78"/>
        <v>5.7264929657074042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9.546999999999997</v>
      </c>
      <c r="N79" s="13">
        <f>IF('Données projet'!$A$36&gt;35,N78+M79-V78,IF(A79&lt;'Données projet'!$A$36,$K$205^A79,IF(A79='Données projet'!$A$36,'Données projet'!$B$36,N78+M79-V78)))</f>
        <v>278.71400000000028</v>
      </c>
      <c r="O79" s="13">
        <f>N79*VLOOKUP('Données projet'!$B$9,Paramètres!$A$1:$I$89,3,0)*VLOOKUP('Données projet'!$B$9,Paramètres!$A$1:$I$89,5,0)</f>
        <v>282.61599600000028</v>
      </c>
      <c r="P79" s="13">
        <f t="shared" si="87"/>
        <v>67.519544470872418</v>
      </c>
      <c r="Q79" s="20">
        <f t="shared" si="54"/>
        <v>609.81939965343656</v>
      </c>
      <c r="R79" s="59">
        <f t="shared" si="55"/>
        <v>903.15273298676993</v>
      </c>
      <c r="S79" s="59">
        <f ca="1">AVERAGE(OFFSET($R$3,0,0,'Données projet'!$E$9+1,1))-AVERAGE(OFFSET($H$3,0,0,'Données projet'!$E$9+1,1))</f>
        <v>706.69239849991595</v>
      </c>
      <c r="T79" s="59">
        <f t="shared" si="88"/>
        <v>310.59887275116529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15.753753488898697</v>
      </c>
      <c r="AA79" s="21">
        <f>EXP(-LN(2)/25)*AA78+(1-EXP(-LN(2)/25))/(LN(2)/25)*Calculateur!V79*Calculateur!X79*VLOOKUP('Données projet'!$B$9,Paramètres!$A$1:$I$89,3,0)*0.475*44/12</f>
        <v>33.386164963545838</v>
      </c>
      <c r="AB79" s="21">
        <f>EXP(-LN(2)/2)*AB78+(1-EXP(-LN(2)/2))/(LN(2)/2)*V79*Y79*VLOOKUP('Données projet'!$B$9,Paramètres!$A$1:$I$89,3,0)*0.475*44/12</f>
        <v>2.6352367272059221</v>
      </c>
      <c r="AC79" s="22">
        <f t="shared" si="57"/>
        <v>51.775155179650454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2.0512820512820582</v>
      </c>
      <c r="AI79" s="13">
        <f>IF('Données projet'!$A$62&gt;35,AI78+AH79-AQ78,IF(A79&lt;'Données projet'!$A$62,$AF$205^A79,IF(A79='Données projet'!$A$62,'Données projet'!$B$62,AI78+AH79-AQ78)))</f>
        <v>125.12820512820507</v>
      </c>
      <c r="AJ79" s="13">
        <f>AI79*VLOOKUP('Données projet'!$B$10,Paramètres!$A$1:$I$89,3,0)*VLOOKUP('Données projet'!$B$10,Paramètres!$A$1:$I$89,5,0)</f>
        <v>130.78399999999993</v>
      </c>
      <c r="AK79" s="13">
        <f t="shared" si="89"/>
        <v>34.177455270520305</v>
      </c>
      <c r="AL79" s="20">
        <f t="shared" si="58"/>
        <v>287.30786792948942</v>
      </c>
      <c r="AM79" s="59">
        <f t="shared" si="59"/>
        <v>580.64120126282273</v>
      </c>
      <c r="AN79" s="59">
        <f ca="1">AVERAGE(OFFSET($AM$3,0,0,'Données projet'!$E$10+1,1))-AVERAGE(OFFSET($H$3,0,0,'Données projet'!$E$10+1,1))</f>
        <v>239.26156489359892</v>
      </c>
      <c r="AO79" s="59">
        <f t="shared" si="90"/>
        <v>213.97034450798111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1.1548272753378614</v>
      </c>
      <c r="AV79" s="21">
        <f>EXP(-LN(2)/25)*AV78+(1-EXP(-LN(2)/25))/(LN(2)/25)*Calculateur!AQ79*Calculateur!AS79*VLOOKUP('Données projet'!$B$10,Paramètres!$A$1:$I$89,3,0)*0.475*44/12</f>
        <v>16.064559713961707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17.219386989299569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2.8</v>
      </c>
      <c r="BD79" s="12">
        <f>IF('Données projet'!$A$88&gt;35,BD78+BC79-BL78,IF(A79&lt;'Données projet'!$A$88,$BA$205^A79,IF(A79='Données projet'!$A$88,'Données projet'!$B$88,BD78+BC79-BL78)))</f>
        <v>263.79999999999978</v>
      </c>
      <c r="BE79" s="13">
        <f>BD79*VLOOKUP('Données projet'!$B$11,Paramètres!$A$1:$I$89,3,0)*VLOOKUP('Données projet'!$B$11,Paramètres!$A$1:$I$89,5,0)</f>
        <v>230.45567999999983</v>
      </c>
      <c r="BF79" s="13">
        <f t="shared" si="91"/>
        <v>56.381198848277869</v>
      </c>
      <c r="BG79" s="20">
        <f t="shared" si="61"/>
        <v>499.57423066075035</v>
      </c>
      <c r="BH79" s="59">
        <f t="shared" si="62"/>
        <v>792.9075639940836</v>
      </c>
      <c r="BI79" s="59">
        <f ca="1">AVERAGE(OFFSET($BH$3,0,0,'Données projet'!$E$11+1,1))-AVERAGE(OFFSET($H$3,0,0,'Données projet'!$E$11+1,1))</f>
        <v>324.86930206492627</v>
      </c>
      <c r="BJ79" s="59">
        <f t="shared" si="92"/>
        <v>317.03005098025352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11.783877219858693</v>
      </c>
      <c r="BQ79" s="21">
        <f>EXP(-LN(2)/25)*BQ78+(1-EXP(-LN(2)/25))/(LN(2)/25)*Calculateur!BL79*Calculateur!BN79*VLOOKUP('Données projet'!$B$11,Paramètres!$A$1:$I$89,3,0)*0.475*44/12</f>
        <v>12.809315780875563</v>
      </c>
      <c r="BR79" s="21">
        <f>EXP(-LN(2)/2)*BR78+(1-EXP(-LN(2)/2))/(LN(2)/2)*BL79*BO79*VLOOKUP('Données projet'!$B$11,Paramètres!$A$1:$I$89,3,0)*0.475*44/12</f>
        <v>1.6311301125375539</v>
      </c>
      <c r="BS79" s="22">
        <f t="shared" si="63"/>
        <v>26.224323113271812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6.7437500000000021</v>
      </c>
      <c r="BY79" s="12">
        <f>IF('Données projet'!$A$114&gt;35,BY78+BX79-CG78,IF(A79&lt;'Données projet'!$A$114,$BV$205^A79,IF(A79='Données projet'!$A$114,'Données projet'!$B$114,BY78+BX79-CG78)))</f>
        <v>195.77625000000003</v>
      </c>
      <c r="BZ79" s="13">
        <f>BY79*VLOOKUP('Données projet'!$B$12,Paramètres!$A$1:$I$89,3,0)*VLOOKUP('Données projet'!$B$12,Paramètres!$A$1:$I$89,5,0)</f>
        <v>222.94999350000006</v>
      </c>
      <c r="CA79" s="13">
        <f t="shared" si="93"/>
        <v>54.755554340667125</v>
      </c>
      <c r="CB79" s="20">
        <f t="shared" si="64"/>
        <v>483.67049582249541</v>
      </c>
      <c r="CC79" s="59">
        <f t="shared" si="65"/>
        <v>777.00382915582873</v>
      </c>
      <c r="CD79" s="59">
        <f ca="1">AVERAGE(OFFSET($CC$3,0,0,'Données projet'!$E$12+1,1))-AVERAGE(OFFSET($H$3,0,0,'Données projet'!$E$12+1,1))</f>
        <v>593.28343396240075</v>
      </c>
      <c r="CE79" s="59">
        <f t="shared" si="94"/>
        <v>289.66477662068695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35.170331342941132</v>
      </c>
      <c r="CM79" s="21">
        <f>EXP(-LN(2)/2)*CM78+(1-EXP(-LN(2)/2))/(LN(2)/2)*CG79*CJ79*VLOOKUP('Données projet'!$B$12,Paramètres!$A$1:$I$89,3,0)*0.475*44/12</f>
        <v>0.86311604411197174</v>
      </c>
      <c r="CN79" s="22">
        <f t="shared" si="66"/>
        <v>36.033447387053101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9.546999999999997</v>
      </c>
      <c r="CT79" s="12">
        <f>IF('Données projet'!$A$140&gt;35,CT78+CS79-DB78,IF(A79&lt;'Données projet'!$A$140,$CQ$205^A79,IF(A79='Données projet'!$A$140,'Données projet'!$B$140,CT78+CS79-DB78)))</f>
        <v>278.71400000000028</v>
      </c>
      <c r="CU79" s="17">
        <f>CT79*VLOOKUP('Données projet'!$B$13,Paramètres!$A$1:$I$89,3,0)*VLOOKUP('Données projet'!$B$13,Paramètres!$A$1:$I$89,5,0)</f>
        <v>300.0077496000003</v>
      </c>
      <c r="CV79" s="13">
        <f t="shared" si="95"/>
        <v>71.178088087071316</v>
      </c>
      <c r="CW79" s="20">
        <f t="shared" si="67"/>
        <v>646.48200063831644</v>
      </c>
      <c r="CX79" s="59">
        <f t="shared" si="68"/>
        <v>939.81533397164981</v>
      </c>
      <c r="CY79" s="59">
        <f ca="1">AVERAGE(OFFSET($CX$3,0,0,'Données projet'!$E$13+1,1))-AVERAGE(OFFSET($H$3,0,0,'Données projet'!$E$13+1,1))</f>
        <v>747.18304127457918</v>
      </c>
      <c r="CZ79" s="59">
        <f t="shared" si="96"/>
        <v>327.03701004966723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16.723215242061691</v>
      </c>
      <c r="DG79" s="21">
        <f>EXP(-LN(2)/25)*DG78+(1-EXP(-LN(2)/25))/(LN(2)/25)*Calculateur!DB79*Calculateur!DD79*VLOOKUP('Données projet'!$B$13,Paramètres!$A$1:$I$89,3,0)*0.475*44/12</f>
        <v>35.440698192071714</v>
      </c>
      <c r="DH79" s="21">
        <f>EXP(-LN(2)/2)*DH78+(1-EXP(-LN(2)/2))/(LN(2)/2)*DB79*DE79*VLOOKUP('Données projet'!$B$13,Paramètres!$A$1:$I$89,3,0)*0.475*44/12</f>
        <v>2.7974051411878245</v>
      </c>
      <c r="DI79" s="22">
        <f t="shared" si="69"/>
        <v>54.961318575321229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3.6</v>
      </c>
      <c r="DO79" s="12">
        <f>IF('Données projet'!$A$166&gt;35,DO78+DN79-DW78,IF(A79&lt;'Données projet'!$A$166,$DL$205^A79,IF(A79='Données projet'!$A$166,'Données projet'!$B$166,DO78+DN79-DW78)))</f>
        <v>315.59999999999991</v>
      </c>
      <c r="DP79" s="17">
        <f>DO79*VLOOKUP('Données projet'!$B$14,Paramètres!$A$1:$I$89,3,0)*VLOOKUP('Données projet'!$B$14,Paramètres!$A$1:$I$89,5,0)</f>
        <v>251.09135999999995</v>
      </c>
      <c r="DQ79" s="13">
        <f t="shared" si="97"/>
        <v>60.81957989149403</v>
      </c>
      <c r="DR79" s="20">
        <f t="shared" si="70"/>
        <v>543.24488697768527</v>
      </c>
      <c r="DS79" s="59">
        <f t="shared" si="71"/>
        <v>836.57822031101864</v>
      </c>
      <c r="DT79" s="59">
        <f ca="1">AVERAGE(OFFSET($DS$3,0,0,'Données projet'!$E$14+1,1))-AVERAGE(OFFSET($H$3,0,0,'Données projet'!$E$14+1,1))</f>
        <v>353.37479213497227</v>
      </c>
      <c r="DU79" s="59">
        <f t="shared" si="98"/>
        <v>345.4750813433123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14.640437298898354</v>
      </c>
      <c r="EB79" s="21">
        <f>EXP(-LN(2)/25)*EB78+(1-EXP(-LN(2)/25))/(LN(2)/25)*Calculateur!DW79*Calculateur!DY79*VLOOKUP('Données projet'!$B$14,Paramètres!$A$1:$I$89,3,0)*0.475*44/12</f>
        <v>14.545394770978898</v>
      </c>
      <c r="EC79" s="21">
        <f>EXP(-LN(2)/2)*EC78+(1-EXP(-LN(2)/2))/(LN(2)/2)*DW79*DZ79*VLOOKUP('Données projet'!$B$14,Paramètres!$A$1:$I$89,3,0)*0.475*44/12</f>
        <v>1.9641804417888422</v>
      </c>
      <c r="ED79" s="22">
        <f t="shared" si="72"/>
        <v>31.150012511666091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25.449999999999989</v>
      </c>
      <c r="EJ79" s="12">
        <f>IF('Données projet'!$A$192&gt;35,EJ78+EI79-ER78,IF(A79&lt;'Données projet'!$A$192,$EG$205^A79,IF(A79='Données projet'!$A$192,'Données projet'!$B$192,EJ78+EI79-ER78)))</f>
        <v>425.6699999999995</v>
      </c>
      <c r="EK79" s="17">
        <f>EJ79*VLOOKUP('Données projet'!$B$15,Paramètres!$A$1:$I$89,3,0)*VLOOKUP('Données projet'!$B$15,Paramètres!$A$1:$I$89,5,0)</f>
        <v>199.21355999999977</v>
      </c>
      <c r="EL79" s="13">
        <f t="shared" si="99"/>
        <v>49.571292404403522</v>
      </c>
      <c r="EM79" s="20">
        <f t="shared" si="73"/>
        <v>433.30028460433573</v>
      </c>
      <c r="EN79" s="59">
        <f t="shared" si="74"/>
        <v>726.63361793766899</v>
      </c>
      <c r="EO79" s="59">
        <f ca="1">AVERAGE(OFFSET($EN$3,0,0,'Données projet'!$E$15+1,1))-AVERAGE(OFFSET($H$3,0,0,'Données projet'!$E$15+1,1))</f>
        <v>433.05041777893922</v>
      </c>
      <c r="EP79" s="59">
        <f t="shared" si="100"/>
        <v>591.24088611958996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154.92458419852437</v>
      </c>
      <c r="EW79" s="21">
        <f>EXP(-LN(2)/25)*EW78+(1-EXP(-LN(2)/25))/(LN(2)/25)*Calculateur!ER79*Calculateur!ET79*VLOOKUP('Données projet'!$B$15,Paramètres!$A$1:$I$89,3,0)*0.475*44/12</f>
        <v>55.399789204499953</v>
      </c>
      <c r="EX79" s="21">
        <f>EXP(-LN(2)/2)*EX78+(1-EXP(-LN(2)/2))/(LN(2)/2)*ER79*EU79*VLOOKUP('Données projet'!$B$15,Paramètres!$A$1:$I$89,3,0)*0.475*44/12</f>
        <v>8.8167491152745594</v>
      </c>
      <c r="EY79" s="22">
        <f t="shared" si="75"/>
        <v>219.14112251829886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2.3076923076923039</v>
      </c>
      <c r="FE79" s="12">
        <f>IF('Données projet'!$A$218&gt;35,FE78+FD79-FM78,IF(A79&lt;'Données projet'!$A$218,$FB$205^A79,IF(A79='Données projet'!$A$218,'Données projet'!$B$218,FE78+FD79-FM78)))</f>
        <v>113.84615384615378</v>
      </c>
      <c r="FF79" s="17">
        <f>FE79*VLOOKUP('Données projet'!$B$16,Paramètres!$A$1:$I$89,3,0)*VLOOKUP('Données projet'!$B$16,Paramètres!$A$1:$I$89,5,0)</f>
        <v>92.351999999999947</v>
      </c>
      <c r="FG79" s="13">
        <f t="shared" si="101"/>
        <v>25.131616275989728</v>
      </c>
      <c r="FH79" s="20">
        <f t="shared" si="76"/>
        <v>204.61729834734868</v>
      </c>
      <c r="FI79" s="59">
        <f t="shared" si="77"/>
        <v>497.95063168068202</v>
      </c>
      <c r="FJ79" s="59">
        <f ca="1">AVERAGE(OFFSET($FI$3,0,0,'Données projet'!$E$16+1,1))-AVERAGE(OFFSET($H$3,0,0,'Données projet'!$E$16+1,1))</f>
        <v>159.4660488566085</v>
      </c>
      <c r="FK79" s="59">
        <f t="shared" si="102"/>
        <v>135.33030558297088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3.9757441163572795</v>
      </c>
      <c r="FS79" s="21">
        <f>EXP(-LN(2)/2)*FS78+(1-EXP(-LN(2)/2))/(LN(2)/2)*FM79*FP79*VLOOKUP('Données projet'!$B$16,Paramètres!$A$1:$I$89,3,0)*0.475*44/12</f>
        <v>1.1589306679280658</v>
      </c>
      <c r="FT79" s="22">
        <f t="shared" si="78"/>
        <v>5.1346747842853455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9.546999999999997</v>
      </c>
      <c r="N80" s="13">
        <f>IF('Données projet'!$A$36&gt;35,N79+M80-V79,IF(A80&lt;'Données projet'!$A$36,$K$205^A80,IF(A80='Données projet'!$A$36,'Données projet'!$B$36,N79+M80-V79)))</f>
        <v>288.26100000000031</v>
      </c>
      <c r="O80" s="13">
        <f>N80*VLOOKUP('Données projet'!$B$9,Paramètres!$A$1:$I$89,3,0)*VLOOKUP('Données projet'!$B$9,Paramètres!$A$1:$I$89,5,0)</f>
        <v>292.29665400000033</v>
      </c>
      <c r="P80" s="13">
        <f t="shared" si="87"/>
        <v>69.559109473742168</v>
      </c>
      <c r="Q80" s="20">
        <f t="shared" si="54"/>
        <v>630.23212138343479</v>
      </c>
      <c r="R80" s="59">
        <f t="shared" si="55"/>
        <v>923.56545471676804</v>
      </c>
      <c r="S80" s="59">
        <f ca="1">AVERAGE(OFFSET($R$3,0,0,'Données projet'!$E$9+1,1))-AVERAGE(OFFSET($H$3,0,0,'Données projet'!$E$9+1,1))</f>
        <v>706.69239849991595</v>
      </c>
      <c r="T80" s="59">
        <f t="shared" si="88"/>
        <v>310.59887275116529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15.444831991822229</v>
      </c>
      <c r="AA80" s="21">
        <f>EXP(-LN(2)/25)*AA79+(1-EXP(-LN(2)/25))/(LN(2)/25)*Calculateur!V80*Calculateur!X80*VLOOKUP('Données projet'!$B$9,Paramètres!$A$1:$I$89,3,0)*0.475*44/12</f>
        <v>32.473218526915566</v>
      </c>
      <c r="AB80" s="21">
        <f>EXP(-LN(2)/2)*AB79+(1-EXP(-LN(2)/2))/(LN(2)/2)*V80*Y80*VLOOKUP('Données projet'!$B$9,Paramètres!$A$1:$I$89,3,0)*0.475*44/12</f>
        <v>1.8633937598391517</v>
      </c>
      <c r="AC80" s="22">
        <f t="shared" si="57"/>
        <v>49.781444278576942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2.0512820512820582</v>
      </c>
      <c r="AI80" s="13">
        <f>IF('Données projet'!$A$62&gt;35,AI79+AH80-AQ79,IF(A80&lt;'Données projet'!$A$62,$AF$205^A80,IF(A80='Données projet'!$A$62,'Données projet'!$B$62,AI79+AH80-AQ79)))</f>
        <v>127.17948717948713</v>
      </c>
      <c r="AJ80" s="13">
        <f>AI80*VLOOKUP('Données projet'!$B$10,Paramètres!$A$1:$I$89,3,0)*VLOOKUP('Données projet'!$B$10,Paramètres!$A$1:$I$89,5,0)</f>
        <v>132.92799999999994</v>
      </c>
      <c r="AK80" s="13">
        <f t="shared" si="89"/>
        <v>34.67205462685105</v>
      </c>
      <c r="AL80" s="20">
        <f t="shared" si="58"/>
        <v>291.90342847509879</v>
      </c>
      <c r="AM80" s="59">
        <f t="shared" si="59"/>
        <v>585.23676180843211</v>
      </c>
      <c r="AN80" s="59">
        <f ca="1">AVERAGE(OFFSET($AM$3,0,0,'Données projet'!$E$10+1,1))-AVERAGE(OFFSET($H$3,0,0,'Données projet'!$E$10+1,1))</f>
        <v>239.26156489359892</v>
      </c>
      <c r="AO80" s="59">
        <f t="shared" si="90"/>
        <v>213.97034450798111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1.1321818168435727</v>
      </c>
      <c r="AV80" s="21">
        <f>EXP(-LN(2)/25)*AV79+(1-EXP(-LN(2)/25))/(LN(2)/25)*Calculateur!AQ80*Calculateur!AS80*VLOOKUP('Données projet'!$B$10,Paramètres!$A$1:$I$89,3,0)*0.475*44/12</f>
        <v>15.625273483784945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16.757455300628518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2.8</v>
      </c>
      <c r="BD80" s="12">
        <f>IF('Données projet'!$A$88&gt;35,BD79+BC80-BL79,IF(A80&lt;'Données projet'!$A$88,$BA$205^A80,IF(A80='Données projet'!$A$88,'Données projet'!$B$88,BD79+BC80-BL79)))</f>
        <v>266.5999999999998</v>
      </c>
      <c r="BE80" s="13">
        <f>BD80*VLOOKUP('Données projet'!$B$11,Paramètres!$A$1:$I$89,3,0)*VLOOKUP('Données projet'!$B$11,Paramètres!$A$1:$I$89,5,0)</f>
        <v>232.90175999999985</v>
      </c>
      <c r="BF80" s="13">
        <f t="shared" si="91"/>
        <v>56.909651332233778</v>
      </c>
      <c r="BG80" s="20">
        <f t="shared" si="61"/>
        <v>504.75487473697353</v>
      </c>
      <c r="BH80" s="59">
        <f t="shared" si="62"/>
        <v>798.08820807030679</v>
      </c>
      <c r="BI80" s="59">
        <f ca="1">AVERAGE(OFFSET($BH$3,0,0,'Données projet'!$E$11+1,1))-AVERAGE(OFFSET($H$3,0,0,'Données projet'!$E$11+1,1))</f>
        <v>324.86930206492627</v>
      </c>
      <c r="BJ80" s="59">
        <f t="shared" si="92"/>
        <v>317.03005098025352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11.552802575032667</v>
      </c>
      <c r="BQ80" s="21">
        <f>EXP(-LN(2)/25)*BQ79+(1-EXP(-LN(2)/25))/(LN(2)/25)*Calculateur!BL80*Calculateur!BN80*VLOOKUP('Données projet'!$B$11,Paramètres!$A$1:$I$89,3,0)*0.475*44/12</f>
        <v>12.459044367234879</v>
      </c>
      <c r="BR80" s="21">
        <f>EXP(-LN(2)/2)*BR79+(1-EXP(-LN(2)/2))/(LN(2)/2)*BL80*BO80*VLOOKUP('Données projet'!$B$11,Paramètres!$A$1:$I$89,3,0)*0.475*44/12</f>
        <v>1.1533831635728808</v>
      </c>
      <c r="BS80" s="22">
        <f t="shared" si="63"/>
        <v>25.165230105840426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>
        <f>VLOOKUP(A80,'Données projet'!$A$113:$I$133,2,0)</f>
        <v>202.52</v>
      </c>
      <c r="BW80" s="12">
        <f>VLOOKUP(A80,'Données projet'!$A$113:$I$133,9,0)</f>
        <v>6.7437500000000021</v>
      </c>
      <c r="BX80" s="12">
        <f t="array" ref="BX80">INDEX(BW:BW,MIN(IF(ISNUMBER(BW80:BW276),ROW(BW80:BW276),"")))</f>
        <v>6.7437500000000021</v>
      </c>
      <c r="BY80" s="12">
        <f>IF('Données projet'!$A$114&gt;35,BY79+BX80-CG79,IF(A80&lt;'Données projet'!$A$114,$BV$205^A80,IF(A80='Données projet'!$A$114,'Données projet'!$B$114,BY79+BX80-CG79)))</f>
        <v>202.52000000000004</v>
      </c>
      <c r="BZ80" s="13">
        <f>BY80*VLOOKUP('Données projet'!$B$12,Paramètres!$A$1:$I$89,3,0)*VLOOKUP('Données projet'!$B$12,Paramètres!$A$1:$I$89,5,0)</f>
        <v>230.62977600000005</v>
      </c>
      <c r="CA80" s="13">
        <f t="shared" si="93"/>
        <v>56.418832148072731</v>
      </c>
      <c r="CB80" s="20">
        <f t="shared" si="64"/>
        <v>499.94299252456011</v>
      </c>
      <c r="CC80" s="59">
        <f t="shared" si="65"/>
        <v>793.27632585789343</v>
      </c>
      <c r="CD80" s="59">
        <f ca="1">AVERAGE(OFFSET($CC$3,0,0,'Données projet'!$E$12+1,1))-AVERAGE(OFFSET($H$3,0,0,'Données projet'!$E$12+1,1))</f>
        <v>593.28343396240075</v>
      </c>
      <c r="CE80" s="59">
        <f t="shared" si="94"/>
        <v>289.66477662068695</v>
      </c>
      <c r="CF80" s="15">
        <f>IF(ISNA(VLOOKUP(A80,'Données projet'!$A$113:$I$133,3,0)),0,VLOOKUP(A80,'Données projet'!$A$113:$I$133,3,0))</f>
        <v>3</v>
      </c>
      <c r="CG80" s="15">
        <f>IF(ISNA(VLOOKUP(A80,'Données projet'!$A$113:$I$133,4,0)),0,VLOOKUP(A80,'Données projet'!$A$113:$I$133,4,0))</f>
        <v>33.950000000000017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0.34400000000000003</v>
      </c>
      <c r="CJ80" s="16">
        <f>IF(ISNA(VLOOKUP(A80,'Données projet'!$A$113:$I$133,7,0)),0%,VLOOKUP(A80,'Données projet'!$A$113:$I$133,7,0))</f>
        <v>0.2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48.853261457828687</v>
      </c>
      <c r="CM80" s="21">
        <f>EXP(-LN(2)/2)*CM79+(1-EXP(-LN(2)/2))/(LN(2)/2)*CG80*CJ80*VLOOKUP('Données projet'!$B$12,Paramètres!$A$1:$I$89,3,0)*0.475*44/12</f>
        <v>7.9060917856367512</v>
      </c>
      <c r="CN80" s="22">
        <f t="shared" si="66"/>
        <v>56.759353243465441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9.546999999999997</v>
      </c>
      <c r="CT80" s="12">
        <f>IF('Données projet'!$A$140&gt;35,CT79+CS80-DB79,IF(A80&lt;'Données projet'!$A$140,$CQ$205^A80,IF(A80='Données projet'!$A$140,'Données projet'!$B$140,CT79+CS80-DB79)))</f>
        <v>288.26100000000031</v>
      </c>
      <c r="CU80" s="17">
        <f>CT80*VLOOKUP('Données projet'!$B$13,Paramètres!$A$1:$I$89,3,0)*VLOOKUP('Données projet'!$B$13,Paramètres!$A$1:$I$89,5,0)</f>
        <v>310.28414040000035</v>
      </c>
      <c r="CV80" s="13">
        <f t="shared" si="95"/>
        <v>73.328166831992391</v>
      </c>
      <c r="CW80" s="20">
        <f t="shared" si="67"/>
        <v>668.12476842905392</v>
      </c>
      <c r="CX80" s="59">
        <f t="shared" si="68"/>
        <v>961.45810176238729</v>
      </c>
      <c r="CY80" s="59">
        <f ca="1">AVERAGE(OFFSET($CX$3,0,0,'Données projet'!$E$13+1,1))-AVERAGE(OFFSET($H$3,0,0,'Données projet'!$E$13+1,1))</f>
        <v>747.18304127457918</v>
      </c>
      <c r="CZ80" s="59">
        <f t="shared" si="96"/>
        <v>327.03701004966723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16.395283191318978</v>
      </c>
      <c r="DG80" s="21">
        <f>EXP(-LN(2)/25)*DG79+(1-EXP(-LN(2)/25))/(LN(2)/25)*Calculateur!DB80*Calculateur!DD80*VLOOKUP('Données projet'!$B$13,Paramètres!$A$1:$I$89,3,0)*0.475*44/12</f>
        <v>34.471570436264194</v>
      </c>
      <c r="DH80" s="21">
        <f>EXP(-LN(2)/2)*DH79+(1-EXP(-LN(2)/2))/(LN(2)/2)*DB80*DE80*VLOOKUP('Données projet'!$B$13,Paramètres!$A$1:$I$89,3,0)*0.475*44/12</f>
        <v>1.9780641450600223</v>
      </c>
      <c r="DI80" s="22">
        <f t="shared" si="69"/>
        <v>52.844917772643193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3.6</v>
      </c>
      <c r="DO80" s="12">
        <f>IF('Données projet'!$A$166&gt;35,DO79+DN80-DW79,IF(A80&lt;'Données projet'!$A$166,$DL$205^A80,IF(A80='Données projet'!$A$166,'Données projet'!$B$166,DO79+DN80-DW79)))</f>
        <v>319.19999999999993</v>
      </c>
      <c r="DP80" s="17">
        <f>DO80*VLOOKUP('Données projet'!$B$14,Paramètres!$A$1:$I$89,3,0)*VLOOKUP('Données projet'!$B$14,Paramètres!$A$1:$I$89,5,0)</f>
        <v>253.95551999999998</v>
      </c>
      <c r="DQ80" s="13">
        <f t="shared" si="97"/>
        <v>61.432180511879253</v>
      </c>
      <c r="DR80" s="20">
        <f t="shared" si="70"/>
        <v>549.30024505818972</v>
      </c>
      <c r="DS80" s="59">
        <f t="shared" si="71"/>
        <v>842.63357839152309</v>
      </c>
      <c r="DT80" s="59">
        <f ca="1">AVERAGE(OFFSET($DS$3,0,0,'Données projet'!$E$14+1,1))-AVERAGE(OFFSET($H$3,0,0,'Données projet'!$E$14+1,1))</f>
        <v>353.37479213497227</v>
      </c>
      <c r="DU80" s="59">
        <f t="shared" si="98"/>
        <v>345.4750813433123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14.353347253251966</v>
      </c>
      <c r="EB80" s="21">
        <f>EXP(-LN(2)/25)*EB79+(1-EXP(-LN(2)/25))/(LN(2)/25)*Calculateur!DW80*Calculateur!DY80*VLOOKUP('Données projet'!$B$14,Paramètres!$A$1:$I$89,3,0)*0.475*44/12</f>
        <v>14.147650186057414</v>
      </c>
      <c r="EC80" s="21">
        <f>EXP(-LN(2)/2)*EC79+(1-EXP(-LN(2)/2))/(LN(2)/2)*DW80*DZ80*VLOOKUP('Données projet'!$B$14,Paramètres!$A$1:$I$89,3,0)*0.475*44/12</f>
        <v>1.3888853098628793</v>
      </c>
      <c r="ED80" s="22">
        <f t="shared" si="72"/>
        <v>29.889882749172259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25.449999999999989</v>
      </c>
      <c r="EJ80" s="12">
        <f>IF('Données projet'!$A$192&gt;35,EJ79+EI80-ER79,IF(A80&lt;'Données projet'!$A$192,$EG$205^A80,IF(A80='Données projet'!$A$192,'Données projet'!$B$192,EJ79+EI80-ER79)))</f>
        <v>451.11999999999949</v>
      </c>
      <c r="EK80" s="17">
        <f>EJ80*VLOOKUP('Données projet'!$B$15,Paramètres!$A$1:$I$89,3,0)*VLOOKUP('Données projet'!$B$15,Paramètres!$A$1:$I$89,5,0)</f>
        <v>211.12415999999973</v>
      </c>
      <c r="EL80" s="13">
        <f t="shared" si="99"/>
        <v>52.181166558558388</v>
      </c>
      <c r="EM80" s="20">
        <f t="shared" si="73"/>
        <v>458.59011042282208</v>
      </c>
      <c r="EN80" s="59">
        <f t="shared" si="74"/>
        <v>751.92344375615539</v>
      </c>
      <c r="EO80" s="59">
        <f ca="1">AVERAGE(OFFSET($EN$3,0,0,'Données projet'!$E$15+1,1))-AVERAGE(OFFSET($H$3,0,0,'Données projet'!$E$15+1,1))</f>
        <v>433.05041777893922</v>
      </c>
      <c r="EP80" s="59">
        <f t="shared" si="100"/>
        <v>591.24088611958996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151.88660759705709</v>
      </c>
      <c r="EW80" s="21">
        <f>EXP(-LN(2)/25)*EW79+(1-EXP(-LN(2)/25))/(LN(2)/25)*Calculateur!ER80*Calculateur!ET80*VLOOKUP('Données projet'!$B$15,Paramètres!$A$1:$I$89,3,0)*0.475*44/12</f>
        <v>53.884879055354602</v>
      </c>
      <c r="EX80" s="21">
        <f>EXP(-LN(2)/2)*EX79+(1-EXP(-LN(2)/2))/(LN(2)/2)*ER80*EU80*VLOOKUP('Données projet'!$B$15,Paramètres!$A$1:$I$89,3,0)*0.475*44/12</f>
        <v>6.2343830874311346</v>
      </c>
      <c r="EY80" s="22">
        <f t="shared" si="75"/>
        <v>212.00586973984281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2.3076923076923039</v>
      </c>
      <c r="FE80" s="12">
        <f>IF('Données projet'!$A$218&gt;35,FE79+FD80-FM79,IF(A80&lt;'Données projet'!$A$218,$FB$205^A80,IF(A80='Données projet'!$A$218,'Données projet'!$B$218,FE79+FD80-FM79)))</f>
        <v>116.15384615384609</v>
      </c>
      <c r="FF80" s="17">
        <f>FE80*VLOOKUP('Données projet'!$B$16,Paramètres!$A$1:$I$89,3,0)*VLOOKUP('Données projet'!$B$16,Paramètres!$A$1:$I$89,5,0)</f>
        <v>94.223999999999961</v>
      </c>
      <c r="FG80" s="13">
        <f t="shared" si="101"/>
        <v>25.581216834792983</v>
      </c>
      <c r="FH80" s="20">
        <f t="shared" si="76"/>
        <v>208.66075265393101</v>
      </c>
      <c r="FI80" s="59">
        <f t="shared" si="77"/>
        <v>501.99408598726433</v>
      </c>
      <c r="FJ80" s="59">
        <f ca="1">AVERAGE(OFFSET($FI$3,0,0,'Données projet'!$E$16+1,1))-AVERAGE(OFFSET($H$3,0,0,'Données projet'!$E$16+1,1))</f>
        <v>159.4660488566085</v>
      </c>
      <c r="FK80" s="59">
        <f t="shared" si="102"/>
        <v>135.33030558297088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3.8670271844201936</v>
      </c>
      <c r="FS80" s="21">
        <f>EXP(-LN(2)/2)*FS79+(1-EXP(-LN(2)/2))/(LN(2)/2)*FM80*FP80*VLOOKUP('Données projet'!$B$16,Paramètres!$A$1:$I$89,3,0)*0.475*44/12</f>
        <v>0.81948773421699017</v>
      </c>
      <c r="FT80" s="22">
        <f t="shared" si="78"/>
        <v>4.6865149186371839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9.546999999999997</v>
      </c>
      <c r="N81" s="13">
        <f>IF('Données projet'!$A$36&gt;35,N80+M81-V80,IF(A81&lt;'Données projet'!$A$36,$K$205^A81,IF(A81='Données projet'!$A$36,'Données projet'!$B$36,N80+M81-V80)))</f>
        <v>297.80800000000033</v>
      </c>
      <c r="O81" s="13">
        <f>N81*VLOOKUP('Données projet'!$B$9,Paramètres!$A$1:$I$89,3,0)*VLOOKUP('Données projet'!$B$9,Paramètres!$A$1:$I$89,5,0)</f>
        <v>301.97731200000038</v>
      </c>
      <c r="P81" s="13">
        <f t="shared" si="87"/>
        <v>71.590825399464663</v>
      </c>
      <c r="Q81" s="20">
        <f t="shared" si="54"/>
        <v>650.63117263740162</v>
      </c>
      <c r="R81" s="59">
        <f t="shared" si="55"/>
        <v>943.96450597073499</v>
      </c>
      <c r="S81" s="59">
        <f ca="1">AVERAGE(OFFSET($R$3,0,0,'Données projet'!$E$9+1,1))-AVERAGE(OFFSET($H$3,0,0,'Données projet'!$E$9+1,1))</f>
        <v>706.69239849991595</v>
      </c>
      <c r="T81" s="59">
        <f t="shared" si="88"/>
        <v>310.59887275116529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15.14196825687992</v>
      </c>
      <c r="AA81" s="21">
        <f>EXP(-LN(2)/25)*AA80+(1-EXP(-LN(2)/25))/(LN(2)/25)*Calculateur!V81*Calculateur!X81*VLOOKUP('Données projet'!$B$9,Paramètres!$A$1:$I$89,3,0)*0.475*44/12</f>
        <v>31.585236658604718</v>
      </c>
      <c r="AB81" s="21">
        <f>EXP(-LN(2)/2)*AB80+(1-EXP(-LN(2)/2))/(LN(2)/2)*V81*Y81*VLOOKUP('Données projet'!$B$9,Paramètres!$A$1:$I$89,3,0)*0.475*44/12</f>
        <v>1.3176183636029613</v>
      </c>
      <c r="AC81" s="22">
        <f t="shared" si="57"/>
        <v>48.044823279087595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2.0512820512820582</v>
      </c>
      <c r="AI81" s="13">
        <f>IF('Données projet'!$A$62&gt;35,AI80+AH81-AQ80,IF(A81&lt;'Données projet'!$A$62,$AF$205^A81,IF(A81='Données projet'!$A$62,'Données projet'!$B$62,AI80+AH81-AQ80)))</f>
        <v>129.23076923076917</v>
      </c>
      <c r="AJ81" s="13">
        <f>AI81*VLOOKUP('Données projet'!$B$10,Paramètres!$A$1:$I$89,3,0)*VLOOKUP('Données projet'!$B$10,Paramètres!$A$1:$I$89,5,0)</f>
        <v>135.07199999999995</v>
      </c>
      <c r="AK81" s="13">
        <f t="shared" si="89"/>
        <v>35.165726241361632</v>
      </c>
      <c r="AL81" s="20">
        <f t="shared" si="58"/>
        <v>296.49737320370468</v>
      </c>
      <c r="AM81" s="59">
        <f t="shared" si="59"/>
        <v>589.83070653703794</v>
      </c>
      <c r="AN81" s="59">
        <f ca="1">AVERAGE(OFFSET($AM$3,0,0,'Données projet'!$E$10+1,1))-AVERAGE(OFFSET($H$3,0,0,'Données projet'!$E$10+1,1))</f>
        <v>239.26156489359892</v>
      </c>
      <c r="AO81" s="59">
        <f t="shared" si="90"/>
        <v>213.97034450798111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1.1099804219779912</v>
      </c>
      <c r="AV81" s="21">
        <f>EXP(-LN(2)/25)*AV80+(1-EXP(-LN(2)/25))/(LN(2)/25)*Calculateur!AQ81*Calculateur!AS81*VLOOKUP('Données projet'!$B$10,Paramètres!$A$1:$I$89,3,0)*0.475*44/12</f>
        <v>15.197999558673425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16.307979980651417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2.8</v>
      </c>
      <c r="BD81" s="12">
        <f>IF('Données projet'!$A$88&gt;35,BD80+BC81-BL80,IF(A81&lt;'Données projet'!$A$88,$BA$205^A81,IF(A81='Données projet'!$A$88,'Données projet'!$B$88,BD80+BC81-BL80)))</f>
        <v>269.39999999999981</v>
      </c>
      <c r="BE81" s="13">
        <f>BD81*VLOOKUP('Données projet'!$B$11,Paramètres!$A$1:$I$89,3,0)*VLOOKUP('Données projet'!$B$11,Paramètres!$A$1:$I$89,5,0)</f>
        <v>235.34783999999988</v>
      </c>
      <c r="BF81" s="13">
        <f t="shared" si="91"/>
        <v>57.437458162232033</v>
      </c>
      <c r="BG81" s="20">
        <f t="shared" si="61"/>
        <v>509.93439429922063</v>
      </c>
      <c r="BH81" s="59">
        <f t="shared" si="62"/>
        <v>803.26772763255394</v>
      </c>
      <c r="BI81" s="59">
        <f ca="1">AVERAGE(OFFSET($BH$3,0,0,'Données projet'!$E$11+1,1))-AVERAGE(OFFSET($H$3,0,0,'Données projet'!$E$11+1,1))</f>
        <v>324.86930206492627</v>
      </c>
      <c r="BJ81" s="59">
        <f t="shared" si="92"/>
        <v>317.03005098025352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11.326259163050061</v>
      </c>
      <c r="BQ81" s="21">
        <f>EXP(-LN(2)/25)*BQ80+(1-EXP(-LN(2)/25))/(LN(2)/25)*Calculateur!BL81*Calculateur!BN81*VLOOKUP('Données projet'!$B$11,Paramètres!$A$1:$I$89,3,0)*0.475*44/12</f>
        <v>12.118351143820174</v>
      </c>
      <c r="BR81" s="21">
        <f>EXP(-LN(2)/2)*BR80+(1-EXP(-LN(2)/2))/(LN(2)/2)*BL81*BO81*VLOOKUP('Données projet'!$B$11,Paramètres!$A$1:$I$89,3,0)*0.475*44/12</f>
        <v>0.81556505626877707</v>
      </c>
      <c r="BS81" s="22">
        <f t="shared" si="63"/>
        <v>24.260175363139012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6.7444444444444462</v>
      </c>
      <c r="BY81" s="12">
        <f>IF('Données projet'!$A$114&gt;35,BY80+BX81-CG80,IF(A81&lt;'Données projet'!$A$114,$BV$205^A81,IF(A81='Données projet'!$A$114,'Données projet'!$B$114,BY80+BX81-CG80)))</f>
        <v>175.31444444444446</v>
      </c>
      <c r="BZ81" s="13">
        <f>BY81*VLOOKUP('Données projet'!$B$12,Paramètres!$A$1:$I$89,3,0)*VLOOKUP('Données projet'!$B$12,Paramètres!$A$1:$I$89,5,0)</f>
        <v>199.64808933333336</v>
      </c>
      <c r="CA81" s="13">
        <f t="shared" si="93"/>
        <v>49.666820486925445</v>
      </c>
      <c r="CB81" s="20">
        <f t="shared" si="64"/>
        <v>434.22346793695078</v>
      </c>
      <c r="CC81" s="59">
        <f t="shared" si="65"/>
        <v>727.55680127028404</v>
      </c>
      <c r="CD81" s="59">
        <f ca="1">AVERAGE(OFFSET($CC$3,0,0,'Données projet'!$E$12+1,1))-AVERAGE(OFFSET($H$3,0,0,'Données projet'!$E$12+1,1))</f>
        <v>593.28343396240075</v>
      </c>
      <c r="CE81" s="59">
        <f t="shared" si="94"/>
        <v>289.66477662068695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47.517366454182998</v>
      </c>
      <c r="CM81" s="21">
        <f>EXP(-LN(2)/2)*CM80+(1-EXP(-LN(2)/2))/(LN(2)/2)*CG81*CJ81*VLOOKUP('Données projet'!$B$12,Paramètres!$A$1:$I$89,3,0)*0.475*44/12</f>
        <v>5.5904511143070073</v>
      </c>
      <c r="CN81" s="22">
        <f t="shared" si="66"/>
        <v>53.107817568490006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9.546999999999997</v>
      </c>
      <c r="CT81" s="12">
        <f>IF('Données projet'!$A$140&gt;35,CT80+CS81-DB80,IF(A81&lt;'Données projet'!$A$140,$CQ$205^A81,IF(A81='Données projet'!$A$140,'Données projet'!$B$140,CT80+CS81-DB80)))</f>
        <v>297.80800000000033</v>
      </c>
      <c r="CU81" s="17">
        <f>CT81*VLOOKUP('Données projet'!$B$13,Paramètres!$A$1:$I$89,3,0)*VLOOKUP('Données projet'!$B$13,Paramètres!$A$1:$I$89,5,0)</f>
        <v>320.56053120000036</v>
      </c>
      <c r="CV81" s="13">
        <f t="shared" si="95"/>
        <v>75.469971197858072</v>
      </c>
      <c r="CW81" s="20">
        <f t="shared" si="67"/>
        <v>689.75312500960342</v>
      </c>
      <c r="CX81" s="59">
        <f t="shared" si="68"/>
        <v>983.08645834293679</v>
      </c>
      <c r="CY81" s="59">
        <f ca="1">AVERAGE(OFFSET($CX$3,0,0,'Données projet'!$E$13+1,1))-AVERAGE(OFFSET($H$3,0,0,'Données projet'!$E$13+1,1))</f>
        <v>747.18304127457918</v>
      </c>
      <c r="CZ81" s="59">
        <f t="shared" si="96"/>
        <v>327.03701004966723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16.073781688072529</v>
      </c>
      <c r="DG81" s="21">
        <f>EXP(-LN(2)/25)*DG80+(1-EXP(-LN(2)/25))/(LN(2)/25)*Calculateur!DB81*Calculateur!DD81*VLOOKUP('Données projet'!$B$13,Paramètres!$A$1:$I$89,3,0)*0.475*44/12</f>
        <v>33.528943529903444</v>
      </c>
      <c r="DH81" s="21">
        <f>EXP(-LN(2)/2)*DH80+(1-EXP(-LN(2)/2))/(LN(2)/2)*DB81*DE81*VLOOKUP('Données projet'!$B$13,Paramètres!$A$1:$I$89,3,0)*0.475*44/12</f>
        <v>1.3987025705939125</v>
      </c>
      <c r="DI81" s="22">
        <f t="shared" si="69"/>
        <v>51.001427788569885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3.6</v>
      </c>
      <c r="DO81" s="12">
        <f>IF('Données projet'!$A$166&gt;35,DO80+DN81-DW80,IF(A81&lt;'Données projet'!$A$166,$DL$205^A81,IF(A81='Données projet'!$A$166,'Données projet'!$B$166,DO80+DN81-DW80)))</f>
        <v>322.79999999999995</v>
      </c>
      <c r="DP81" s="17">
        <f>DO81*VLOOKUP('Données projet'!$B$14,Paramètres!$A$1:$I$89,3,0)*VLOOKUP('Données projet'!$B$14,Paramètres!$A$1:$I$89,5,0)</f>
        <v>256.81968000000001</v>
      </c>
      <c r="DQ81" s="13">
        <f t="shared" si="97"/>
        <v>62.043977430851903</v>
      </c>
      <c r="DR81" s="20">
        <f t="shared" si="70"/>
        <v>555.35420335873368</v>
      </c>
      <c r="DS81" s="59">
        <f t="shared" si="71"/>
        <v>848.68753669206694</v>
      </c>
      <c r="DT81" s="59">
        <f ca="1">AVERAGE(OFFSET($DS$3,0,0,'Données projet'!$E$14+1,1))-AVERAGE(OFFSET($H$3,0,0,'Données projet'!$E$14+1,1))</f>
        <v>353.37479213497227</v>
      </c>
      <c r="DU81" s="59">
        <f t="shared" si="98"/>
        <v>345.4750813433123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14.071886868293067</v>
      </c>
      <c r="EB81" s="21">
        <f>EXP(-LN(2)/25)*EB80+(1-EXP(-LN(2)/25))/(LN(2)/25)*Calculateur!DW81*Calculateur!DY81*VLOOKUP('Données projet'!$B$14,Paramètres!$A$1:$I$89,3,0)*0.475*44/12</f>
        <v>13.760781947727086</v>
      </c>
      <c r="EC81" s="21">
        <f>EXP(-LN(2)/2)*EC80+(1-EXP(-LN(2)/2))/(LN(2)/2)*DW81*DZ81*VLOOKUP('Données projet'!$B$14,Paramètres!$A$1:$I$89,3,0)*0.475*44/12</f>
        <v>0.98209022089442133</v>
      </c>
      <c r="ED81" s="22">
        <f t="shared" si="72"/>
        <v>28.814759036914573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25.449999999999989</v>
      </c>
      <c r="EJ81" s="12">
        <f>IF('Données projet'!$A$192&gt;35,EJ80+EI81-ER80,IF(A81&lt;'Données projet'!$A$192,$EG$205^A81,IF(A81='Données projet'!$A$192,'Données projet'!$B$192,EJ80+EI81-ER80)))</f>
        <v>476.56999999999948</v>
      </c>
      <c r="EK81" s="17">
        <f>EJ81*VLOOKUP('Données projet'!$B$15,Paramètres!$A$1:$I$89,3,0)*VLOOKUP('Données projet'!$B$15,Paramètres!$A$1:$I$89,5,0)</f>
        <v>223.03475999999975</v>
      </c>
      <c r="EL81" s="13">
        <f t="shared" si="99"/>
        <v>54.773948971066801</v>
      </c>
      <c r="EM81" s="20">
        <f t="shared" si="73"/>
        <v>483.85016812460759</v>
      </c>
      <c r="EN81" s="59">
        <f t="shared" si="74"/>
        <v>777.18350145794091</v>
      </c>
      <c r="EO81" s="59">
        <f ca="1">AVERAGE(OFFSET($EN$3,0,0,'Données projet'!$E$15+1,1))-AVERAGE(OFFSET($H$3,0,0,'Données projet'!$E$15+1,1))</f>
        <v>433.05041777893922</v>
      </c>
      <c r="EP81" s="59">
        <f t="shared" si="100"/>
        <v>591.24088611958996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148.90820386376183</v>
      </c>
      <c r="EW81" s="21">
        <f>EXP(-LN(2)/25)*EW80+(1-EXP(-LN(2)/25))/(LN(2)/25)*Calculateur!ER81*Calculateur!ET81*VLOOKUP('Données projet'!$B$15,Paramètres!$A$1:$I$89,3,0)*0.475*44/12</f>
        <v>52.411394203903299</v>
      </c>
      <c r="EX81" s="21">
        <f>EXP(-LN(2)/2)*EX80+(1-EXP(-LN(2)/2))/(LN(2)/2)*ER81*EU81*VLOOKUP('Données projet'!$B$15,Paramètres!$A$1:$I$89,3,0)*0.475*44/12</f>
        <v>4.4083745576372806</v>
      </c>
      <c r="EY81" s="22">
        <f t="shared" si="75"/>
        <v>205.72797262530241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2.3076923076923039</v>
      </c>
      <c r="FE81" s="12">
        <f>IF('Données projet'!$A$218&gt;35,FE80+FD81-FM80,IF(A81&lt;'Données projet'!$A$218,$FB$205^A81,IF(A81='Données projet'!$A$218,'Données projet'!$B$218,FE80+FD81-FM80)))</f>
        <v>118.4615384615384</v>
      </c>
      <c r="FF81" s="17">
        <f>FE81*VLOOKUP('Données projet'!$B$16,Paramètres!$A$1:$I$89,3,0)*VLOOKUP('Données projet'!$B$16,Paramètres!$A$1:$I$89,5,0)</f>
        <v>96.095999999999947</v>
      </c>
      <c r="FG81" s="13">
        <f t="shared" si="101"/>
        <v>26.029778784173327</v>
      </c>
      <c r="FH81" s="20">
        <f t="shared" si="76"/>
        <v>212.70239804910179</v>
      </c>
      <c r="FI81" s="59">
        <f t="shared" si="77"/>
        <v>506.03573138243507</v>
      </c>
      <c r="FJ81" s="59">
        <f ca="1">AVERAGE(OFFSET($FI$3,0,0,'Données projet'!$E$16+1,1))-AVERAGE(OFFSET($H$3,0,0,'Données projet'!$E$16+1,1))</f>
        <v>159.4660488566085</v>
      </c>
      <c r="FK81" s="59">
        <f t="shared" si="102"/>
        <v>135.33030558297088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3.7612831227041021</v>
      </c>
      <c r="FS81" s="21">
        <f>EXP(-LN(2)/2)*FS80+(1-EXP(-LN(2)/2))/(LN(2)/2)*FM81*FP81*VLOOKUP('Données projet'!$B$16,Paramètres!$A$1:$I$89,3,0)*0.475*44/12</f>
        <v>0.57946533396403288</v>
      </c>
      <c r="FT81" s="22">
        <f t="shared" si="78"/>
        <v>4.3407484566681349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9.546999999999997</v>
      </c>
      <c r="N82" s="13">
        <f>IF('Données projet'!$A$36&gt;35,N81+M82-V81,IF(A82&lt;'Données projet'!$A$36,$K$205^A82,IF(A82='Données projet'!$A$36,'Données projet'!$B$36,N81+M82-V81)))</f>
        <v>307.35500000000036</v>
      </c>
      <c r="O82" s="13">
        <f>N82*VLOOKUP('Données projet'!$B$9,Paramètres!$A$1:$I$89,3,0)*VLOOKUP('Données projet'!$B$9,Paramètres!$A$1:$I$89,5,0)</f>
        <v>311.65797000000038</v>
      </c>
      <c r="P82" s="13">
        <f t="shared" si="87"/>
        <v>73.614972733257659</v>
      </c>
      <c r="Q82" s="20">
        <f t="shared" si="54"/>
        <v>671.0170419270911</v>
      </c>
      <c r="R82" s="59">
        <f t="shared" si="55"/>
        <v>964.35037526042447</v>
      </c>
      <c r="S82" s="59">
        <f ca="1">AVERAGE(OFFSET($R$3,0,0,'Données projet'!$E$9+1,1))-AVERAGE(OFFSET($H$3,0,0,'Données projet'!$E$9+1,1))</f>
        <v>706.69239849991595</v>
      </c>
      <c r="T82" s="59">
        <f t="shared" si="88"/>
        <v>310.59887275116529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14.845043495051193</v>
      </c>
      <c r="AA82" s="21">
        <f>EXP(-LN(2)/25)*AA81+(1-EXP(-LN(2)/25))/(LN(2)/25)*Calculateur!V82*Calculateur!X82*VLOOKUP('Données projet'!$B$9,Paramètres!$A$1:$I$89,3,0)*0.475*44/12</f>
        <v>30.721536701179765</v>
      </c>
      <c r="AB82" s="21">
        <f>EXP(-LN(2)/2)*AB81+(1-EXP(-LN(2)/2))/(LN(2)/2)*V82*Y82*VLOOKUP('Données projet'!$B$9,Paramètres!$A$1:$I$89,3,0)*0.475*44/12</f>
        <v>0.93169687991957595</v>
      </c>
      <c r="AC82" s="22">
        <f t="shared" si="57"/>
        <v>46.498277076150536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2.0512820512820582</v>
      </c>
      <c r="AI82" s="13">
        <f>IF('Données projet'!$A$62&gt;35,AI81+AH82-AQ81,IF(A82&lt;'Données projet'!$A$62,$AF$205^A82,IF(A82='Données projet'!$A$62,'Données projet'!$B$62,AI81+AH82-AQ81)))</f>
        <v>131.28205128205121</v>
      </c>
      <c r="AJ82" s="13">
        <f>AI82*VLOOKUP('Données projet'!$B$10,Paramètres!$A$1:$I$89,3,0)*VLOOKUP('Données projet'!$B$10,Paramètres!$A$1:$I$89,5,0)</f>
        <v>137.21599999999995</v>
      </c>
      <c r="AK82" s="13">
        <f t="shared" si="89"/>
        <v>35.658486540437423</v>
      </c>
      <c r="AL82" s="20">
        <f t="shared" si="58"/>
        <v>301.08973072459509</v>
      </c>
      <c r="AM82" s="59">
        <f t="shared" si="59"/>
        <v>594.4230640579284</v>
      </c>
      <c r="AN82" s="59">
        <f ca="1">AVERAGE(OFFSET($AM$3,0,0,'Données projet'!$E$10+1,1))-AVERAGE(OFFSET($H$3,0,0,'Données projet'!$E$10+1,1))</f>
        <v>239.26156489359892</v>
      </c>
      <c r="AO82" s="59">
        <f t="shared" si="90"/>
        <v>213.97034450798111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1.0882143829242099</v>
      </c>
      <c r="AV82" s="21">
        <f>EXP(-LN(2)/25)*AV81+(1-EXP(-LN(2)/25))/(LN(2)/25)*Calculateur!AQ82*Calculateur!AS82*VLOOKUP('Données projet'!$B$10,Paramètres!$A$1:$I$89,3,0)*0.475*44/12</f>
        <v>14.782409461513438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15.870623844437649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2.8</v>
      </c>
      <c r="BD82" s="12">
        <f>IF('Données projet'!$A$88&gt;35,BD81+BC82-BL81,IF(A82&lt;'Données projet'!$A$88,$BA$205^A82,IF(A82='Données projet'!$A$88,'Données projet'!$B$88,BD81+BC82-BL81)))</f>
        <v>272.19999999999982</v>
      </c>
      <c r="BE82" s="13">
        <f>BD82*VLOOKUP('Données projet'!$B$11,Paramètres!$A$1:$I$89,3,0)*VLOOKUP('Données projet'!$B$11,Paramètres!$A$1:$I$89,5,0)</f>
        <v>237.79391999999984</v>
      </c>
      <c r="BF82" s="13">
        <f t="shared" si="91"/>
        <v>57.96462682570845</v>
      </c>
      <c r="BG82" s="20">
        <f t="shared" si="61"/>
        <v>515.11280238810866</v>
      </c>
      <c r="BH82" s="59">
        <f t="shared" si="62"/>
        <v>808.44613572144203</v>
      </c>
      <c r="BI82" s="59">
        <f ca="1">AVERAGE(OFFSET($BH$3,0,0,'Données projet'!$E$11+1,1))-AVERAGE(OFFSET($H$3,0,0,'Données projet'!$E$11+1,1))</f>
        <v>324.86930206492627</v>
      </c>
      <c r="BJ82" s="59">
        <f t="shared" si="92"/>
        <v>317.03005098025352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11.104158129198597</v>
      </c>
      <c r="BQ82" s="21">
        <f>EXP(-LN(2)/25)*BQ81+(1-EXP(-LN(2)/25))/(LN(2)/25)*Calculateur!BL82*Calculateur!BN82*VLOOKUP('Données projet'!$B$11,Paramètres!$A$1:$I$89,3,0)*0.475*44/12</f>
        <v>11.786974194516022</v>
      </c>
      <c r="BR82" s="21">
        <f>EXP(-LN(2)/2)*BR81+(1-EXP(-LN(2)/2))/(LN(2)/2)*BL82*BO82*VLOOKUP('Données projet'!$B$11,Paramètres!$A$1:$I$89,3,0)*0.475*44/12</f>
        <v>0.57669158178644053</v>
      </c>
      <c r="BS82" s="22">
        <f t="shared" si="63"/>
        <v>23.46782390550106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6.7444444444444462</v>
      </c>
      <c r="BY82" s="12">
        <f>IF('Données projet'!$A$114&gt;35,BY81+BX82-CG81,IF(A82&lt;'Données projet'!$A$114,$BV$205^A82,IF(A82='Données projet'!$A$114,'Données projet'!$B$114,BY81+BX82-CG81)))</f>
        <v>182.0588888888889</v>
      </c>
      <c r="BZ82" s="13">
        <f>BY82*VLOOKUP('Données projet'!$B$12,Paramètres!$A$1:$I$89,3,0)*VLOOKUP('Données projet'!$B$12,Paramètres!$A$1:$I$89,5,0)</f>
        <v>207.3286626666667</v>
      </c>
      <c r="CA82" s="13">
        <f t="shared" si="93"/>
        <v>51.351397043436535</v>
      </c>
      <c r="CB82" s="20">
        <f t="shared" si="64"/>
        <v>450.53443732842976</v>
      </c>
      <c r="CC82" s="59">
        <f t="shared" si="65"/>
        <v>743.86777066176307</v>
      </c>
      <c r="CD82" s="59">
        <f ca="1">AVERAGE(OFFSET($CC$3,0,0,'Données projet'!$E$12+1,1))-AVERAGE(OFFSET($H$3,0,0,'Données projet'!$E$12+1,1))</f>
        <v>593.28343396240075</v>
      </c>
      <c r="CE82" s="59">
        <f t="shared" si="94"/>
        <v>289.66477662068695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46.218001569663663</v>
      </c>
      <c r="CM82" s="21">
        <f>EXP(-LN(2)/2)*CM81+(1-EXP(-LN(2)/2))/(LN(2)/2)*CG82*CJ82*VLOOKUP('Données projet'!$B$12,Paramètres!$A$1:$I$89,3,0)*0.475*44/12</f>
        <v>3.953045892818376</v>
      </c>
      <c r="CN82" s="22">
        <f t="shared" si="66"/>
        <v>50.171047462482036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9.546999999999997</v>
      </c>
      <c r="CT82" s="12">
        <f>IF('Données projet'!$A$140&gt;35,CT81+CS82-DB81,IF(A82&lt;'Données projet'!$A$140,$CQ$205^A82,IF(A82='Données projet'!$A$140,'Données projet'!$B$140,CT81+CS82-DB81)))</f>
        <v>307.35500000000036</v>
      </c>
      <c r="CU82" s="17">
        <f>CT82*VLOOKUP('Données projet'!$B$13,Paramètres!$A$1:$I$89,3,0)*VLOOKUP('Données projet'!$B$13,Paramètres!$A$1:$I$89,5,0)</f>
        <v>330.83692200000036</v>
      </c>
      <c r="CV82" s="13">
        <f t="shared" si="95"/>
        <v>77.603796867965812</v>
      </c>
      <c r="CW82" s="20">
        <f t="shared" si="67"/>
        <v>711.36758536170771</v>
      </c>
      <c r="CX82" s="59">
        <f t="shared" si="68"/>
        <v>1004.7009186950411</v>
      </c>
      <c r="CY82" s="59">
        <f ca="1">AVERAGE(OFFSET($CX$3,0,0,'Données projet'!$E$13+1,1))-AVERAGE(OFFSET($H$3,0,0,'Données projet'!$E$13+1,1))</f>
        <v>747.18304127457918</v>
      </c>
      <c r="CZ82" s="59">
        <f t="shared" si="96"/>
        <v>327.03701004966723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15.758584633208189</v>
      </c>
      <c r="DG82" s="21">
        <f>EXP(-LN(2)/25)*DG81+(1-EXP(-LN(2)/25))/(LN(2)/25)*Calculateur!DB82*Calculateur!DD82*VLOOKUP('Données projet'!$B$13,Paramètres!$A$1:$I$89,3,0)*0.475*44/12</f>
        <v>32.612092805867725</v>
      </c>
      <c r="DH82" s="21">
        <f>EXP(-LN(2)/2)*DH81+(1-EXP(-LN(2)/2))/(LN(2)/2)*DB82*DE82*VLOOKUP('Données projet'!$B$13,Paramètres!$A$1:$I$89,3,0)*0.475*44/12</f>
        <v>0.98903207253001124</v>
      </c>
      <c r="DI82" s="22">
        <f t="shared" si="69"/>
        <v>49.359709511605921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3.6</v>
      </c>
      <c r="DO82" s="12">
        <f>IF('Données projet'!$A$166&gt;35,DO81+DN82-DW81,IF(A82&lt;'Données projet'!$A$166,$DL$205^A82,IF(A82='Données projet'!$A$166,'Données projet'!$B$166,DO81+DN82-DW81)))</f>
        <v>326.39999999999998</v>
      </c>
      <c r="DP82" s="17">
        <f>DO82*VLOOKUP('Données projet'!$B$14,Paramètres!$A$1:$I$89,3,0)*VLOOKUP('Données projet'!$B$14,Paramètres!$A$1:$I$89,5,0)</f>
        <v>259.68384000000003</v>
      </c>
      <c r="DQ82" s="13">
        <f t="shared" si="97"/>
        <v>62.654980648867358</v>
      </c>
      <c r="DR82" s="20">
        <f t="shared" si="70"/>
        <v>561.40677929677736</v>
      </c>
      <c r="DS82" s="59">
        <f t="shared" si="71"/>
        <v>854.74011263011062</v>
      </c>
      <c r="DT82" s="59">
        <f ca="1">AVERAGE(OFFSET($DS$3,0,0,'Données projet'!$E$14+1,1))-AVERAGE(OFFSET($H$3,0,0,'Données projet'!$E$14+1,1))</f>
        <v>353.37479213497227</v>
      </c>
      <c r="DU82" s="59">
        <f t="shared" si="98"/>
        <v>345.4750813433123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13.795945749809329</v>
      </c>
      <c r="EB82" s="21">
        <f>EXP(-LN(2)/25)*EB81+(1-EXP(-LN(2)/25))/(LN(2)/25)*Calculateur!DW82*Calculateur!DY82*VLOOKUP('Données projet'!$B$14,Paramètres!$A$1:$I$89,3,0)*0.475*44/12</f>
        <v>13.384492641718417</v>
      </c>
      <c r="EC82" s="21">
        <f>EXP(-LN(2)/2)*EC81+(1-EXP(-LN(2)/2))/(LN(2)/2)*DW82*DZ82*VLOOKUP('Données projet'!$B$14,Paramètres!$A$1:$I$89,3,0)*0.475*44/12</f>
        <v>0.69444265493143975</v>
      </c>
      <c r="ED82" s="22">
        <f t="shared" si="72"/>
        <v>27.874881046459183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>
        <f>VLOOKUP(A82,'Données projet'!$A$191:$I$211,2,0)</f>
        <v>502.02</v>
      </c>
      <c r="EH82" s="12">
        <f>VLOOKUP(A82,'Données projet'!$A$191:$I$211,9,0)</f>
        <v>25.449999999999989</v>
      </c>
      <c r="EI82" s="12">
        <f t="array" ref="EI82">INDEX(EH:EH,MIN(IF(ISNUMBER(EH82:EH278),ROW(EH82:EH278),"")))</f>
        <v>25.449999999999989</v>
      </c>
      <c r="EJ82" s="12">
        <f>IF('Données projet'!$A$192&gt;35,EJ81+EI82-ER81,IF(A82&lt;'Données projet'!$A$192,$EG$205^A82,IF(A82='Données projet'!$A$192,'Données projet'!$B$192,EJ81+EI82-ER81)))</f>
        <v>502.01999999999947</v>
      </c>
      <c r="EK82" s="17">
        <f>EJ82*VLOOKUP('Données projet'!$B$15,Paramètres!$A$1:$I$89,3,0)*VLOOKUP('Données projet'!$B$15,Paramètres!$A$1:$I$89,5,0)</f>
        <v>234.94535999999977</v>
      </c>
      <c r="EL82" s="13">
        <f t="shared" si="99"/>
        <v>57.350656456773258</v>
      </c>
      <c r="EM82" s="20">
        <f t="shared" si="73"/>
        <v>509.08222866221303</v>
      </c>
      <c r="EN82" s="59">
        <f t="shared" si="74"/>
        <v>802.41556199554634</v>
      </c>
      <c r="EO82" s="59">
        <f ca="1">AVERAGE(OFFSET($EN$3,0,0,'Données projet'!$E$15+1,1))-AVERAGE(OFFSET($H$3,0,0,'Données projet'!$E$15+1,1))</f>
        <v>433.05041777893922</v>
      </c>
      <c r="EP82" s="59">
        <f t="shared" si="100"/>
        <v>591.24088611958996</v>
      </c>
      <c r="EQ82" s="15">
        <f>IF(ISNA(VLOOKUP(A82,'Données projet'!$A$191:$I$211,3,0)),0,VLOOKUP(A82,'Données projet'!$A$191:$I$211,3,0))</f>
        <v>6</v>
      </c>
      <c r="ER82" s="15">
        <f>IF(ISNA(VLOOKUP(A82,'Données projet'!$A$191:$I$211,4,0)),0,VLOOKUP(A82,'Données projet'!$A$191:$I$211,4,0))</f>
        <v>89.009999999999991</v>
      </c>
      <c r="ES82" s="16">
        <f>IF(ISNA(VLOOKUP(A82,'Données projet'!$A$191:$I$211,5,0)),0%,VLOOKUP(A82,'Données projet'!$A$191:$I$211,5,0)*VLOOKUP('Données projet'!$B$15,Paramètres!$A$1:$I$89,7,0))</f>
        <v>0.33</v>
      </c>
      <c r="ET82" s="16">
        <f>IF(ISNA(VLOOKUP(A82,'Données projet'!$A$191:$I$211,6,0)),0%,VLOOKUP(A82,'Données projet'!$A$191:$I$211,6,0)*VLOOKUP('Données projet'!$B$15,Paramètres!$A$1:$I$89,7,0))</f>
        <v>0.11000000000000001</v>
      </c>
      <c r="EU82" s="16">
        <f>IF(ISNA(VLOOKUP(A82,'Données projet'!$A$191:$I$211,7,0)),0%,VLOOKUP(A82,'Données projet'!$A$191:$I$211,7,0))</f>
        <v>0.2</v>
      </c>
      <c r="EV82" s="21">
        <f>EXP(-LN(2)/35)*EV81+(1-EXP(-LN(2)/35))/(LN(2)/35)*ER82*ES82*VLOOKUP('Données projet'!$B$15,Paramètres!$A$1:$I$89,3,0)*0.475*44/12</f>
        <v>164.22409424750393</v>
      </c>
      <c r="EW82" s="21">
        <f>EXP(-LN(2)/25)*EW81+(1-EXP(-LN(2)/25))/(LN(2)/25)*Calculateur!ER82*Calculateur!ET82*VLOOKUP('Données projet'!$B$15,Paramètres!$A$1:$I$89,3,0)*0.475*44/12</f>
        <v>57.032897803650236</v>
      </c>
      <c r="EX82" s="21">
        <f>EXP(-LN(2)/2)*EX81+(1-EXP(-LN(2)/2))/(LN(2)/2)*ER82*EU82*VLOOKUP('Données projet'!$B$15,Paramètres!$A$1:$I$89,3,0)*0.475*44/12</f>
        <v>12.550199244460526</v>
      </c>
      <c r="EY82" s="22">
        <f t="shared" si="75"/>
        <v>233.80719129561467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2.3076923076923039</v>
      </c>
      <c r="FE82" s="12">
        <f>IF('Données projet'!$A$218&gt;35,FE81+FD82-FM81,IF(A82&lt;'Données projet'!$A$218,$FB$205^A82,IF(A82='Données projet'!$A$218,'Données projet'!$B$218,FE81+FD82-FM81)))</f>
        <v>120.7692307692307</v>
      </c>
      <c r="FF82" s="17">
        <f>FE82*VLOOKUP('Données projet'!$B$16,Paramètres!$A$1:$I$89,3,0)*VLOOKUP('Données projet'!$B$16,Paramètres!$A$1:$I$89,5,0)</f>
        <v>97.967999999999961</v>
      </c>
      <c r="FG82" s="13">
        <f t="shared" si="101"/>
        <v>26.477324689152407</v>
      </c>
      <c r="FH82" s="20">
        <f t="shared" si="76"/>
        <v>216.74227383360707</v>
      </c>
      <c r="FI82" s="59">
        <f t="shared" si="77"/>
        <v>510.07560716694036</v>
      </c>
      <c r="FJ82" s="59">
        <f ca="1">AVERAGE(OFFSET($FI$3,0,0,'Données projet'!$E$16+1,1))-AVERAGE(OFFSET($H$3,0,0,'Données projet'!$E$16+1,1))</f>
        <v>159.4660488566085</v>
      </c>
      <c r="FK82" s="59">
        <f t="shared" si="102"/>
        <v>135.33030558297088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3.6584306379164757</v>
      </c>
      <c r="FS82" s="21">
        <f>EXP(-LN(2)/2)*FS81+(1-EXP(-LN(2)/2))/(LN(2)/2)*FM82*FP82*VLOOKUP('Données projet'!$B$16,Paramètres!$A$1:$I$89,3,0)*0.475*44/12</f>
        <v>0.40974386710849509</v>
      </c>
      <c r="FT82" s="22">
        <f t="shared" si="78"/>
        <v>4.0681745050249711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9.546999999999997</v>
      </c>
      <c r="N83" s="13">
        <f>IF('Données projet'!$A$36&gt;35,N82+M83-V82,IF(A83&lt;'Données projet'!$A$36,$K$205^A83,IF(A83='Données projet'!$A$36,'Données projet'!$B$36,N82+M83-V82)))</f>
        <v>316.90200000000038</v>
      </c>
      <c r="O83" s="13">
        <f>N83*VLOOKUP('Données projet'!$B$9,Paramètres!$A$1:$I$89,3,0)*VLOOKUP('Données projet'!$B$9,Paramètres!$A$1:$I$89,5,0)</f>
        <v>321.33862800000043</v>
      </c>
      <c r="P83" s="13">
        <f t="shared" si="87"/>
        <v>75.631813545776993</v>
      </c>
      <c r="Q83" s="20">
        <f t="shared" si="54"/>
        <v>691.39018569222901</v>
      </c>
      <c r="R83" s="59">
        <f t="shared" si="55"/>
        <v>984.72351902556238</v>
      </c>
      <c r="S83" s="59">
        <f ca="1">AVERAGE(OFFSET($R$3,0,0,'Données projet'!$E$9+1,1))-AVERAGE(OFFSET($H$3,0,0,'Données projet'!$E$9+1,1))</f>
        <v>706.69239849991595</v>
      </c>
      <c r="T83" s="59">
        <f t="shared" si="88"/>
        <v>310.59887275116529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14.553941246695706</v>
      </c>
      <c r="AA83" s="21">
        <f>EXP(-LN(2)/25)*AA82+(1-EXP(-LN(2)/25))/(LN(2)/25)*Calculateur!V83*Calculateur!X83*VLOOKUP('Données projet'!$B$9,Paramètres!$A$1:$I$89,3,0)*0.475*44/12</f>
        <v>29.881454664510606</v>
      </c>
      <c r="AB83" s="21">
        <f>EXP(-LN(2)/2)*AB82+(1-EXP(-LN(2)/2))/(LN(2)/2)*V83*Y83*VLOOKUP('Données projet'!$B$9,Paramètres!$A$1:$I$89,3,0)*0.475*44/12</f>
        <v>0.65880918180148063</v>
      </c>
      <c r="AC83" s="22">
        <f t="shared" si="57"/>
        <v>45.094205093007794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133.33333333333334</v>
      </c>
      <c r="AG83" s="12">
        <f>VLOOKUP(A83,'Données projet'!$A$61:$I$81,9,0)</f>
        <v>2.0512820512820582</v>
      </c>
      <c r="AH83" s="12">
        <f t="array" ref="AH83">INDEX(AG:AG,MIN(IF(ISNUMBER(AG83:AG279),ROW(AG83:AG279),"")))</f>
        <v>2.0512820512820582</v>
      </c>
      <c r="AI83" s="13">
        <f>IF('Données projet'!$A$62&gt;35,AI82+AH83-AQ82,IF(A83&lt;'Données projet'!$A$62,$AF$205^A83,IF(A83='Données projet'!$A$62,'Données projet'!$B$62,AI82+AH83-AQ82)))</f>
        <v>133.33333333333326</v>
      </c>
      <c r="AJ83" s="13">
        <f>AI83*VLOOKUP('Données projet'!$B$10,Paramètres!$A$1:$I$89,3,0)*VLOOKUP('Données projet'!$B$10,Paramètres!$A$1:$I$89,5,0)</f>
        <v>139.35999999999993</v>
      </c>
      <c r="AK83" s="13">
        <f t="shared" si="89"/>
        <v>36.150351407691339</v>
      </c>
      <c r="AL83" s="20">
        <f t="shared" si="58"/>
        <v>305.68052870172897</v>
      </c>
      <c r="AM83" s="59">
        <f t="shared" si="59"/>
        <v>599.01386203506229</v>
      </c>
      <c r="AN83" s="59">
        <f ca="1">AVERAGE(OFFSET($AM$3,0,0,'Données projet'!$E$10+1,1))-AVERAGE(OFFSET($H$3,0,0,'Données projet'!$E$10+1,1))</f>
        <v>239.26156489359892</v>
      </c>
      <c r="AO83" s="59">
        <f t="shared" si="90"/>
        <v>213.97034450798111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7.0512820512820511</v>
      </c>
      <c r="AR83" s="16">
        <f>IF(ISNA(VLOOKUP(A83,'Données projet'!$A$61:$I$81,5,0)),0%,VLOOKUP(A83,'Données projet'!$A$61:$I$81,5,0)*VLOOKUP('Données projet'!$B$10,Paramètres!$A$1:$I$89,7,0))</f>
        <v>4.3000000000000003E-2</v>
      </c>
      <c r="AS83" s="16">
        <f>IF(ISNA(VLOOKUP(A83,'Données projet'!$A$61:$I$81,6,0)),0%,VLOOKUP(A83,'Données projet'!$A$61:$I$81,6,0)*VLOOKUP('Données projet'!$B$10,Paramètres!$A$1:$I$89,7,0))</f>
        <v>0.215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1.4172097805980877</v>
      </c>
      <c r="AV83" s="21">
        <f>EXP(-LN(2)/25)*AV82+(1-EXP(-LN(2)/25))/(LN(2)/25)*Calculateur!AQ83*Calculateur!AS83*VLOOKUP('Données projet'!$B$10,Paramètres!$A$1:$I$89,3,0)*0.475*44/12</f>
        <v>16.122959782909497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17.540169563507586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275</v>
      </c>
      <c r="BB83" s="12">
        <f>VLOOKUP(A83,'Données projet'!$A$87:$I$107,9,0)</f>
        <v>2.8</v>
      </c>
      <c r="BC83" s="12">
        <f t="array" ref="BC83">INDEX(BB:BB,MIN(IF(ISNUMBER(BB83:BB279),ROW(BB83:BB279),"")))</f>
        <v>2.8</v>
      </c>
      <c r="BD83" s="12">
        <f>IF('Données projet'!$A$88&gt;35,BD82+BC83-BL82,IF(A83&lt;'Données projet'!$A$88,$BA$205^A83,IF(A83='Données projet'!$A$88,'Données projet'!$B$88,BD82+BC83-BL82)))</f>
        <v>274.99999999999983</v>
      </c>
      <c r="BE83" s="13">
        <f>BD83*VLOOKUP('Données projet'!$B$11,Paramètres!$A$1:$I$89,3,0)*VLOOKUP('Données projet'!$B$11,Paramètres!$A$1:$I$89,5,0)</f>
        <v>240.23999999999987</v>
      </c>
      <c r="BF83" s="13">
        <f t="shared" si="91"/>
        <v>58.491164647183084</v>
      </c>
      <c r="BG83" s="20">
        <f t="shared" si="61"/>
        <v>520.29011176051029</v>
      </c>
      <c r="BH83" s="59">
        <f t="shared" si="62"/>
        <v>813.62344509384366</v>
      </c>
      <c r="BI83" s="59">
        <f ca="1">AVERAGE(OFFSET($BH$3,0,0,'Données projet'!$E$11+1,1))-AVERAGE(OFFSET($H$3,0,0,'Données projet'!$E$11+1,1))</f>
        <v>324.86930206492627</v>
      </c>
      <c r="BJ83" s="59">
        <f t="shared" si="92"/>
        <v>317.03005098025352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275</v>
      </c>
      <c r="BM83" s="16">
        <f>IF(ISNA(VLOOKUP(A83,'Données projet'!$A$87:$I$107,5,0)),0%,VLOOKUP(A83,'Données projet'!$A$87:$I$107,5,0)*VLOOKUP('Données projet'!$B$11,Paramètres!$A$1:$I$89,7,0))</f>
        <v>0.13250000000000001</v>
      </c>
      <c r="BN83" s="16">
        <f>IF(ISNA(VLOOKUP(A83,'Données projet'!$A$87:$I$107,6,0)),0%,VLOOKUP(A83,'Données projet'!$A$87:$I$107,6,0)*VLOOKUP('Données projet'!$B$11,Paramètres!$A$1:$I$89,7,0))</f>
        <v>0.13250000000000001</v>
      </c>
      <c r="BO83" s="16">
        <f>IF(ISNA(VLOOKUP(A83,'Données projet'!$A$87:$I$107,7,0)),0%,VLOOKUP(A83,'Données projet'!$A$87:$I$107,7,0))</f>
        <v>0.25</v>
      </c>
      <c r="BP83" s="21">
        <f>EXP(-LN(2)/35)*BP82+(1-EXP(-LN(2)/35))/(LN(2)/35)*BL83*BM83*VLOOKUP('Données projet'!$B$11,Paramètres!$A$1:$I$89,3,0)*0.475*44/12</f>
        <v>46.075524388369679</v>
      </c>
      <c r="BQ83" s="21">
        <f>EXP(-LN(2)/25)*BQ82+(1-EXP(-LN(2)/25))/(LN(2)/25)*Calculateur!BL83*Calculateur!BN83*VLOOKUP('Données projet'!$B$11,Paramètres!$A$1:$I$89,3,0)*0.475*44/12</f>
        <v>46.515217850379898</v>
      </c>
      <c r="BR83" s="21">
        <f>EXP(-LN(2)/2)*BR82+(1-EXP(-LN(2)/2))/(LN(2)/2)*BL83*BO83*VLOOKUP('Données projet'!$B$11,Paramètres!$A$1:$I$89,3,0)*0.475*44/12</f>
        <v>57.076009019334002</v>
      </c>
      <c r="BS83" s="22">
        <f t="shared" si="63"/>
        <v>149.66675125808359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6.7444444444444462</v>
      </c>
      <c r="BY83" s="12">
        <f>IF('Données projet'!$A$114&gt;35,BY82+BX83-CG82,IF(A83&lt;'Données projet'!$A$114,$BV$205^A83,IF(A83='Données projet'!$A$114,'Données projet'!$B$114,BY82+BX83-CG82)))</f>
        <v>188.80333333333334</v>
      </c>
      <c r="BZ83" s="13">
        <f>BY83*VLOOKUP('Données projet'!$B$12,Paramètres!$A$1:$I$89,3,0)*VLOOKUP('Données projet'!$B$12,Paramètres!$A$1:$I$89,5,0)</f>
        <v>215.00923600000002</v>
      </c>
      <c r="CA83" s="13">
        <f t="shared" si="93"/>
        <v>53.028723450763223</v>
      </c>
      <c r="CB83" s="20">
        <f t="shared" si="64"/>
        <v>466.83277937674598</v>
      </c>
      <c r="CC83" s="59">
        <f t="shared" si="65"/>
        <v>760.16611271007923</v>
      </c>
      <c r="CD83" s="59">
        <f ca="1">AVERAGE(OFFSET($CC$3,0,0,'Données projet'!$E$12+1,1))-AVERAGE(OFFSET($H$3,0,0,'Données projet'!$E$12+1,1))</f>
        <v>593.28343396240075</v>
      </c>
      <c r="CE83" s="59">
        <f t="shared" si="94"/>
        <v>289.66477662068695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44.954167886242139</v>
      </c>
      <c r="CM83" s="21">
        <f>EXP(-LN(2)/2)*CM82+(1-EXP(-LN(2)/2))/(LN(2)/2)*CG83*CJ83*VLOOKUP('Données projet'!$B$12,Paramètres!$A$1:$I$89,3,0)*0.475*44/12</f>
        <v>2.7952255571535041</v>
      </c>
      <c r="CN83" s="22">
        <f t="shared" si="66"/>
        <v>47.749393443395647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9.546999999999997</v>
      </c>
      <c r="CT83" s="12">
        <f>IF('Données projet'!$A$140&gt;35,CT82+CS83-DB82,IF(A83&lt;'Données projet'!$A$140,$CQ$205^A83,IF(A83='Données projet'!$A$140,'Données projet'!$B$140,CT82+CS83-DB82)))</f>
        <v>316.90200000000038</v>
      </c>
      <c r="CU83" s="17">
        <f>CT83*VLOOKUP('Données projet'!$B$13,Paramètres!$A$1:$I$89,3,0)*VLOOKUP('Données projet'!$B$13,Paramètres!$A$1:$I$89,5,0)</f>
        <v>341.11331280000041</v>
      </c>
      <c r="CV83" s="13">
        <f t="shared" si="95"/>
        <v>79.729920113258586</v>
      </c>
      <c r="CW83" s="20">
        <f t="shared" si="67"/>
        <v>732.96863065725938</v>
      </c>
      <c r="CX83" s="59">
        <f t="shared" si="68"/>
        <v>1026.3019639905926</v>
      </c>
      <c r="CY83" s="59">
        <f ca="1">AVERAGE(OFFSET($CX$3,0,0,'Données projet'!$E$13+1,1))-AVERAGE(OFFSET($H$3,0,0,'Données projet'!$E$13+1,1))</f>
        <v>747.18304127457918</v>
      </c>
      <c r="CZ83" s="59">
        <f t="shared" si="96"/>
        <v>327.03701004966723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15.449568400338517</v>
      </c>
      <c r="DG83" s="21">
        <f>EXP(-LN(2)/25)*DG82+(1-EXP(-LN(2)/25))/(LN(2)/25)*Calculateur!DB83*Calculateur!DD83*VLOOKUP('Données projet'!$B$13,Paramètres!$A$1:$I$89,3,0)*0.475*44/12</f>
        <v>31.720313413095848</v>
      </c>
      <c r="DH83" s="21">
        <f>EXP(-LN(2)/2)*DH82+(1-EXP(-LN(2)/2))/(LN(2)/2)*DB83*DE83*VLOOKUP('Données projet'!$B$13,Paramètres!$A$1:$I$89,3,0)*0.475*44/12</f>
        <v>0.69935128529695634</v>
      </c>
      <c r="DI83" s="22">
        <f t="shared" si="69"/>
        <v>47.869233098731321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330</v>
      </c>
      <c r="DM83" s="12">
        <f>VLOOKUP(A83,'Données projet'!$A$165:$I$185,9,0)</f>
        <v>3.6</v>
      </c>
      <c r="DN83" s="12">
        <f t="array" ref="DN83">INDEX(DM:DM,MIN(IF(ISNUMBER(DM83:DM279),ROW(DM83:DM279),"")))</f>
        <v>3.6</v>
      </c>
      <c r="DO83" s="12">
        <f>IF('Données projet'!$A$166&gt;35,DO82+DN83-DW82,IF(A83&lt;'Données projet'!$A$166,$DL$205^A83,IF(A83='Données projet'!$A$166,'Données projet'!$B$166,DO82+DN83-DW82)))</f>
        <v>330</v>
      </c>
      <c r="DP83" s="17">
        <f>DO83*VLOOKUP('Données projet'!$B$14,Paramètres!$A$1:$I$89,3,0)*VLOOKUP('Données projet'!$B$14,Paramètres!$A$1:$I$89,5,0)</f>
        <v>262.548</v>
      </c>
      <c r="DQ83" s="13">
        <f t="shared" si="97"/>
        <v>63.265199933079444</v>
      </c>
      <c r="DR83" s="20">
        <f t="shared" si="70"/>
        <v>567.45798988344666</v>
      </c>
      <c r="DS83" s="59">
        <f t="shared" si="71"/>
        <v>860.79132321678003</v>
      </c>
      <c r="DT83" s="59">
        <f ca="1">AVERAGE(OFFSET($DS$3,0,0,'Données projet'!$E$14+1,1))-AVERAGE(OFFSET($H$3,0,0,'Données projet'!$E$14+1,1))</f>
        <v>353.37479213497227</v>
      </c>
      <c r="DU83" s="59">
        <f t="shared" si="98"/>
        <v>345.4750813433123</v>
      </c>
      <c r="DV83" s="15">
        <f>IF(ISNA(VLOOKUP(A83,'Données projet'!$A$165:$I$185,3,0)),0,VLOOKUP(A83,'Données projet'!$A$165:$I$185,3,0))</f>
        <v>14</v>
      </c>
      <c r="DW83" s="15">
        <f>IF(ISNA(VLOOKUP(A83,'Données projet'!$A$165:$I$185,4,0)),0,VLOOKUP(A83,'Données projet'!$A$165:$I$185,4,0))</f>
        <v>330</v>
      </c>
      <c r="DX83" s="16">
        <f>IF(ISNA(VLOOKUP(A83,'Données projet'!$A$165:$I$185,5,0)),0%,VLOOKUP(A83,'Données projet'!$A$165:$I$185,5,0)*VLOOKUP('Données projet'!$B$14,Paramètres!$A$1:$I$89,7,0))</f>
        <v>0.13250000000000001</v>
      </c>
      <c r="DY83" s="16">
        <f>IF(ISNA(VLOOKUP(A83,'Données projet'!$A$165:$I$185,6,0)),0%,VLOOKUP(A83,'Données projet'!$A$165:$I$185,6,0)*VLOOKUP('Données projet'!$B$14,Paramètres!$A$1:$I$89,7,0))</f>
        <v>0.13250000000000001</v>
      </c>
      <c r="DZ83" s="16">
        <f>IF(ISNA(VLOOKUP(A83,'Données projet'!$A$165:$I$185,7,0)),0%,VLOOKUP(A83,'Données projet'!$A$165:$I$185,7,0))</f>
        <v>0.25</v>
      </c>
      <c r="EA83" s="21">
        <f>EXP(-LN(2)/35)*EA82+(1-EXP(-LN(2)/35))/(LN(2)/35)*DW83*DX83*VLOOKUP('Données projet'!$B$14,Paramètres!$A$1:$I$89,3,0)*0.475*44/12</f>
        <v>51.982088098095851</v>
      </c>
      <c r="EB83" s="21">
        <f>EXP(-LN(2)/25)*EB82+(1-EXP(-LN(2)/25))/(LN(2)/25)*Calculateur!DW83*Calculateur!DY83*VLOOKUP('Données projet'!$B$14,Paramètres!$A$1:$I$89,3,0)*0.475*44/12</f>
        <v>51.323746843818121</v>
      </c>
      <c r="EC83" s="21">
        <f>EXP(-LN(2)/2)*EC82+(1-EXP(-LN(2)/2))/(LN(2)/2)*DW83*DZ83*VLOOKUP('Données projet'!$B$14,Paramètres!$A$1:$I$89,3,0)*0.475*44/12</f>
        <v>62.421321204401075</v>
      </c>
      <c r="ED83" s="22">
        <f t="shared" si="72"/>
        <v>165.72715614631505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25.77000000000001</v>
      </c>
      <c r="EJ83" s="12">
        <f>IF('Données projet'!$A$192&gt;35,EJ82+EI83-ER82,IF(A83&lt;'Données projet'!$A$192,$EG$205^A83,IF(A83='Données projet'!$A$192,'Données projet'!$B$192,EJ82+EI83-ER82)))</f>
        <v>438.77999999999952</v>
      </c>
      <c r="EK83" s="17">
        <f>EJ83*VLOOKUP('Données projet'!$B$15,Paramètres!$A$1:$I$89,3,0)*VLOOKUP('Données projet'!$B$15,Paramètres!$A$1:$I$89,5,0)</f>
        <v>205.34903999999975</v>
      </c>
      <c r="EL83" s="13">
        <f t="shared" si="99"/>
        <v>50.917912938866422</v>
      </c>
      <c r="EM83" s="20">
        <f t="shared" si="73"/>
        <v>446.3316097018585</v>
      </c>
      <c r="EN83" s="59">
        <f t="shared" si="74"/>
        <v>739.66494303519175</v>
      </c>
      <c r="EO83" s="59">
        <f ca="1">AVERAGE(OFFSET($EN$3,0,0,'Données projet'!$E$15+1,1))-AVERAGE(OFFSET($H$3,0,0,'Données projet'!$E$15+1,1))</f>
        <v>433.05041777893922</v>
      </c>
      <c r="EP83" s="59">
        <f t="shared" si="100"/>
        <v>591.24088611958996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161.00375992611723</v>
      </c>
      <c r="EW83" s="21">
        <f>EXP(-LN(2)/25)*EW82+(1-EXP(-LN(2)/25))/(LN(2)/25)*Calculateur!ER83*Calculateur!ET83*VLOOKUP('Données projet'!$B$15,Paramètres!$A$1:$I$89,3,0)*0.475*44/12</f>
        <v>55.473330213979679</v>
      </c>
      <c r="EX83" s="21">
        <f>EXP(-LN(2)/2)*EX82+(1-EXP(-LN(2)/2))/(LN(2)/2)*ER83*EU83*VLOOKUP('Données projet'!$B$15,Paramètres!$A$1:$I$89,3,0)*0.475*44/12</f>
        <v>8.8743309910003241</v>
      </c>
      <c r="EY83" s="22">
        <f t="shared" si="75"/>
        <v>225.35142113109723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123.07692307692307</v>
      </c>
      <c r="FC83" s="12">
        <f>VLOOKUP(A83,'Données projet'!$A$217:$I$237,9,0)</f>
        <v>2.3076923076923039</v>
      </c>
      <c r="FD83" s="12">
        <f t="array" ref="FD83">INDEX(FC:FC,MIN(IF(ISNUMBER(FC83:FC279),ROW(FC83:FC279),"")))</f>
        <v>2.3076923076923039</v>
      </c>
      <c r="FE83" s="12">
        <f>IF('Données projet'!$A$218&gt;35,FE82+FD83-FM82,IF(A83&lt;'Données projet'!$A$218,$FB$205^A83,IF(A83='Données projet'!$A$218,'Données projet'!$B$218,FE82+FD83-FM82)))</f>
        <v>123.07692307692301</v>
      </c>
      <c r="FF83" s="17">
        <f>FE83*VLOOKUP('Données projet'!$B$16,Paramètres!$A$1:$I$89,3,0)*VLOOKUP('Données projet'!$B$16,Paramètres!$A$1:$I$89,5,0)</f>
        <v>99.839999999999947</v>
      </c>
      <c r="FG83" s="13">
        <f t="shared" si="101"/>
        <v>26.923876203052842</v>
      </c>
      <c r="FH83" s="20">
        <f t="shared" si="76"/>
        <v>220.78041772031693</v>
      </c>
      <c r="FI83" s="59">
        <f t="shared" si="77"/>
        <v>514.11375105365028</v>
      </c>
      <c r="FJ83" s="59">
        <f ca="1">AVERAGE(OFFSET($FI$3,0,0,'Données projet'!$E$16+1,1))-AVERAGE(OFFSET($H$3,0,0,'Données projet'!$E$16+1,1))</f>
        <v>159.4660488566085</v>
      </c>
      <c r="FK83" s="59">
        <f t="shared" si="102"/>
        <v>135.33030558297088</v>
      </c>
      <c r="FL83" s="15">
        <f>IF(ISNA(VLOOKUP(A83,'Données projet'!$A$217:$I$237,3,0)),0,VLOOKUP(A83,'Données projet'!$A$217:$I$237,3,0))</f>
        <v>14</v>
      </c>
      <c r="FM83" s="15">
        <f>IF(ISNA(VLOOKUP(A83,'Données projet'!$A$217:$I$237,4,0)),0,VLOOKUP(A83,'Données projet'!$A$217:$I$237,4,0))</f>
        <v>7.0512820512820511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0.1075</v>
      </c>
      <c r="FP83" s="16">
        <f>IF(ISNA(VLOOKUP(A83,'Données projet'!$A$217:$I$237,7,0)),0%,VLOOKUP(A83,'Données projet'!$A$217:$I$237,7,0))</f>
        <v>0.25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4.2354679466423679</v>
      </c>
      <c r="FS83" s="21">
        <f>EXP(-LN(2)/2)*FS82+(1-EXP(-LN(2)/2))/(LN(2)/2)*FM83*FP83*VLOOKUP('Données projet'!$B$16,Paramètres!$A$1:$I$89,3,0)*0.475*44/12</f>
        <v>1.6389761548677217</v>
      </c>
      <c r="FT83" s="22">
        <f t="shared" si="78"/>
        <v>5.8744441015100897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9.546999999999997</v>
      </c>
      <c r="N84" s="13">
        <f>IF('Données projet'!$A$36&gt;35,N83+M84-V83,IF(A84&lt;'Données projet'!$A$36,$K$205^A84,IF(A84='Données projet'!$A$36,'Données projet'!$B$36,N83+M84-V83)))</f>
        <v>326.44900000000041</v>
      </c>
      <c r="O84" s="13">
        <f>N84*VLOOKUP('Données projet'!$B$9,Paramètres!$A$1:$I$89,3,0)*VLOOKUP('Données projet'!$B$9,Paramètres!$A$1:$I$89,5,0)</f>
        <v>331.01928600000042</v>
      </c>
      <c r="P84" s="13">
        <f t="shared" si="87"/>
        <v>77.641593219997347</v>
      </c>
      <c r="Q84" s="20">
        <f t="shared" si="54"/>
        <v>711.75103130816262</v>
      </c>
      <c r="R84" s="59">
        <f t="shared" si="55"/>
        <v>1005.084364641496</v>
      </c>
      <c r="S84" s="59">
        <f ca="1">AVERAGE(OFFSET($R$3,0,0,'Données projet'!$E$9+1,1))-AVERAGE(OFFSET($H$3,0,0,'Données projet'!$E$9+1,1))</f>
        <v>706.69239849991595</v>
      </c>
      <c r="T84" s="59">
        <f t="shared" si="88"/>
        <v>310.59887275116529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14.268547335875629</v>
      </c>
      <c r="AA84" s="21">
        <f>EXP(-LN(2)/25)*AA83+(1-EXP(-LN(2)/25))/(LN(2)/25)*Calculateur!V84*Calculateur!X84*VLOOKUP('Données projet'!$B$9,Paramètres!$A$1:$I$89,3,0)*0.475*44/12</f>
        <v>29.064344715312156</v>
      </c>
      <c r="AB84" s="21">
        <f>EXP(-LN(2)/2)*AB83+(1-EXP(-LN(2)/2))/(LN(2)/2)*V84*Y84*VLOOKUP('Données projet'!$B$9,Paramètres!$A$1:$I$89,3,0)*0.475*44/12</f>
        <v>0.46584843995978797</v>
      </c>
      <c r="AC84" s="22">
        <f t="shared" si="57"/>
        <v>43.798740491147569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1.7948717948717898</v>
      </c>
      <c r="AI84" s="13">
        <f>IF('Données projet'!$A$62&gt;35,AI83+AH84-AQ83,IF(A84&lt;'Données projet'!$A$62,$AF$205^A84,IF(A84='Données projet'!$A$62,'Données projet'!$B$62,AI83+AH84-AQ83)))</f>
        <v>128.07692307692301</v>
      </c>
      <c r="AJ84" s="13">
        <f>AI84*VLOOKUP('Données projet'!$B$10,Paramètres!$A$1:$I$89,3,0)*VLOOKUP('Données projet'!$B$10,Paramètres!$A$1:$I$89,5,0)</f>
        <v>133.86599999999993</v>
      </c>
      <c r="AK84" s="13">
        <f t="shared" si="89"/>
        <v>34.888149132612561</v>
      </c>
      <c r="AL84" s="20">
        <f t="shared" si="58"/>
        <v>293.91347640596678</v>
      </c>
      <c r="AM84" s="59">
        <f t="shared" si="59"/>
        <v>587.24680973930003</v>
      </c>
      <c r="AN84" s="59">
        <f ca="1">AVERAGE(OFFSET($AM$3,0,0,'Données projet'!$E$10+1,1))-AVERAGE(OFFSET($H$3,0,0,'Données projet'!$E$10+1,1))</f>
        <v>239.26156489359892</v>
      </c>
      <c r="AO84" s="59">
        <f t="shared" si="90"/>
        <v>213.97034450798111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1.3894191612131717</v>
      </c>
      <c r="AV84" s="21">
        <f>EXP(-LN(2)/25)*AV83+(1-EXP(-LN(2)/25))/(LN(2)/25)*Calculateur!AQ84*Calculateur!AS84*VLOOKUP('Données projet'!$B$10,Paramètres!$A$1:$I$89,3,0)*0.475*44/12</f>
        <v>15.682076599776231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17.071495760989404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-1.7053025658242404E-13</v>
      </c>
      <c r="BE84" s="13">
        <f>BD84*VLOOKUP('Données projet'!$B$11,Paramètres!$A$1:$I$89,3,0)*VLOOKUP('Données projet'!$B$11,Paramètres!$A$1:$I$89,5,0)</f>
        <v>-1.4897523215040567E-13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324.86930206492627</v>
      </c>
      <c r="BJ84" s="59">
        <f t="shared" si="92"/>
        <v>317.03005098025352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45.172011458408655</v>
      </c>
      <c r="BQ84" s="21">
        <f>EXP(-LN(2)/25)*BQ83+(1-EXP(-LN(2)/25))/(LN(2)/25)*Calculateur!BL84*Calculateur!BN84*VLOOKUP('Données projet'!$B$11,Paramètres!$A$1:$I$89,3,0)*0.475*44/12</f>
        <v>45.243256772132263</v>
      </c>
      <c r="BR84" s="21">
        <f>EXP(-LN(2)/2)*BR83+(1-EXP(-LN(2)/2))/(LN(2)/2)*BL84*BO84*VLOOKUP('Données projet'!$B$11,Paramètres!$A$1:$I$89,3,0)*0.475*44/12</f>
        <v>40.358833020635622</v>
      </c>
      <c r="BS84" s="22">
        <f t="shared" si="63"/>
        <v>130.77410125117655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6.7444444444444462</v>
      </c>
      <c r="BY84" s="12">
        <f>IF('Données projet'!$A$114&gt;35,BY83+BX84-CG83,IF(A84&lt;'Données projet'!$A$114,$BV$205^A84,IF(A84='Données projet'!$A$114,'Données projet'!$B$114,BY83+BX84-CG83)))</f>
        <v>195.54777777777778</v>
      </c>
      <c r="BZ84" s="13">
        <f>BY84*VLOOKUP('Données projet'!$B$12,Paramètres!$A$1:$I$89,3,0)*VLOOKUP('Données projet'!$B$12,Paramètres!$A$1:$I$89,5,0)</f>
        <v>222.68980933333336</v>
      </c>
      <c r="CA84" s="13">
        <f t="shared" si="93"/>
        <v>54.699088370207967</v>
      </c>
      <c r="CB84" s="20">
        <f t="shared" si="64"/>
        <v>483.11899683366778</v>
      </c>
      <c r="CC84" s="59">
        <f t="shared" si="65"/>
        <v>776.45233016700104</v>
      </c>
      <c r="CD84" s="59">
        <f ca="1">AVERAGE(OFFSET($CC$3,0,0,'Données projet'!$E$12+1,1))-AVERAGE(OFFSET($H$3,0,0,'Données projet'!$E$12+1,1))</f>
        <v>593.28343396240075</v>
      </c>
      <c r="CE84" s="59">
        <f t="shared" si="94"/>
        <v>289.66477662068695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43.724893801355904</v>
      </c>
      <c r="CM84" s="21">
        <f>EXP(-LN(2)/2)*CM83+(1-EXP(-LN(2)/2))/(LN(2)/2)*CG84*CJ84*VLOOKUP('Données projet'!$B$12,Paramètres!$A$1:$I$89,3,0)*0.475*44/12</f>
        <v>1.9765229464091882</v>
      </c>
      <c r="CN84" s="22">
        <f t="shared" si="66"/>
        <v>45.701416747765094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9.546999999999997</v>
      </c>
      <c r="CT84" s="12">
        <f>IF('Données projet'!$A$140&gt;35,CT83+CS84-DB83,IF(A84&lt;'Données projet'!$A$140,$CQ$205^A84,IF(A84='Données projet'!$A$140,'Données projet'!$B$140,CT83+CS84-DB83)))</f>
        <v>326.44900000000041</v>
      </c>
      <c r="CU84" s="17">
        <f>CT84*VLOOKUP('Données projet'!$B$13,Paramètres!$A$1:$I$89,3,0)*VLOOKUP('Données projet'!$B$13,Paramètres!$A$1:$I$89,5,0)</f>
        <v>351.38970360000042</v>
      </c>
      <c r="CV84" s="13">
        <f t="shared" si="95"/>
        <v>81.848599612777036</v>
      </c>
      <c r="CW84" s="20">
        <f t="shared" si="67"/>
        <v>754.55671142892061</v>
      </c>
      <c r="CX84" s="59">
        <f t="shared" si="68"/>
        <v>1047.8900447622539</v>
      </c>
      <c r="CY84" s="59">
        <f ca="1">AVERAGE(OFFSET($CX$3,0,0,'Données projet'!$E$13+1,1))-AVERAGE(OFFSET($H$3,0,0,'Données projet'!$E$13+1,1))</f>
        <v>747.18304127457918</v>
      </c>
      <c r="CZ84" s="59">
        <f t="shared" si="96"/>
        <v>327.03701004966723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15.146611787314129</v>
      </c>
      <c r="DG84" s="21">
        <f>EXP(-LN(2)/25)*DG83+(1-EXP(-LN(2)/25))/(LN(2)/25)*Calculateur!DB84*Calculateur!DD84*VLOOKUP('Données projet'!$B$13,Paramètres!$A$1:$I$89,3,0)*0.475*44/12</f>
        <v>30.852919774715957</v>
      </c>
      <c r="DH84" s="21">
        <f>EXP(-LN(2)/2)*DH83+(1-EXP(-LN(2)/2))/(LN(2)/2)*DB84*DE84*VLOOKUP('Données projet'!$B$13,Paramètres!$A$1:$I$89,3,0)*0.475*44/12</f>
        <v>0.49451603626500573</v>
      </c>
      <c r="DI84" s="22">
        <f t="shared" si="69"/>
        <v>46.49404759829509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353.37479213497227</v>
      </c>
      <c r="DU84" s="59">
        <f t="shared" si="98"/>
        <v>345.4750813433123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50.962751056435231</v>
      </c>
      <c r="EB84" s="21">
        <f>EXP(-LN(2)/25)*EB83+(1-EXP(-LN(2)/25))/(LN(2)/25)*Calculateur!DW84*Calculateur!DY84*VLOOKUP('Données projet'!$B$14,Paramètres!$A$1:$I$89,3,0)*0.475*44/12</f>
        <v>49.920296287375372</v>
      </c>
      <c r="EC84" s="21">
        <f>EXP(-LN(2)/2)*EC83+(1-EXP(-LN(2)/2))/(LN(2)/2)*DW84*DZ84*VLOOKUP('Données projet'!$B$14,Paramètres!$A$1:$I$89,3,0)*0.475*44/12</f>
        <v>44.138539514255633</v>
      </c>
      <c r="ED84" s="22">
        <f t="shared" si="72"/>
        <v>145.02158685806623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25.77000000000001</v>
      </c>
      <c r="EJ84" s="12">
        <f>IF('Données projet'!$A$192&gt;35,EJ83+EI84-ER83,IF(A84&lt;'Données projet'!$A$192,$EG$205^A84,IF(A84='Données projet'!$A$192,'Données projet'!$B$192,EJ83+EI84-ER83)))</f>
        <v>464.5499999999995</v>
      </c>
      <c r="EK84" s="17">
        <f>EJ84*VLOOKUP('Données projet'!$B$15,Paramètres!$A$1:$I$89,3,0)*VLOOKUP('Données projet'!$B$15,Paramètres!$A$1:$I$89,5,0)</f>
        <v>217.40939999999975</v>
      </c>
      <c r="EL84" s="13">
        <f t="shared" si="99"/>
        <v>53.551444030006408</v>
      </c>
      <c r="EM84" s="20">
        <f t="shared" si="73"/>
        <v>471.92347001892739</v>
      </c>
      <c r="EN84" s="59">
        <f t="shared" si="74"/>
        <v>765.2568033522607</v>
      </c>
      <c r="EO84" s="59">
        <f ca="1">AVERAGE(OFFSET($EN$3,0,0,'Données projet'!$E$15+1,1))-AVERAGE(OFFSET($H$3,0,0,'Données projet'!$E$15+1,1))</f>
        <v>433.05041777893922</v>
      </c>
      <c r="EP84" s="59">
        <f t="shared" si="100"/>
        <v>591.24088611958996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157.84657439656291</v>
      </c>
      <c r="EW84" s="21">
        <f>EXP(-LN(2)/25)*EW83+(1-EXP(-LN(2)/25))/(LN(2)/25)*Calculateur!ER84*Calculateur!ET84*VLOOKUP('Données projet'!$B$15,Paramètres!$A$1:$I$89,3,0)*0.475*44/12</f>
        <v>53.956409082062756</v>
      </c>
      <c r="EX84" s="21">
        <f>EXP(-LN(2)/2)*EX83+(1-EXP(-LN(2)/2))/(LN(2)/2)*ER84*EU84*VLOOKUP('Données projet'!$B$15,Paramètres!$A$1:$I$89,3,0)*0.475*44/12</f>
        <v>6.2750996222302637</v>
      </c>
      <c r="EY84" s="22">
        <f t="shared" si="75"/>
        <v>218.07808310085593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2.0512820512820498</v>
      </c>
      <c r="FE84" s="12">
        <f>IF('Données projet'!$A$218&gt;35,FE83+FD84-FM83,IF(A84&lt;'Données projet'!$A$218,$FB$205^A84,IF(A84='Données projet'!$A$218,'Données projet'!$B$218,FE83+FD84-FM83)))</f>
        <v>118.07692307692301</v>
      </c>
      <c r="FF84" s="17">
        <f>FE84*VLOOKUP('Données projet'!$B$16,Paramètres!$A$1:$I$89,3,0)*VLOOKUP('Données projet'!$B$16,Paramètres!$A$1:$I$89,5,0)</f>
        <v>95.783999999999963</v>
      </c>
      <c r="FG84" s="13">
        <f t="shared" si="101"/>
        <v>25.955089615728056</v>
      </c>
      <c r="FH84" s="20">
        <f t="shared" si="76"/>
        <v>212.02891441405961</v>
      </c>
      <c r="FI84" s="59">
        <f t="shared" si="77"/>
        <v>505.36224774739293</v>
      </c>
      <c r="FJ84" s="59">
        <f ca="1">AVERAGE(OFFSET($FI$3,0,0,'Données projet'!$E$16+1,1))-AVERAGE(OFFSET($H$3,0,0,'Données projet'!$E$16+1,1))</f>
        <v>159.4660488566085</v>
      </c>
      <c r="FK84" s="59">
        <f t="shared" si="102"/>
        <v>135.33030558297088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4.1196488529078534</v>
      </c>
      <c r="FS84" s="21">
        <f>EXP(-LN(2)/2)*FS83+(1-EXP(-LN(2)/2))/(LN(2)/2)*FM84*FP84*VLOOKUP('Données projet'!$B$16,Paramètres!$A$1:$I$89,3,0)*0.475*44/12</f>
        <v>1.1589311533100193</v>
      </c>
      <c r="FT84" s="22">
        <f t="shared" si="78"/>
        <v>5.2785800062178723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9.546999999999997</v>
      </c>
      <c r="N85" s="13">
        <f>IF('Données projet'!$A$36&gt;35,N84+M85-V84,IF(A85&lt;'Données projet'!$A$36,$K$205^A85,IF(A85='Données projet'!$A$36,'Données projet'!$B$36,N84+M85-V84)))</f>
        <v>335.99600000000044</v>
      </c>
      <c r="O85" s="13">
        <f>N85*VLOOKUP('Données projet'!$B$9,Paramètres!$A$1:$I$89,3,0)*VLOOKUP('Données projet'!$B$9,Paramètres!$A$1:$I$89,5,0)</f>
        <v>340.69994400000047</v>
      </c>
      <c r="P85" s="13">
        <f t="shared" si="87"/>
        <v>79.644541970406692</v>
      </c>
      <c r="Q85" s="20">
        <f t="shared" si="54"/>
        <v>732.09997973179236</v>
      </c>
      <c r="R85" s="59">
        <f t="shared" si="55"/>
        <v>1025.4333130651257</v>
      </c>
      <c r="S85" s="59">
        <f ca="1">AVERAGE(OFFSET($R$3,0,0,'Données projet'!$E$9+1,1))-AVERAGE(OFFSET($H$3,0,0,'Données projet'!$E$9+1,1))</f>
        <v>706.69239849991595</v>
      </c>
      <c r="T85" s="59">
        <f t="shared" si="88"/>
        <v>310.59887275116529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13.988749825573638</v>
      </c>
      <c r="AA85" s="21">
        <f>EXP(-LN(2)/25)*AA84+(1-EXP(-LN(2)/25))/(LN(2)/25)*Calculateur!V85*Calculateur!X85*VLOOKUP('Données projet'!$B$9,Paramètres!$A$1:$I$89,3,0)*0.475*44/12</f>
        <v>28.269578680644486</v>
      </c>
      <c r="AB85" s="21">
        <f>EXP(-LN(2)/2)*AB84+(1-EXP(-LN(2)/2))/(LN(2)/2)*V85*Y85*VLOOKUP('Données projet'!$B$9,Paramètres!$A$1:$I$89,3,0)*0.475*44/12</f>
        <v>0.32940459090074031</v>
      </c>
      <c r="AC85" s="22">
        <f t="shared" si="57"/>
        <v>42.587733097118864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1.7948717948717898</v>
      </c>
      <c r="AI85" s="13">
        <f>IF('Données projet'!$A$62&gt;35,AI84+AH85-AQ84,IF(A85&lt;'Données projet'!$A$62,$AF$205^A85,IF(A85='Données projet'!$A$62,'Données projet'!$B$62,AI84+AH85-AQ84)))</f>
        <v>129.8717948717948</v>
      </c>
      <c r="AJ85" s="13">
        <f>AI85*VLOOKUP('Données projet'!$B$10,Paramètres!$A$1:$I$89,3,0)*VLOOKUP('Données projet'!$B$10,Paramètres!$A$1:$I$89,5,0)</f>
        <v>135.74199999999996</v>
      </c>
      <c r="AK85" s="13">
        <f t="shared" si="89"/>
        <v>35.319810973036205</v>
      </c>
      <c r="AL85" s="20">
        <f t="shared" si="58"/>
        <v>297.93265411137128</v>
      </c>
      <c r="AM85" s="59">
        <f t="shared" si="59"/>
        <v>591.26598744470459</v>
      </c>
      <c r="AN85" s="59">
        <f ca="1">AVERAGE(OFFSET($AM$3,0,0,'Données projet'!$E$10+1,1))-AVERAGE(OFFSET($H$3,0,0,'Données projet'!$E$10+1,1))</f>
        <v>239.26156489359892</v>
      </c>
      <c r="AO85" s="59">
        <f t="shared" si="90"/>
        <v>213.97034450798111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1.3621734989237897</v>
      </c>
      <c r="AV85" s="21">
        <f>EXP(-LN(2)/25)*AV84+(1-EXP(-LN(2)/25))/(LN(2)/25)*Calculateur!AQ85*Calculateur!AS85*VLOOKUP('Données projet'!$B$10,Paramètres!$A$1:$I$89,3,0)*0.475*44/12</f>
        <v>15.253249390470783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16.615422889394573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-1.7053025658242404E-13</v>
      </c>
      <c r="BE85" s="13">
        <f>BD85*VLOOKUP('Données projet'!$B$11,Paramètres!$A$1:$I$89,3,0)*VLOOKUP('Données projet'!$B$11,Paramètres!$A$1:$I$89,5,0)</f>
        <v>-1.4897523215040567E-13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324.86930206492627</v>
      </c>
      <c r="BJ85" s="59">
        <f t="shared" si="92"/>
        <v>317.03005098025352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44.286215865915693</v>
      </c>
      <c r="BQ85" s="21">
        <f>EXP(-LN(2)/25)*BQ84+(1-EXP(-LN(2)/25))/(LN(2)/25)*Calculateur!BL85*Calculateur!BN85*VLOOKUP('Données projet'!$B$11,Paramètres!$A$1:$I$89,3,0)*0.475*44/12</f>
        <v>44.006077536458839</v>
      </c>
      <c r="BR85" s="21">
        <f>EXP(-LN(2)/2)*BR84+(1-EXP(-LN(2)/2))/(LN(2)/2)*BL85*BO85*VLOOKUP('Données projet'!$B$11,Paramètres!$A$1:$I$89,3,0)*0.475*44/12</f>
        <v>28.538004509667005</v>
      </c>
      <c r="BS85" s="22">
        <f t="shared" si="63"/>
        <v>116.83029791204153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6.7444444444444462</v>
      </c>
      <c r="BY85" s="12">
        <f>IF('Données projet'!$A$114&gt;35,BY84+BX85-CG84,IF(A85&lt;'Données projet'!$A$114,$BV$205^A85,IF(A85='Données projet'!$A$114,'Données projet'!$B$114,BY84+BX85-CG84)))</f>
        <v>202.29222222222222</v>
      </c>
      <c r="BZ85" s="13">
        <f>BY85*VLOOKUP('Données projet'!$B$12,Paramètres!$A$1:$I$89,3,0)*VLOOKUP('Données projet'!$B$12,Paramètres!$A$1:$I$89,5,0)</f>
        <v>230.37038266666667</v>
      </c>
      <c r="CA85" s="13">
        <f t="shared" si="93"/>
        <v>56.362759421880078</v>
      </c>
      <c r="CB85" s="20">
        <f t="shared" si="64"/>
        <v>499.39355580421892</v>
      </c>
      <c r="CC85" s="59">
        <f t="shared" si="65"/>
        <v>792.72688913755223</v>
      </c>
      <c r="CD85" s="59">
        <f ca="1">AVERAGE(OFFSET($CC$3,0,0,'Données projet'!$E$12+1,1))-AVERAGE(OFFSET($H$3,0,0,'Données projet'!$E$12+1,1))</f>
        <v>593.28343396240075</v>
      </c>
      <c r="CE85" s="59">
        <f t="shared" si="94"/>
        <v>289.66477662068695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42.529234280965596</v>
      </c>
      <c r="CM85" s="21">
        <f>EXP(-LN(2)/2)*CM84+(1-EXP(-LN(2)/2))/(LN(2)/2)*CG85*CJ85*VLOOKUP('Données projet'!$B$12,Paramètres!$A$1:$I$89,3,0)*0.475*44/12</f>
        <v>1.3976127785767523</v>
      </c>
      <c r="CN85" s="22">
        <f t="shared" si="66"/>
        <v>43.926847059542347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9.546999999999997</v>
      </c>
      <c r="CT85" s="12">
        <f>IF('Données projet'!$A$140&gt;35,CT84+CS85-DB84,IF(A85&lt;'Données projet'!$A$140,$CQ$205^A85,IF(A85='Données projet'!$A$140,'Données projet'!$B$140,CT84+CS85-DB84)))</f>
        <v>335.99600000000044</v>
      </c>
      <c r="CU85" s="17">
        <f>CT85*VLOOKUP('Données projet'!$B$13,Paramètres!$A$1:$I$89,3,0)*VLOOKUP('Données projet'!$B$13,Paramètres!$A$1:$I$89,5,0)</f>
        <v>361.66609440000047</v>
      </c>
      <c r="CV85" s="13">
        <f t="shared" si="95"/>
        <v>83.96007805517128</v>
      </c>
      <c r="CW85" s="20">
        <f t="shared" si="67"/>
        <v>776.13225035942412</v>
      </c>
      <c r="CX85" s="59">
        <f t="shared" si="68"/>
        <v>1069.4655836927575</v>
      </c>
      <c r="CY85" s="59">
        <f ca="1">AVERAGE(OFFSET($CX$3,0,0,'Données projet'!$E$13+1,1))-AVERAGE(OFFSET($H$3,0,0,'Données projet'!$E$13+1,1))</f>
        <v>747.18304127457918</v>
      </c>
      <c r="CZ85" s="59">
        <f t="shared" si="96"/>
        <v>327.03701004966723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14.849595968685861</v>
      </c>
      <c r="DG85" s="21">
        <f>EXP(-LN(2)/25)*DG84+(1-EXP(-LN(2)/25))/(LN(2)/25)*Calculateur!DB85*Calculateur!DD85*VLOOKUP('Données projet'!$B$13,Paramètres!$A$1:$I$89,3,0)*0.475*44/12</f>
        <v>30.009245060991812</v>
      </c>
      <c r="DH85" s="21">
        <f>EXP(-LN(2)/2)*DH84+(1-EXP(-LN(2)/2))/(LN(2)/2)*DB85*DE85*VLOOKUP('Données projet'!$B$13,Paramètres!$A$1:$I$89,3,0)*0.475*44/12</f>
        <v>0.34967564264847822</v>
      </c>
      <c r="DI85" s="22">
        <f t="shared" si="69"/>
        <v>45.208516672326155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353.37479213497227</v>
      </c>
      <c r="DU85" s="59">
        <f t="shared" si="98"/>
        <v>345.4750813433123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49.963402592427371</v>
      </c>
      <c r="EB85" s="21">
        <f>EXP(-LN(2)/25)*EB84+(1-EXP(-LN(2)/25))/(LN(2)/25)*Calculateur!DW85*Calculateur!DY85*VLOOKUP('Données projet'!$B$14,Paramètres!$A$1:$I$89,3,0)*0.475*44/12</f>
        <v>48.555223160202807</v>
      </c>
      <c r="EC85" s="21">
        <f>EXP(-LN(2)/2)*EC84+(1-EXP(-LN(2)/2))/(LN(2)/2)*DW85*DZ85*VLOOKUP('Données projet'!$B$14,Paramètres!$A$1:$I$89,3,0)*0.475*44/12</f>
        <v>31.210660602200541</v>
      </c>
      <c r="ED85" s="22">
        <f t="shared" si="72"/>
        <v>129.72928635483072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25.77000000000001</v>
      </c>
      <c r="EJ85" s="12">
        <f>IF('Données projet'!$A$192&gt;35,EJ84+EI85-ER84,IF(A85&lt;'Données projet'!$A$192,$EG$205^A85,IF(A85='Données projet'!$A$192,'Données projet'!$B$192,EJ84+EI85-ER84)))</f>
        <v>490.31999999999948</v>
      </c>
      <c r="EK85" s="17">
        <f>EJ85*VLOOKUP('Données projet'!$B$15,Paramètres!$A$1:$I$89,3,0)*VLOOKUP('Données projet'!$B$15,Paramètres!$A$1:$I$89,5,0)</f>
        <v>229.46975999999975</v>
      </c>
      <c r="EL85" s="13">
        <f t="shared" si="99"/>
        <v>56.168015849852772</v>
      </c>
      <c r="EM85" s="20">
        <f t="shared" si="73"/>
        <v>497.48579293849315</v>
      </c>
      <c r="EN85" s="59">
        <f t="shared" si="74"/>
        <v>790.81912627182646</v>
      </c>
      <c r="EO85" s="59">
        <f ca="1">AVERAGE(OFFSET($EN$3,0,0,'Données projet'!$E$15+1,1))-AVERAGE(OFFSET($H$3,0,0,'Données projet'!$E$15+1,1))</f>
        <v>433.05041777893922</v>
      </c>
      <c r="EP85" s="59">
        <f t="shared" si="100"/>
        <v>591.24088611958996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154.75129934955015</v>
      </c>
      <c r="EW85" s="21">
        <f>EXP(-LN(2)/25)*EW84+(1-EXP(-LN(2)/25))/(LN(2)/25)*Calculateur!ER85*Calculateur!ET85*VLOOKUP('Données projet'!$B$15,Paramètres!$A$1:$I$89,3,0)*0.475*44/12</f>
        <v>52.480968238269512</v>
      </c>
      <c r="EX85" s="21">
        <f>EXP(-LN(2)/2)*EX84+(1-EXP(-LN(2)/2))/(LN(2)/2)*ER85*EU85*VLOOKUP('Données projet'!$B$15,Paramètres!$A$1:$I$89,3,0)*0.475*44/12</f>
        <v>4.437165495500162</v>
      </c>
      <c r="EY85" s="22">
        <f t="shared" si="75"/>
        <v>211.6694330833198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2.0512820512820498</v>
      </c>
      <c r="FE85" s="12">
        <f>IF('Données projet'!$A$218&gt;35,FE84+FD85-FM84,IF(A85&lt;'Données projet'!$A$218,$FB$205^A85,IF(A85='Données projet'!$A$218,'Données projet'!$B$218,FE84+FD85-FM84)))</f>
        <v>120.12820512820505</v>
      </c>
      <c r="FF85" s="17">
        <f>FE85*VLOOKUP('Données projet'!$B$16,Paramètres!$A$1:$I$89,3,0)*VLOOKUP('Données projet'!$B$16,Paramètres!$A$1:$I$89,5,0)</f>
        <v>97.447999999999951</v>
      </c>
      <c r="FG85" s="13">
        <f t="shared" si="101"/>
        <v>26.353107037128467</v>
      </c>
      <c r="FH85" s="20">
        <f t="shared" si="76"/>
        <v>215.62026142299865</v>
      </c>
      <c r="FI85" s="59">
        <f t="shared" si="77"/>
        <v>508.953594756332</v>
      </c>
      <c r="FJ85" s="59">
        <f ca="1">AVERAGE(OFFSET($FI$3,0,0,'Données projet'!$E$16+1,1))-AVERAGE(OFFSET($H$3,0,0,'Données projet'!$E$16+1,1))</f>
        <v>159.4660488566085</v>
      </c>
      <c r="FK85" s="59">
        <f t="shared" si="102"/>
        <v>135.33030558297088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4.0069968383821708</v>
      </c>
      <c r="FS85" s="21">
        <f>EXP(-LN(2)/2)*FS84+(1-EXP(-LN(2)/2))/(LN(2)/2)*FM85*FP85*VLOOKUP('Données projet'!$B$16,Paramètres!$A$1:$I$89,3,0)*0.475*44/12</f>
        <v>0.81948807743386098</v>
      </c>
      <c r="FT85" s="22">
        <f t="shared" si="78"/>
        <v>4.8264849158160317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9.546999999999997</v>
      </c>
      <c r="N86" s="13">
        <f>IF('Données projet'!$A$36&gt;35,N85+M86-V85,IF(A86&lt;'Données projet'!$A$36,$K$205^A86,IF(A86='Données projet'!$A$36,'Données projet'!$B$36,N85+M86-V85)))</f>
        <v>345.54300000000046</v>
      </c>
      <c r="O86" s="13">
        <f>N86*VLOOKUP('Données projet'!$B$9,Paramètres!$A$1:$I$89,3,0)*VLOOKUP('Données projet'!$B$9,Paramètres!$A$1:$I$89,5,0)</f>
        <v>350.38060200000047</v>
      </c>
      <c r="P86" s="13">
        <f t="shared" si="87"/>
        <v>81.640876184681076</v>
      </c>
      <c r="Q86" s="20">
        <f t="shared" si="54"/>
        <v>752.43740783832027</v>
      </c>
      <c r="R86" s="59">
        <f t="shared" si="55"/>
        <v>1045.7707411716535</v>
      </c>
      <c r="S86" s="59">
        <f ca="1">AVERAGE(OFFSET($R$3,0,0,'Données projet'!$E$9+1,1))-AVERAGE(OFFSET($H$3,0,0,'Données projet'!$E$9+1,1))</f>
        <v>706.69239849991595</v>
      </c>
      <c r="T86" s="59">
        <f t="shared" si="88"/>
        <v>310.59887275116529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13.714438973789038</v>
      </c>
      <c r="AA86" s="21">
        <f>EXP(-LN(2)/25)*AA85+(1-EXP(-LN(2)/25))/(LN(2)/25)*Calculateur!V86*Calculateur!X86*VLOOKUP('Données projet'!$B$9,Paramètres!$A$1:$I$89,3,0)*0.475*44/12</f>
        <v>27.496545564989731</v>
      </c>
      <c r="AB86" s="21">
        <f>EXP(-LN(2)/2)*AB85+(1-EXP(-LN(2)/2))/(LN(2)/2)*V86*Y86*VLOOKUP('Données projet'!$B$9,Paramètres!$A$1:$I$89,3,0)*0.475*44/12</f>
        <v>0.23292421997989399</v>
      </c>
      <c r="AC86" s="22">
        <f t="shared" si="57"/>
        <v>41.44390875875866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1.7948717948717898</v>
      </c>
      <c r="AI86" s="13">
        <f>IF('Données projet'!$A$62&gt;35,AI85+AH86-AQ85,IF(A86&lt;'Données projet'!$A$62,$AF$205^A86,IF(A86='Données projet'!$A$62,'Données projet'!$B$62,AI85+AH86-AQ85)))</f>
        <v>131.6666666666666</v>
      </c>
      <c r="AJ86" s="13">
        <f>AI86*VLOOKUP('Données projet'!$B$10,Paramètres!$A$1:$I$89,3,0)*VLOOKUP('Données projet'!$B$10,Paramètres!$A$1:$I$89,5,0)</f>
        <v>137.61799999999994</v>
      </c>
      <c r="AK86" s="13">
        <f t="shared" si="89"/>
        <v>35.750778939526811</v>
      </c>
      <c r="AL86" s="20">
        <f t="shared" si="58"/>
        <v>301.95062331967574</v>
      </c>
      <c r="AM86" s="59">
        <f t="shared" si="59"/>
        <v>595.283956653009</v>
      </c>
      <c r="AN86" s="59">
        <f ca="1">AVERAGE(OFFSET($AM$3,0,0,'Données projet'!$E$10+1,1))-AVERAGE(OFFSET($H$3,0,0,'Données projet'!$E$10+1,1))</f>
        <v>239.26156489359892</v>
      </c>
      <c r="AO86" s="59">
        <f t="shared" si="90"/>
        <v>213.97034450798111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1.3354621074536894</v>
      </c>
      <c r="AV86" s="21">
        <f>EXP(-LN(2)/25)*AV85+(1-EXP(-LN(2)/25))/(LN(2)/25)*Calculateur!AQ86*Calculateur!AS86*VLOOKUP('Données projet'!$B$10,Paramètres!$A$1:$I$89,3,0)*0.475*44/12</f>
        <v>14.836148483754837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16.171610591208527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-1.7053025658242404E-13</v>
      </c>
      <c r="BE86" s="13">
        <f>BD86*VLOOKUP('Données projet'!$B$11,Paramètres!$A$1:$I$89,3,0)*VLOOKUP('Données projet'!$B$11,Paramètres!$A$1:$I$89,5,0)</f>
        <v>-1.4897523215040567E-13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324.86930206492627</v>
      </c>
      <c r="BJ86" s="59">
        <f t="shared" si="92"/>
        <v>317.03005098025352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43.41779018470956</v>
      </c>
      <c r="BQ86" s="21">
        <f>EXP(-LN(2)/25)*BQ85+(1-EXP(-LN(2)/25))/(LN(2)/25)*Calculateur!BL86*Calculateur!BN86*VLOOKUP('Données projet'!$B$11,Paramètres!$A$1:$I$89,3,0)*0.475*44/12</f>
        <v>42.802729032045335</v>
      </c>
      <c r="BR86" s="21">
        <f>EXP(-LN(2)/2)*BR85+(1-EXP(-LN(2)/2))/(LN(2)/2)*BL86*BO86*VLOOKUP('Données projet'!$B$11,Paramètres!$A$1:$I$89,3,0)*0.475*44/12</f>
        <v>20.179416510317814</v>
      </c>
      <c r="BS86" s="22">
        <f t="shared" si="63"/>
        <v>106.39993572707272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6.7444444444444462</v>
      </c>
      <c r="BY86" s="12">
        <f>IF('Données projet'!$A$114&gt;35,BY85+BX86-CG85,IF(A86&lt;'Données projet'!$A$114,$BV$205^A86,IF(A86='Données projet'!$A$114,'Données projet'!$B$114,BY85+BX86-CG85)))</f>
        <v>209.03666666666666</v>
      </c>
      <c r="BZ86" s="13">
        <f>BY86*VLOOKUP('Données projet'!$B$12,Paramètres!$A$1:$I$89,3,0)*VLOOKUP('Données projet'!$B$12,Paramètres!$A$1:$I$89,5,0)</f>
        <v>238.05095600000001</v>
      </c>
      <c r="CA86" s="13">
        <f t="shared" si="93"/>
        <v>58.019985368316512</v>
      </c>
      <c r="CB86" s="20">
        <f t="shared" si="64"/>
        <v>515.65688954981795</v>
      </c>
      <c r="CC86" s="59">
        <f t="shared" si="65"/>
        <v>808.99022288315132</v>
      </c>
      <c r="CD86" s="59">
        <f ca="1">AVERAGE(OFFSET($CC$3,0,0,'Données projet'!$E$12+1,1))-AVERAGE(OFFSET($H$3,0,0,'Données projet'!$E$12+1,1))</f>
        <v>593.28343396240075</v>
      </c>
      <c r="CE86" s="59">
        <f t="shared" si="94"/>
        <v>289.66477662068695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41.366270133037361</v>
      </c>
      <c r="CM86" s="21">
        <f>EXP(-LN(2)/2)*CM85+(1-EXP(-LN(2)/2))/(LN(2)/2)*CG86*CJ86*VLOOKUP('Données projet'!$B$12,Paramètres!$A$1:$I$89,3,0)*0.475*44/12</f>
        <v>0.98826147320459434</v>
      </c>
      <c r="CN86" s="22">
        <f t="shared" si="66"/>
        <v>42.354531606241956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9.546999999999997</v>
      </c>
      <c r="CT86" s="12">
        <f>IF('Données projet'!$A$140&gt;35,CT85+CS86-DB85,IF(A86&lt;'Données projet'!$A$140,$CQ$205^A86,IF(A86='Données projet'!$A$140,'Données projet'!$B$140,CT85+CS86-DB85)))</f>
        <v>345.54300000000046</v>
      </c>
      <c r="CU86" s="17">
        <f>CT86*VLOOKUP('Données projet'!$B$13,Paramètres!$A$1:$I$89,3,0)*VLOOKUP('Données projet'!$B$13,Paramètres!$A$1:$I$89,5,0)</f>
        <v>371.94248520000048</v>
      </c>
      <c r="CV86" s="13">
        <f t="shared" si="95"/>
        <v>86.064583553074272</v>
      </c>
      <c r="CW86" s="20">
        <f t="shared" si="67"/>
        <v>797.69564474493848</v>
      </c>
      <c r="CX86" s="59">
        <f t="shared" si="68"/>
        <v>1091.0289780782718</v>
      </c>
      <c r="CY86" s="59">
        <f ca="1">AVERAGE(OFFSET($CX$3,0,0,'Données projet'!$E$13+1,1))-AVERAGE(OFFSET($H$3,0,0,'Données projet'!$E$13+1,1))</f>
        <v>747.18304127457918</v>
      </c>
      <c r="CZ86" s="59">
        <f t="shared" si="96"/>
        <v>327.03701004966723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14.558404449099132</v>
      </c>
      <c r="DG86" s="21">
        <f>EXP(-LN(2)/25)*DG85+(1-EXP(-LN(2)/25))/(LN(2)/25)*Calculateur!DB86*Calculateur!DD86*VLOOKUP('Données projet'!$B$13,Paramètres!$A$1:$I$89,3,0)*0.475*44/12</f>
        <v>29.188640676681381</v>
      </c>
      <c r="DH86" s="21">
        <f>EXP(-LN(2)/2)*DH85+(1-EXP(-LN(2)/2))/(LN(2)/2)*DB86*DE86*VLOOKUP('Données projet'!$B$13,Paramètres!$A$1:$I$89,3,0)*0.475*44/12</f>
        <v>0.24725801813250289</v>
      </c>
      <c r="DI86" s="22">
        <f t="shared" si="69"/>
        <v>43.994303143913022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353.37479213497227</v>
      </c>
      <c r="DU86" s="59">
        <f t="shared" si="98"/>
        <v>345.4750813433123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48.98365074225633</v>
      </c>
      <c r="EB86" s="21">
        <f>EXP(-LN(2)/25)*EB85+(1-EXP(-LN(2)/25))/(LN(2)/25)*Calculateur!DW86*Calculateur!DY86*VLOOKUP('Données projet'!$B$14,Paramètres!$A$1:$I$89,3,0)*0.475*44/12</f>
        <v>47.227478029478853</v>
      </c>
      <c r="EC86" s="21">
        <f>EXP(-LN(2)/2)*EC85+(1-EXP(-LN(2)/2))/(LN(2)/2)*DW86*DZ86*VLOOKUP('Données projet'!$B$14,Paramètres!$A$1:$I$89,3,0)*0.475*44/12</f>
        <v>22.06926975712782</v>
      </c>
      <c r="ED86" s="22">
        <f t="shared" si="72"/>
        <v>118.280398528863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>
        <f>VLOOKUP(A86,'Données projet'!$A$191:$I$211,2,0)</f>
        <v>516.09</v>
      </c>
      <c r="EH86" s="12">
        <f>VLOOKUP(A86,'Données projet'!$A$191:$I$211,9,0)</f>
        <v>25.77000000000001</v>
      </c>
      <c r="EI86" s="12">
        <f t="array" ref="EI86">INDEX(EH:EH,MIN(IF(ISNUMBER(EH86:EH282),ROW(EH86:EH282),"")))</f>
        <v>25.77000000000001</v>
      </c>
      <c r="EJ86" s="12">
        <f>IF('Données projet'!$A$192&gt;35,EJ85+EI86-ER85,IF(A86&lt;'Données projet'!$A$192,$EG$205^A86,IF(A86='Données projet'!$A$192,'Données projet'!$B$192,EJ85+EI86-ER85)))</f>
        <v>516.08999999999946</v>
      </c>
      <c r="EK86" s="17">
        <f>EJ86*VLOOKUP('Données projet'!$B$15,Paramètres!$A$1:$I$89,3,0)*VLOOKUP('Données projet'!$B$15,Paramètres!$A$1:$I$89,5,0)</f>
        <v>241.53011999999973</v>
      </c>
      <c r="EL86" s="13">
        <f t="shared" si="99"/>
        <v>58.768621387125215</v>
      </c>
      <c r="EM86" s="20">
        <f t="shared" si="73"/>
        <v>523.02030791590926</v>
      </c>
      <c r="EN86" s="59">
        <f t="shared" si="74"/>
        <v>816.35364124924263</v>
      </c>
      <c r="EO86" s="59">
        <f ca="1">AVERAGE(OFFSET($EN$3,0,0,'Données projet'!$E$15+1,1))-AVERAGE(OFFSET($H$3,0,0,'Données projet'!$E$15+1,1))</f>
        <v>433.05041777893922</v>
      </c>
      <c r="EP86" s="59">
        <f t="shared" si="100"/>
        <v>591.24088611958996</v>
      </c>
      <c r="EQ86" s="15">
        <f>IF(ISNA(VLOOKUP(A86,'Données projet'!$A$191:$I$211,3,0)),0,VLOOKUP(A86,'Données projet'!$A$191:$I$211,3,0))</f>
        <v>6</v>
      </c>
      <c r="ER86" s="15">
        <f>IF(ISNA(VLOOKUP(A86,'Données projet'!$A$191:$I$211,4,0)),0,VLOOKUP(A86,'Données projet'!$A$191:$I$211,4,0))</f>
        <v>91.480000000000018</v>
      </c>
      <c r="ES86" s="16">
        <f>IF(ISNA(VLOOKUP(A86,'Données projet'!$A$191:$I$211,5,0)),0%,VLOOKUP(A86,'Données projet'!$A$191:$I$211,5,0)*VLOOKUP('Données projet'!$B$15,Paramètres!$A$1:$I$89,7,0))</f>
        <v>0.33</v>
      </c>
      <c r="ET86" s="16">
        <f>IF(ISNA(VLOOKUP(A86,'Données projet'!$A$191:$I$211,6,0)),0%,VLOOKUP(A86,'Données projet'!$A$191:$I$211,6,0)*VLOOKUP('Données projet'!$B$15,Paramètres!$A$1:$I$89,7,0))</f>
        <v>0.11000000000000001</v>
      </c>
      <c r="EU86" s="16">
        <f>IF(ISNA(VLOOKUP(A86,'Données projet'!$A$191:$I$211,7,0)),0%,VLOOKUP(A86,'Données projet'!$A$191:$I$211,7,0))</f>
        <v>0.2</v>
      </c>
      <c r="EV86" s="21">
        <f>EXP(-LN(2)/35)*EV85+(1-EXP(-LN(2)/35))/(LN(2)/35)*ER86*ES86*VLOOKUP('Données projet'!$B$15,Paramètres!$A$1:$I$89,3,0)*0.475*44/12</f>
        <v>170.45865049256255</v>
      </c>
      <c r="EW86" s="21">
        <f>EXP(-LN(2)/25)*EW85+(1-EXP(-LN(2)/25))/(LN(2)/25)*Calculateur!ER86*Calculateur!ET86*VLOOKUP('Données projet'!$B$15,Paramètres!$A$1:$I$89,3,0)*0.475*44/12</f>
        <v>57.268585273835072</v>
      </c>
      <c r="EX86" s="21">
        <f>EXP(-LN(2)/2)*EX85+(1-EXP(-LN(2)/2))/(LN(2)/2)*ER86*EU86*VLOOKUP('Données projet'!$B$15,Paramètres!$A$1:$I$89,3,0)*0.475*44/12</f>
        <v>12.83232056118983</v>
      </c>
      <c r="EY86" s="22">
        <f t="shared" si="75"/>
        <v>240.55955632758744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2.0512820512820498</v>
      </c>
      <c r="FE86" s="12">
        <f>IF('Données projet'!$A$218&gt;35,FE85+FD86-FM85,IF(A86&lt;'Données projet'!$A$218,$FB$205^A86,IF(A86='Données projet'!$A$218,'Données projet'!$B$218,FE85+FD86-FM85)))</f>
        <v>122.1794871794871</v>
      </c>
      <c r="FF86" s="17">
        <f>FE86*VLOOKUP('Données projet'!$B$16,Paramètres!$A$1:$I$89,3,0)*VLOOKUP('Données projet'!$B$16,Paramètres!$A$1:$I$89,5,0)</f>
        <v>99.111999999999938</v>
      </c>
      <c r="FG86" s="13">
        <f t="shared" si="101"/>
        <v>26.750334096198984</v>
      </c>
      <c r="FH86" s="20">
        <f t="shared" si="76"/>
        <v>219.21023188421313</v>
      </c>
      <c r="FI86" s="59">
        <f t="shared" si="77"/>
        <v>512.54356521754642</v>
      </c>
      <c r="FJ86" s="59">
        <f ca="1">AVERAGE(OFFSET($FI$3,0,0,'Données projet'!$E$16+1,1))-AVERAGE(OFFSET($H$3,0,0,'Données projet'!$E$16+1,1))</f>
        <v>159.4660488566085</v>
      </c>
      <c r="FK86" s="59">
        <f t="shared" si="102"/>
        <v>135.33030558297088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3.8974252991178049</v>
      </c>
      <c r="FS86" s="21">
        <f>EXP(-LN(2)/2)*FS85+(1-EXP(-LN(2)/2))/(LN(2)/2)*FM86*FP86*VLOOKUP('Données projet'!$B$16,Paramètres!$A$1:$I$89,3,0)*0.475*44/12</f>
        <v>0.57946557665500964</v>
      </c>
      <c r="FT86" s="22">
        <f t="shared" si="78"/>
        <v>4.4768908757728143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355.09</v>
      </c>
      <c r="L87" s="12">
        <f>VLOOKUP(A87,'Données projet'!$A$35:$I$55,9,0)</f>
        <v>9.546999999999997</v>
      </c>
      <c r="M87" s="12">
        <f t="array" ref="M87">INDEX(L:L,MIN(IF(ISNUMBER(L87:L283),ROW(L87:L283),"")))</f>
        <v>9.546999999999997</v>
      </c>
      <c r="N87" s="13">
        <f>IF('Données projet'!$A$36&gt;35,N86+M87-V86,IF(A87&lt;'Données projet'!$A$36,$K$205^A87,IF(A87='Données projet'!$A$36,'Données projet'!$B$36,N86+M87-V86)))</f>
        <v>355.09000000000049</v>
      </c>
      <c r="O87" s="13">
        <f>N87*VLOOKUP('Données projet'!$B$9,Paramètres!$A$1:$I$89,3,0)*VLOOKUP('Données projet'!$B$9,Paramètres!$A$1:$I$89,5,0)</f>
        <v>360.06126000000052</v>
      </c>
      <c r="P87" s="13">
        <f t="shared" si="87"/>
        <v>83.630799612914231</v>
      </c>
      <c r="Q87" s="20">
        <f t="shared" si="54"/>
        <v>772.76367049249313</v>
      </c>
      <c r="R87" s="59">
        <f t="shared" si="55"/>
        <v>1066.0970038258265</v>
      </c>
      <c r="S87" s="59">
        <f ca="1">AVERAGE(OFFSET($R$3,0,0,'Données projet'!$E$9+1,1))-AVERAGE(OFFSET($H$3,0,0,'Données projet'!$E$9+1,1))</f>
        <v>706.69239849991595</v>
      </c>
      <c r="T87" s="59">
        <f t="shared" si="88"/>
        <v>310.59887275116529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66.69</v>
      </c>
      <c r="W87" s="16">
        <f>IF(ISNA(VLOOKUP(A87,'Données projet'!$A$35:$I$55,5,0)),0%,VLOOKUP(A87,'Données projet'!$A$35:$I$55,5,0)*VLOOKUP('Données projet'!$B$9,Paramètres!$A$1:$I$89,7,0))</f>
        <v>0.15049999999999999</v>
      </c>
      <c r="X87" s="16">
        <f>IF(ISNA(VLOOKUP(A87,'Données projet'!$A$35:$I$55,6,0)),0%,VLOOKUP(A87,'Données projet'!$A$35:$I$55,6,0)*VLOOKUP('Données projet'!$B$9,Paramètres!$A$1:$I$89,7,0))</f>
        <v>8.6000000000000007E-2</v>
      </c>
      <c r="Y87" s="16">
        <f>IF(ISNA(VLOOKUP(A87,'Données projet'!$A$35:$I$55,7,0)),0%,VLOOKUP(A87,'Données projet'!$A$35:$I$55,7,0))</f>
        <v>0.1</v>
      </c>
      <c r="Z87" s="21">
        <f>EXP(-LN(2)/35)*Z86+(1-EXP(-LN(2)/35))/(LN(2)/35)*V87*W87*VLOOKUP('Données projet'!$B$9,Paramètres!$A$1:$I$89,3,0)*0.475*44/12</f>
        <v>24.696278129878717</v>
      </c>
      <c r="AA87" s="21">
        <f>EXP(-LN(2)/25)*AA86+(1-EXP(-LN(2)/25))/(LN(2)/25)*Calculateur!V87*Calculateur!X87*VLOOKUP('Données projet'!$B$9,Paramètres!$A$1:$I$89,3,0)*0.475*44/12</f>
        <v>33.148349576143573</v>
      </c>
      <c r="AB87" s="21">
        <f>EXP(-LN(2)/2)*AB86+(1-EXP(-LN(2)/2))/(LN(2)/2)*V87*Y87*VLOOKUP('Données projet'!$B$9,Paramètres!$A$1:$I$89,3,0)*0.475*44/12</f>
        <v>6.5451766228627521</v>
      </c>
      <c r="AC87" s="22">
        <f t="shared" si="57"/>
        <v>64.389804328885049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1.7948717948717898</v>
      </c>
      <c r="AI87" s="13">
        <f>IF('Données projet'!$A$62&gt;35,AI86+AH87-AQ86,IF(A87&lt;'Données projet'!$A$62,$AF$205^A87,IF(A87='Données projet'!$A$62,'Données projet'!$B$62,AI86+AH87-AQ86)))</f>
        <v>133.4615384615384</v>
      </c>
      <c r="AJ87" s="13">
        <f>AI87*VLOOKUP('Données projet'!$B$10,Paramètres!$A$1:$I$89,3,0)*VLOOKUP('Données projet'!$B$10,Paramètres!$A$1:$I$89,5,0)</f>
        <v>139.49399999999994</v>
      </c>
      <c r="AK87" s="13">
        <f t="shared" si="89"/>
        <v>36.181063584224482</v>
      </c>
      <c r="AL87" s="20">
        <f t="shared" si="58"/>
        <v>305.96740240919087</v>
      </c>
      <c r="AM87" s="59">
        <f t="shared" si="59"/>
        <v>599.30073574252424</v>
      </c>
      <c r="AN87" s="59">
        <f ca="1">AVERAGE(OFFSET($AM$3,0,0,'Données projet'!$E$10+1,1))-AVERAGE(OFFSET($H$3,0,0,'Données projet'!$E$10+1,1))</f>
        <v>239.26156489359892</v>
      </c>
      <c r="AO87" s="59">
        <f t="shared" si="90"/>
        <v>213.97034450798111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1.3092745100779779</v>
      </c>
      <c r="AV87" s="21">
        <f>EXP(-LN(2)/25)*AV86+(1-EXP(-LN(2)/25))/(LN(2)/25)*Calculateur!AQ87*Calculateur!AS87*VLOOKUP('Données projet'!$B$10,Paramètres!$A$1:$I$89,3,0)*0.475*44/12</f>
        <v>14.430453223267421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15.739727733345399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-1.7053025658242404E-13</v>
      </c>
      <c r="BE87" s="13">
        <f>BD87*VLOOKUP('Données projet'!$B$11,Paramètres!$A$1:$I$89,3,0)*VLOOKUP('Données projet'!$B$11,Paramètres!$A$1:$I$89,5,0)</f>
        <v>-1.4897523215040567E-13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324.86930206492627</v>
      </c>
      <c r="BJ87" s="59">
        <f t="shared" si="92"/>
        <v>317.03005098025352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42.566393801424518</v>
      </c>
      <c r="BQ87" s="21">
        <f>EXP(-LN(2)/25)*BQ86+(1-EXP(-LN(2)/25))/(LN(2)/25)*Calculateur!BL87*Calculateur!BN87*VLOOKUP('Données projet'!$B$11,Paramètres!$A$1:$I$89,3,0)*0.475*44/12</f>
        <v>41.632286155766359</v>
      </c>
      <c r="BR87" s="21">
        <f>EXP(-LN(2)/2)*BR86+(1-EXP(-LN(2)/2))/(LN(2)/2)*BL87*BO87*VLOOKUP('Données projet'!$B$11,Paramètres!$A$1:$I$89,3,0)*0.475*44/12</f>
        <v>14.269002254833504</v>
      </c>
      <c r="BS87" s="22">
        <f t="shared" si="63"/>
        <v>98.467682212024386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6.7444444444444462</v>
      </c>
      <c r="BY87" s="12">
        <f>IF('Données projet'!$A$114&gt;35,BY86+BX87-CG86,IF(A87&lt;'Données projet'!$A$114,$BV$205^A87,IF(A87='Données projet'!$A$114,'Données projet'!$B$114,BY86+BX87-CG86)))</f>
        <v>215.7811111111111</v>
      </c>
      <c r="BZ87" s="13">
        <f>BY87*VLOOKUP('Données projet'!$B$12,Paramètres!$A$1:$I$89,3,0)*VLOOKUP('Données projet'!$B$12,Paramètres!$A$1:$I$89,5,0)</f>
        <v>245.73152933333333</v>
      </c>
      <c r="CA87" s="13">
        <f t="shared" si="93"/>
        <v>59.67099800837255</v>
      </c>
      <c r="CB87" s="20">
        <f t="shared" si="64"/>
        <v>531.90940178680432</v>
      </c>
      <c r="CC87" s="59">
        <f t="shared" si="65"/>
        <v>825.2427351201377</v>
      </c>
      <c r="CD87" s="59">
        <f ca="1">AVERAGE(OFFSET($CC$3,0,0,'Données projet'!$E$12+1,1))-AVERAGE(OFFSET($H$3,0,0,'Données projet'!$E$12+1,1))</f>
        <v>593.28343396240075</v>
      </c>
      <c r="CE87" s="59">
        <f t="shared" si="94"/>
        <v>289.66477662068695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40.235107300891855</v>
      </c>
      <c r="CM87" s="21">
        <f>EXP(-LN(2)/2)*CM86+(1-EXP(-LN(2)/2))/(LN(2)/2)*CG87*CJ87*VLOOKUP('Données projet'!$B$12,Paramètres!$A$1:$I$89,3,0)*0.475*44/12</f>
        <v>0.69880638928837624</v>
      </c>
      <c r="CN87" s="22">
        <f t="shared" si="66"/>
        <v>40.933913690180233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355.09</v>
      </c>
      <c r="CR87" s="12">
        <f>VLOOKUP(A87,'Données projet'!$A$139:$I$159,9,0)</f>
        <v>9.546999999999997</v>
      </c>
      <c r="CS87" s="12">
        <f t="array" ref="CS87">INDEX(CR:CR,MIN(IF(ISNUMBER(CR87:CR283),ROW(CR87:CR283),"")))</f>
        <v>9.546999999999997</v>
      </c>
      <c r="CT87" s="12">
        <f>IF('Données projet'!$A$140&gt;35,CT86+CS87-DB86,IF(A87&lt;'Données projet'!$A$140,$CQ$205^A87,IF(A87='Données projet'!$A$140,'Données projet'!$B$140,CT86+CS87-DB86)))</f>
        <v>355.09000000000049</v>
      </c>
      <c r="CU87" s="17">
        <f>CT87*VLOOKUP('Données projet'!$B$13,Paramètres!$A$1:$I$89,3,0)*VLOOKUP('Données projet'!$B$13,Paramètres!$A$1:$I$89,5,0)</f>
        <v>382.21887600000053</v>
      </c>
      <c r="CV87" s="13">
        <f t="shared" si="95"/>
        <v>88.162330896769902</v>
      </c>
      <c r="CW87" s="20">
        <f t="shared" si="67"/>
        <v>819.24726867854179</v>
      </c>
      <c r="CX87" s="59">
        <f t="shared" si="68"/>
        <v>1112.580602011875</v>
      </c>
      <c r="CY87" s="59">
        <f ca="1">AVERAGE(OFFSET($CX$3,0,0,'Données projet'!$E$13+1,1))-AVERAGE(OFFSET($H$3,0,0,'Données projet'!$E$13+1,1))</f>
        <v>747.18304127457918</v>
      </c>
      <c r="CZ87" s="59">
        <f t="shared" si="96"/>
        <v>327.03701004966723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66.69</v>
      </c>
      <c r="DC87" s="16">
        <f>IF(ISNA(VLOOKUP(A87,'Données projet'!$A$139:$I$159,5,0)),0%,VLOOKUP(A87,'Données projet'!$A$139:$I$159,5,0)*VLOOKUP('Données projet'!$B$13,Paramètres!$A$1:$I$89,7,0))</f>
        <v>0.15049999999999999</v>
      </c>
      <c r="DD87" s="16">
        <f>IF(ISNA(VLOOKUP(A87,'Données projet'!$A$139:$I$159,6,0)),0%,VLOOKUP(A87,'Données projet'!$A$139:$I$159,6,0)*VLOOKUP('Données projet'!$B$13,Paramètres!$A$1:$I$89,7,0))</f>
        <v>8.6000000000000007E-2</v>
      </c>
      <c r="DE87" s="16">
        <f>IF(ISNA(VLOOKUP(A87,'Données projet'!$A$139:$I$159,7,0)),0%,VLOOKUP(A87,'Données projet'!$A$139:$I$159,7,0))</f>
        <v>0.1</v>
      </c>
      <c r="DF87" s="21">
        <f>EXP(-LN(2)/35)*DF86+(1-EXP(-LN(2)/35))/(LN(2)/35)*DB87*DC87*VLOOKUP('Données projet'!$B$13,Paramètres!$A$1:$I$89,3,0)*0.475*44/12</f>
        <v>26.216049091717409</v>
      </c>
      <c r="DG87" s="21">
        <f>EXP(-LN(2)/25)*DG86+(1-EXP(-LN(2)/25))/(LN(2)/25)*Calculateur!DB87*Calculateur!DD87*VLOOKUP('Données projet'!$B$13,Paramètres!$A$1:$I$89,3,0)*0.475*44/12</f>
        <v>35.188248011598539</v>
      </c>
      <c r="DH87" s="21">
        <f>EXP(-LN(2)/2)*DH86+(1-EXP(-LN(2)/2))/(LN(2)/2)*DB87*DE87*VLOOKUP('Données projet'!$B$13,Paramètres!$A$1:$I$89,3,0)*0.475*44/12</f>
        <v>6.9479567227312273</v>
      </c>
      <c r="DI87" s="22">
        <f t="shared" si="69"/>
        <v>68.352253826047175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353.37479213497227</v>
      </c>
      <c r="DU87" s="59">
        <f t="shared" si="98"/>
        <v>345.4750813433123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48.023111228277521</v>
      </c>
      <c r="EB87" s="21">
        <f>EXP(-LN(2)/25)*EB86+(1-EXP(-LN(2)/25))/(LN(2)/25)*Calculateur!DW87*Calculateur!DY87*VLOOKUP('Données projet'!$B$14,Paramètres!$A$1:$I$89,3,0)*0.475*44/12</f>
        <v>45.936040159177622</v>
      </c>
      <c r="EC87" s="21">
        <f>EXP(-LN(2)/2)*EC86+(1-EXP(-LN(2)/2))/(LN(2)/2)*DW87*DZ87*VLOOKUP('Données projet'!$B$14,Paramètres!$A$1:$I$89,3,0)*0.475*44/12</f>
        <v>15.605330301100274</v>
      </c>
      <c r="ED87" s="22">
        <f t="shared" si="72"/>
        <v>109.56448168855542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25.887499999999989</v>
      </c>
      <c r="EJ87" s="12">
        <f>IF('Données projet'!$A$192&gt;35,EJ86+EI87-ER86,IF(A87&lt;'Données projet'!$A$192,$EG$205^A87,IF(A87='Données projet'!$A$192,'Données projet'!$B$192,EJ86+EI87-ER86)))</f>
        <v>450.49749999999949</v>
      </c>
      <c r="EK87" s="17">
        <f>EJ87*VLOOKUP('Données projet'!$B$15,Paramètres!$A$1:$I$89,3,0)*VLOOKUP('Données projet'!$B$15,Paramètres!$A$1:$I$89,5,0)</f>
        <v>210.83282999999975</v>
      </c>
      <c r="EL87" s="13">
        <f t="shared" si="99"/>
        <v>52.117538062231588</v>
      </c>
      <c r="EM87" s="20">
        <f t="shared" si="73"/>
        <v>457.97189104171957</v>
      </c>
      <c r="EN87" s="59">
        <f t="shared" si="74"/>
        <v>751.30522437505283</v>
      </c>
      <c r="EO87" s="59">
        <f ca="1">AVERAGE(OFFSET($EN$3,0,0,'Données projet'!$E$15+1,1))-AVERAGE(OFFSET($H$3,0,0,'Données projet'!$E$15+1,1))</f>
        <v>433.05041777893922</v>
      </c>
      <c r="EP87" s="59">
        <f t="shared" si="100"/>
        <v>591.24088611958996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167.11606032591408</v>
      </c>
      <c r="EW87" s="21">
        <f>EXP(-LN(2)/25)*EW86+(1-EXP(-LN(2)/25))/(LN(2)/25)*Calculateur!ER87*Calculateur!ET87*VLOOKUP('Données projet'!$B$15,Paramètres!$A$1:$I$89,3,0)*0.475*44/12</f>
        <v>55.702572797898043</v>
      </c>
      <c r="EX87" s="21">
        <f>EXP(-LN(2)/2)*EX86+(1-EXP(-LN(2)/2))/(LN(2)/2)*ER87*EU87*VLOOKUP('Données projet'!$B$15,Paramètres!$A$1:$I$89,3,0)*0.475*44/12</f>
        <v>9.0738208871768933</v>
      </c>
      <c r="EY87" s="22">
        <f t="shared" si="75"/>
        <v>231.89245401098901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2.0512820512820498</v>
      </c>
      <c r="FE87" s="12">
        <f>IF('Données projet'!$A$218&gt;35,FE86+FD87-FM86,IF(A87&lt;'Données projet'!$A$218,$FB$205^A87,IF(A87='Données projet'!$A$218,'Données projet'!$B$218,FE86+FD87-FM86)))</f>
        <v>124.23076923076914</v>
      </c>
      <c r="FF87" s="17">
        <f>FE87*VLOOKUP('Données projet'!$B$16,Paramètres!$A$1:$I$89,3,0)*VLOOKUP('Données projet'!$B$16,Paramètres!$A$1:$I$89,5,0)</f>
        <v>100.77599999999993</v>
      </c>
      <c r="FG87" s="13">
        <f t="shared" si="101"/>
        <v>27.146785593902447</v>
      </c>
      <c r="FH87" s="20">
        <f t="shared" si="76"/>
        <v>222.79885157604664</v>
      </c>
      <c r="FI87" s="59">
        <f t="shared" si="77"/>
        <v>516.13218490937993</v>
      </c>
      <c r="FJ87" s="59">
        <f ca="1">AVERAGE(OFFSET($FI$3,0,0,'Données projet'!$E$16+1,1))-AVERAGE(OFFSET($H$3,0,0,'Données projet'!$E$16+1,1))</f>
        <v>159.4660488566085</v>
      </c>
      <c r="FK87" s="59">
        <f t="shared" si="102"/>
        <v>135.33030558297088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3.7908499993567397</v>
      </c>
      <c r="FS87" s="21">
        <f>EXP(-LN(2)/2)*FS86+(1-EXP(-LN(2)/2))/(LN(2)/2)*FM87*FP87*VLOOKUP('Données projet'!$B$16,Paramètres!$A$1:$I$89,3,0)*0.475*44/12</f>
        <v>0.40974403871693049</v>
      </c>
      <c r="FT87" s="22">
        <f t="shared" si="78"/>
        <v>4.2005940380736702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9.1730000000000018</v>
      </c>
      <c r="N88" s="13">
        <f>IF('Données projet'!$A$36&gt;35,N87+M88-V87,IF(A88&lt;'Données projet'!$A$36,$K$205^A88,IF(A88='Données projet'!$A$36,'Données projet'!$B$36,N87+M88-V87)))</f>
        <v>297.57300000000049</v>
      </c>
      <c r="O88" s="13">
        <f>N88*VLOOKUP('Données projet'!$B$9,Paramètres!$A$1:$I$89,3,0)*VLOOKUP('Données projet'!$B$9,Paramètres!$A$1:$I$89,5,0)</f>
        <v>301.73902200000055</v>
      </c>
      <c r="P88" s="13">
        <f t="shared" si="87"/>
        <v>71.540906554302211</v>
      </c>
      <c r="Q88" s="20">
        <f t="shared" si="54"/>
        <v>650.12920889874385</v>
      </c>
      <c r="R88" s="59">
        <f t="shared" si="55"/>
        <v>943.46254223207711</v>
      </c>
      <c r="S88" s="59">
        <f ca="1">AVERAGE(OFFSET($R$3,0,0,'Données projet'!$E$9+1,1))-AVERAGE(OFFSET($H$3,0,0,'Données projet'!$E$9+1,1))</f>
        <v>706.69239849991595</v>
      </c>
      <c r="T88" s="59">
        <f t="shared" si="88"/>
        <v>310.59887275116529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24.211999178994084</v>
      </c>
      <c r="AA88" s="21">
        <f>EXP(-LN(2)/25)*AA87+(1-EXP(-LN(2)/25))/(LN(2)/25)*Calculateur!V88*Calculateur!X88*VLOOKUP('Données projet'!$B$9,Paramètres!$A$1:$I$89,3,0)*0.475*44/12</f>
        <v>32.241906213787985</v>
      </c>
      <c r="AB88" s="21">
        <f>EXP(-LN(2)/2)*AB87+(1-EXP(-LN(2)/2))/(LN(2)/2)*V88*Y88*VLOOKUP('Données projet'!$B$9,Paramètres!$A$1:$I$89,3,0)*0.475*44/12</f>
        <v>4.6281387740899183</v>
      </c>
      <c r="AC88" s="22">
        <f t="shared" si="57"/>
        <v>61.082044166871988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135.25641025641025</v>
      </c>
      <c r="AG88" s="12">
        <f>VLOOKUP(A88,'Données projet'!$A$61:$I$81,9,0)</f>
        <v>1.7948717948717898</v>
      </c>
      <c r="AH88" s="12">
        <f t="array" ref="AH88">INDEX(AG:AG,MIN(IF(ISNUMBER(AG88:AG284),ROW(AG88:AG284),"")))</f>
        <v>1.7948717948717898</v>
      </c>
      <c r="AI88" s="13">
        <f>IF('Données projet'!$A$62&gt;35,AI87+AH88-AQ87,IF(A88&lt;'Données projet'!$A$62,$AF$205^A88,IF(A88='Données projet'!$A$62,'Données projet'!$B$62,AI87+AH88-AQ87)))</f>
        <v>135.25641025641019</v>
      </c>
      <c r="AJ88" s="13">
        <f>AI88*VLOOKUP('Données projet'!$B$10,Paramètres!$A$1:$I$89,3,0)*VLOOKUP('Données projet'!$B$10,Paramètres!$A$1:$I$89,5,0)</f>
        <v>141.36999999999995</v>
      </c>
      <c r="AK88" s="13">
        <f t="shared" si="89"/>
        <v>36.610675159135553</v>
      </c>
      <c r="AL88" s="20">
        <f t="shared" si="58"/>
        <v>309.98300923549431</v>
      </c>
      <c r="AM88" s="59">
        <f t="shared" si="59"/>
        <v>603.31634256882762</v>
      </c>
      <c r="AN88" s="59">
        <f ca="1">AVERAGE(OFFSET($AM$3,0,0,'Données projet'!$E$10+1,1))-AVERAGE(OFFSET($H$3,0,0,'Données projet'!$E$10+1,1))</f>
        <v>239.26156489359892</v>
      </c>
      <c r="AO88" s="59">
        <f t="shared" si="90"/>
        <v>213.97034450798111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6.4102564102564097</v>
      </c>
      <c r="AR88" s="16">
        <f>IF(ISNA(VLOOKUP(A88,'Données projet'!$A$61:$I$81,5,0)),0%,VLOOKUP(A88,'Données projet'!$A$61:$I$81,5,0)*VLOOKUP('Données projet'!$B$10,Paramètres!$A$1:$I$89,7,0))</f>
        <v>4.3000000000000003E-2</v>
      </c>
      <c r="AS88" s="16">
        <f>IF(ISNA(VLOOKUP(A88,'Données projet'!$A$61:$I$81,6,0)),0%,VLOOKUP(A88,'Données projet'!$A$61:$I$81,6,0)*VLOOKUP('Données projet'!$B$10,Paramètres!$A$1:$I$89,7,0))</f>
        <v>0.215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1.6020864518573896</v>
      </c>
      <c r="AV88" s="21">
        <f>EXP(-LN(2)/25)*AV87+(1-EXP(-LN(2)/25))/(LN(2)/25)*Calculateur!AQ88*Calculateur!AS88*VLOOKUP('Données projet'!$B$10,Paramètres!$A$1:$I$89,3,0)*0.475*44/12</f>
        <v>15.622011798734682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17.224098250592071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-1.7053025658242404E-13</v>
      </c>
      <c r="BE88" s="13">
        <f>BD88*VLOOKUP('Données projet'!$B$11,Paramètres!$A$1:$I$89,3,0)*VLOOKUP('Données projet'!$B$11,Paramètres!$A$1:$I$89,5,0)</f>
        <v>-1.4897523215040567E-13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324.86930206492627</v>
      </c>
      <c r="BJ88" s="59">
        <f t="shared" si="92"/>
        <v>317.03005098025352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41.731692781915172</v>
      </c>
      <c r="BQ88" s="21">
        <f>EXP(-LN(2)/25)*BQ87+(1-EXP(-LN(2)/25))/(LN(2)/25)*Calculateur!BL88*Calculateur!BN88*VLOOKUP('Données projet'!$B$11,Paramètres!$A$1:$I$89,3,0)*0.475*44/12</f>
        <v>40.493849101490149</v>
      </c>
      <c r="BR88" s="21">
        <f>EXP(-LN(2)/2)*BR87+(1-EXP(-LN(2)/2))/(LN(2)/2)*BL88*BO88*VLOOKUP('Données projet'!$B$11,Paramètres!$A$1:$I$89,3,0)*0.475*44/12</f>
        <v>10.089708255158909</v>
      </c>
      <c r="BS88" s="22">
        <f t="shared" si="63"/>
        <v>92.315250138564238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6.7444444444444462</v>
      </c>
      <c r="BY88" s="12">
        <f>IF('Données projet'!$A$114&gt;35,BY87+BX88-CG87,IF(A88&lt;'Données projet'!$A$114,$BV$205^A88,IF(A88='Données projet'!$A$114,'Données projet'!$B$114,BY87+BX88-CG87)))</f>
        <v>222.52555555555554</v>
      </c>
      <c r="BZ88" s="13">
        <f>BY88*VLOOKUP('Données projet'!$B$12,Paramètres!$A$1:$I$89,3,0)*VLOOKUP('Données projet'!$B$12,Paramètres!$A$1:$I$89,5,0)</f>
        <v>253.41210266666667</v>
      </c>
      <c r="CA88" s="13">
        <f t="shared" si="93"/>
        <v>61.316013827679889</v>
      </c>
      <c r="CB88" s="20">
        <f t="shared" si="64"/>
        <v>548.15146956098692</v>
      </c>
      <c r="CC88" s="59">
        <f t="shared" si="65"/>
        <v>841.48480289432018</v>
      </c>
      <c r="CD88" s="59">
        <f ca="1">AVERAGE(OFFSET($CC$3,0,0,'Données projet'!$E$12+1,1))-AVERAGE(OFFSET($H$3,0,0,'Données projet'!$E$12+1,1))</f>
        <v>593.28343396240075</v>
      </c>
      <c r="CE88" s="59">
        <f t="shared" si="94"/>
        <v>289.66477662068695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39.134876175876634</v>
      </c>
      <c r="CM88" s="21">
        <f>EXP(-LN(2)/2)*CM87+(1-EXP(-LN(2)/2))/(LN(2)/2)*CG88*CJ88*VLOOKUP('Données projet'!$B$12,Paramètres!$A$1:$I$89,3,0)*0.475*44/12</f>
        <v>0.49413073660229723</v>
      </c>
      <c r="CN88" s="22">
        <f t="shared" si="66"/>
        <v>39.629006912478928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9.1730000000000018</v>
      </c>
      <c r="CT88" s="12">
        <f>IF('Données projet'!$A$140&gt;35,CT87+CS88-DB87,IF(A88&lt;'Données projet'!$A$140,$CQ$205^A88,IF(A88='Données projet'!$A$140,'Données projet'!$B$140,CT87+CS88-DB87)))</f>
        <v>297.57300000000049</v>
      </c>
      <c r="CU88" s="17">
        <f>CT88*VLOOKUP('Données projet'!$B$13,Paramètres!$A$1:$I$89,3,0)*VLOOKUP('Données projet'!$B$13,Paramètres!$A$1:$I$89,5,0)</f>
        <v>320.30757720000054</v>
      </c>
      <c r="CV88" s="13">
        <f t="shared" si="95"/>
        <v>75.417347502215293</v>
      </c>
      <c r="CW88" s="20">
        <f t="shared" si="67"/>
        <v>689.22091052302585</v>
      </c>
      <c r="CX88" s="59">
        <f t="shared" si="68"/>
        <v>982.55424385635911</v>
      </c>
      <c r="CY88" s="59">
        <f ca="1">AVERAGE(OFFSET($CX$3,0,0,'Données projet'!$E$13+1,1))-AVERAGE(OFFSET($H$3,0,0,'Données projet'!$E$13+1,1))</f>
        <v>747.18304127457918</v>
      </c>
      <c r="CZ88" s="59">
        <f t="shared" si="96"/>
        <v>327.03701004966723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25.701968359239874</v>
      </c>
      <c r="DG88" s="21">
        <f>EXP(-LN(2)/25)*DG87+(1-EXP(-LN(2)/25))/(LN(2)/25)*Calculateur!DB88*Calculateur!DD88*VLOOKUP('Données projet'!$B$13,Paramètres!$A$1:$I$89,3,0)*0.475*44/12</f>
        <v>34.226023519251839</v>
      </c>
      <c r="DH88" s="21">
        <f>EXP(-LN(2)/2)*DH87+(1-EXP(-LN(2)/2))/(LN(2)/2)*DB88*DE88*VLOOKUP('Données projet'!$B$13,Paramètres!$A$1:$I$89,3,0)*0.475*44/12</f>
        <v>4.9129473140339117</v>
      </c>
      <c r="DI88" s="22">
        <f t="shared" si="69"/>
        <v>64.840939192525624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353.37479213497227</v>
      </c>
      <c r="DU88" s="59">
        <f t="shared" si="98"/>
        <v>345.4750813433123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47.081407308296583</v>
      </c>
      <c r="EB88" s="21">
        <f>EXP(-LN(2)/25)*EB87+(1-EXP(-LN(2)/25))/(LN(2)/25)*Calculateur!DW88*Calculateur!DY88*VLOOKUP('Données projet'!$B$14,Paramètres!$A$1:$I$89,3,0)*0.475*44/12</f>
        <v>44.67991672535355</v>
      </c>
      <c r="EC88" s="21">
        <f>EXP(-LN(2)/2)*EC87+(1-EXP(-LN(2)/2))/(LN(2)/2)*DW88*DZ88*VLOOKUP('Données projet'!$B$14,Paramètres!$A$1:$I$89,3,0)*0.475*44/12</f>
        <v>11.034634878563912</v>
      </c>
      <c r="ED88" s="22">
        <f t="shared" si="72"/>
        <v>102.79595891221405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25.887499999999989</v>
      </c>
      <c r="EJ88" s="12">
        <f>IF('Données projet'!$A$192&gt;35,EJ87+EI88-ER87,IF(A88&lt;'Données projet'!$A$192,$EG$205^A88,IF(A88='Données projet'!$A$192,'Données projet'!$B$192,EJ87+EI88-ER87)))</f>
        <v>476.38499999999948</v>
      </c>
      <c r="EK88" s="17">
        <f>EJ88*VLOOKUP('Données projet'!$B$15,Paramètres!$A$1:$I$89,3,0)*VLOOKUP('Données projet'!$B$15,Paramètres!$A$1:$I$89,5,0)</f>
        <v>222.94817999999975</v>
      </c>
      <c r="EL88" s="13">
        <f t="shared" si="99"/>
        <v>54.755160795857627</v>
      </c>
      <c r="EM88" s="20">
        <f t="shared" si="73"/>
        <v>483.66665188611836</v>
      </c>
      <c r="EN88" s="59">
        <f t="shared" si="74"/>
        <v>776.99998521945167</v>
      </c>
      <c r="EO88" s="59">
        <f ca="1">AVERAGE(OFFSET($EN$3,0,0,'Données projet'!$E$15+1,1))-AVERAGE(OFFSET($H$3,0,0,'Données projet'!$E$15+1,1))</f>
        <v>433.05041777893922</v>
      </c>
      <c r="EP88" s="59">
        <f t="shared" si="100"/>
        <v>591.24088611958996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163.83901631365487</v>
      </c>
      <c r="EW88" s="21">
        <f>EXP(-LN(2)/25)*EW87+(1-EXP(-LN(2)/25))/(LN(2)/25)*Calculateur!ER88*Calculateur!ET88*VLOOKUP('Données projet'!$B$15,Paramètres!$A$1:$I$89,3,0)*0.475*44/12</f>
        <v>54.179383015468524</v>
      </c>
      <c r="EX88" s="21">
        <f>EXP(-LN(2)/2)*EX87+(1-EXP(-LN(2)/2))/(LN(2)/2)*ER88*EU88*VLOOKUP('Données projet'!$B$15,Paramètres!$A$1:$I$89,3,0)*0.475*44/12</f>
        <v>6.4161602805949167</v>
      </c>
      <c r="EY88" s="22">
        <f t="shared" si="75"/>
        <v>224.43455960971829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126.28205128205127</v>
      </c>
      <c r="FC88" s="12">
        <f>VLOOKUP(A88,'Données projet'!$A$217:$I$237,9,0)</f>
        <v>2.0512820512820498</v>
      </c>
      <c r="FD88" s="12">
        <f t="array" ref="FD88">INDEX(FC:FC,MIN(IF(ISNUMBER(FC88:FC284),ROW(FC88:FC284),"")))</f>
        <v>2.0512820512820498</v>
      </c>
      <c r="FE88" s="12">
        <f>IF('Données projet'!$A$218&gt;35,FE87+FD88-FM87,IF(A88&lt;'Données projet'!$A$218,$FB$205^A88,IF(A88='Données projet'!$A$218,'Données projet'!$B$218,FE87+FD88-FM87)))</f>
        <v>126.28205128205119</v>
      </c>
      <c r="FF88" s="17">
        <f>FE88*VLOOKUP('Données projet'!$B$16,Paramètres!$A$1:$I$89,3,0)*VLOOKUP('Données projet'!$B$16,Paramètres!$A$1:$I$89,5,0)</f>
        <v>102.43999999999993</v>
      </c>
      <c r="FG88" s="13">
        <f t="shared" si="101"/>
        <v>27.542475814398081</v>
      </c>
      <c r="FH88" s="20">
        <f t="shared" si="76"/>
        <v>226.3861453767432</v>
      </c>
      <c r="FI88" s="59">
        <f t="shared" si="77"/>
        <v>519.71947871007649</v>
      </c>
      <c r="FJ88" s="59">
        <f ca="1">AVERAGE(OFFSET($FI$3,0,0,'Données projet'!$E$16+1,1))-AVERAGE(OFFSET($H$3,0,0,'Données projet'!$E$16+1,1))</f>
        <v>159.4660488566085</v>
      </c>
      <c r="FK88" s="59">
        <f t="shared" si="102"/>
        <v>135.33030558297088</v>
      </c>
      <c r="FL88" s="15">
        <f>IF(ISNA(VLOOKUP(A88,'Données projet'!$A$217:$I$237,3,0)),0,VLOOKUP(A88,'Données projet'!$A$217:$I$237,3,0))</f>
        <v>15</v>
      </c>
      <c r="FM88" s="15">
        <f>IF(ISNA(VLOOKUP(A88,'Données projet'!$A$217:$I$237,4,0)),0,VLOOKUP(A88,'Données projet'!$A$217:$I$237,4,0))</f>
        <v>6.4102564102564097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0.1075</v>
      </c>
      <c r="FP88" s="16">
        <f>IF(ISNA(VLOOKUP(A88,'Données projet'!$A$217:$I$237,7,0)),0%,VLOOKUP(A88,'Données projet'!$A$217:$I$237,7,0))</f>
        <v>0.25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4.3027138130523959</v>
      </c>
      <c r="FS88" s="21">
        <f>EXP(-LN(2)/2)*FS87+(1-EXP(-LN(2)/2))/(LN(2)/2)*FM88*FP88*VLOOKUP('Données projet'!$B$16,Paramètres!$A$1:$I$89,3,0)*0.475*44/12</f>
        <v>1.5163177773145096</v>
      </c>
      <c r="FT88" s="22">
        <f t="shared" si="78"/>
        <v>5.8190315903669054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9.1730000000000018</v>
      </c>
      <c r="N89" s="13">
        <f>IF('Données projet'!$A$36&gt;35,N88+M89-V88,IF(A89&lt;'Données projet'!$A$36,$K$205^A89,IF(A89='Données projet'!$A$36,'Données projet'!$B$36,N88+M89-V88)))</f>
        <v>306.74600000000049</v>
      </c>
      <c r="O89" s="13">
        <f>N89*VLOOKUP('Données projet'!$B$9,Paramètres!$A$1:$I$89,3,0)*VLOOKUP('Données projet'!$B$9,Paramètres!$A$1:$I$89,5,0)</f>
        <v>311.04044400000055</v>
      </c>
      <c r="P89" s="13">
        <f t="shared" si="87"/>
        <v>73.486073899132336</v>
      </c>
      <c r="Q89" s="20">
        <f t="shared" si="54"/>
        <v>669.71701867432307</v>
      </c>
      <c r="R89" s="59">
        <f t="shared" si="55"/>
        <v>963.05035200765633</v>
      </c>
      <c r="S89" s="59">
        <f ca="1">AVERAGE(OFFSET($R$3,0,0,'Données projet'!$E$9+1,1))-AVERAGE(OFFSET($H$3,0,0,'Données projet'!$E$9+1,1))</f>
        <v>706.69239849991595</v>
      </c>
      <c r="T89" s="59">
        <f t="shared" si="88"/>
        <v>310.59887275116529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23.737216642955303</v>
      </c>
      <c r="AA89" s="21">
        <f>EXP(-LN(2)/25)*AA88+(1-EXP(-LN(2)/25))/(LN(2)/25)*Calculateur!V89*Calculateur!X89*VLOOKUP('Données projet'!$B$9,Paramètres!$A$1:$I$89,3,0)*0.475*44/12</f>
        <v>31.360249592843793</v>
      </c>
      <c r="AB89" s="21">
        <f>EXP(-LN(2)/2)*AB88+(1-EXP(-LN(2)/2))/(LN(2)/2)*V89*Y89*VLOOKUP('Données projet'!$B$9,Paramètres!$A$1:$I$89,3,0)*0.475*44/12</f>
        <v>3.2725883114313765</v>
      </c>
      <c r="AC89" s="22">
        <f t="shared" si="57"/>
        <v>58.370054547230474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1.7948717948717956</v>
      </c>
      <c r="AI89" s="13">
        <f>IF('Données projet'!$A$62&gt;35,AI88+AH89-AQ88,IF(A89&lt;'Données projet'!$A$62,$AF$205^A89,IF(A89='Données projet'!$A$62,'Données projet'!$B$62,AI88+AH89-AQ88)))</f>
        <v>130.64102564102558</v>
      </c>
      <c r="AJ89" s="13">
        <f>AI89*VLOOKUP('Données projet'!$B$10,Paramètres!$A$1:$I$89,3,0)*VLOOKUP('Données projet'!$B$10,Paramètres!$A$1:$I$89,5,0)</f>
        <v>136.54599999999996</v>
      </c>
      <c r="AK89" s="13">
        <f t="shared" si="89"/>
        <v>35.504595871947302</v>
      </c>
      <c r="AL89" s="20">
        <f t="shared" si="58"/>
        <v>299.65478781030816</v>
      </c>
      <c r="AM89" s="59">
        <f t="shared" si="59"/>
        <v>592.98812114364148</v>
      </c>
      <c r="AN89" s="59">
        <f ca="1">AVERAGE(OFFSET($AM$3,0,0,'Données projet'!$E$10+1,1))-AVERAGE(OFFSET($H$3,0,0,'Données projet'!$E$10+1,1))</f>
        <v>239.26156489359892</v>
      </c>
      <c r="AO89" s="59">
        <f t="shared" si="90"/>
        <v>213.97034450798111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1.5706705137127137</v>
      </c>
      <c r="AV89" s="21">
        <f>EXP(-LN(2)/25)*AV88+(1-EXP(-LN(2)/25))/(LN(2)/25)*Calculateur!AQ89*Calculateur!AS89*VLOOKUP('Données projet'!$B$10,Paramètres!$A$1:$I$89,3,0)*0.475*44/12</f>
        <v>15.194827064572387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16.7654975782851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-1.7053025658242404E-13</v>
      </c>
      <c r="BE89" s="13">
        <f>BD89*VLOOKUP('Données projet'!$B$11,Paramètres!$A$1:$I$89,3,0)*VLOOKUP('Données projet'!$B$11,Paramètres!$A$1:$I$89,5,0)</f>
        <v>-1.4897523215040567E-13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324.86930206492627</v>
      </c>
      <c r="BJ89" s="59">
        <f t="shared" si="92"/>
        <v>317.03005098025352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40.913359740281059</v>
      </c>
      <c r="BQ89" s="21">
        <f>EXP(-LN(2)/25)*BQ88+(1-EXP(-LN(2)/25))/(LN(2)/25)*Calculateur!BL89*Calculateur!BN89*VLOOKUP('Données projet'!$B$11,Paramètres!$A$1:$I$89,3,0)*0.475*44/12</f>
        <v>39.386542668330925</v>
      </c>
      <c r="BR89" s="21">
        <f>EXP(-LN(2)/2)*BR88+(1-EXP(-LN(2)/2))/(LN(2)/2)*BL89*BO89*VLOOKUP('Données projet'!$B$11,Paramètres!$A$1:$I$89,3,0)*0.475*44/12</f>
        <v>7.1345011274167538</v>
      </c>
      <c r="BS89" s="22">
        <f t="shared" si="63"/>
        <v>87.434403536028739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>
        <f>VLOOKUP(A89,'Données projet'!$A$113:$I$133,2,0)</f>
        <v>229.27</v>
      </c>
      <c r="BW89" s="12">
        <f>VLOOKUP(A89,'Données projet'!$A$113:$I$133,9,0)</f>
        <v>6.7444444444444462</v>
      </c>
      <c r="BX89" s="12">
        <f t="array" ref="BX89">INDEX(BW:BW,MIN(IF(ISNUMBER(BW89:BW285),ROW(BW89:BW285),"")))</f>
        <v>6.7444444444444462</v>
      </c>
      <c r="BY89" s="12">
        <f>IF('Données projet'!$A$114&gt;35,BY88+BX89-CG88,IF(A89&lt;'Données projet'!$A$114,$BV$205^A89,IF(A89='Données projet'!$A$114,'Données projet'!$B$114,BY88+BX89-CG88)))</f>
        <v>229.26999999999998</v>
      </c>
      <c r="BZ89" s="13">
        <f>BY89*VLOOKUP('Données projet'!$B$12,Paramètres!$A$1:$I$89,3,0)*VLOOKUP('Données projet'!$B$12,Paramètres!$A$1:$I$89,5,0)</f>
        <v>261.09267599999998</v>
      </c>
      <c r="CA89" s="13">
        <f t="shared" si="93"/>
        <v>62.955235443390585</v>
      </c>
      <c r="CB89" s="20">
        <f t="shared" si="64"/>
        <v>564.38344576390512</v>
      </c>
      <c r="CC89" s="59">
        <f t="shared" si="65"/>
        <v>857.71677909723849</v>
      </c>
      <c r="CD89" s="59">
        <f ca="1">AVERAGE(OFFSET($CC$3,0,0,'Données projet'!$E$12+1,1))-AVERAGE(OFFSET($H$3,0,0,'Données projet'!$E$12+1,1))</f>
        <v>593.28343396240075</v>
      </c>
      <c r="CE89" s="59">
        <f t="shared" si="94"/>
        <v>289.66477662068695</v>
      </c>
      <c r="CF89" s="15">
        <f>IF(ISNA(VLOOKUP(A89,'Données projet'!$A$113:$I$133,3,0)),0,VLOOKUP(A89,'Données projet'!$A$113:$I$133,3,0))</f>
        <v>4</v>
      </c>
      <c r="CG89" s="15">
        <f>IF(ISNA(VLOOKUP(A89,'Données projet'!$A$113:$I$133,4,0)),0,VLOOKUP(A89,'Données projet'!$A$113:$I$133,4,0))</f>
        <v>37.54000000000002</v>
      </c>
      <c r="CH89" s="16">
        <f>IF(ISNA(VLOOKUP(A89,'Données projet'!$A$113:$I$133,5,0)),0%,VLOOKUP(A89,'Données projet'!$A$113:$I$133,5,0)*VLOOKUP('Données projet'!$B$12,Paramètres!$A$1:$I$89,7,0))</f>
        <v>0.15049999999999999</v>
      </c>
      <c r="CI89" s="16">
        <f>IF(ISNA(VLOOKUP(A89,'Données projet'!$A$113:$I$133,6,0)),0%,VLOOKUP(A89,'Données projet'!$A$113:$I$133,6,0)*VLOOKUP('Données projet'!$B$12,Paramètres!$A$1:$I$89,7,0))</f>
        <v>8.6000000000000007E-2</v>
      </c>
      <c r="CJ89" s="16">
        <f>IF(ISNA(VLOOKUP(A89,'Données projet'!$A$113:$I$133,7,0)),0%,VLOOKUP(A89,'Données projet'!$A$113:$I$133,7,0))</f>
        <v>0.1</v>
      </c>
      <c r="CK89" s="21">
        <f>EXP(-LN(2)/35)*CK88+(1-EXP(-LN(2)/35))/(LN(2)/35)*CG89*CH89*VLOOKUP('Données projet'!$B$12,Paramètres!$A$1:$I$89,3,0)*0.475*44/12</f>
        <v>7.1125500761748128</v>
      </c>
      <c r="CL89" s="21">
        <f>EXP(-LN(2)/25)*CL88+(1-EXP(-LN(2)/25))/(LN(2)/25)*Calculateur!CG89*Calculateur!CI89*VLOOKUP('Données projet'!$B$12,Paramètres!$A$1:$I$89,3,0)*0.475*44/12</f>
        <v>42.113042503936946</v>
      </c>
      <c r="CM89" s="21">
        <f>EXP(-LN(2)/2)*CM88+(1-EXP(-LN(2)/2))/(LN(2)/2)*CG89*CJ89*VLOOKUP('Données projet'!$B$12,Paramètres!$A$1:$I$89,3,0)*0.475*44/12</f>
        <v>4.383032837267911</v>
      </c>
      <c r="CN89" s="22">
        <f t="shared" si="66"/>
        <v>53.60862541737967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9.1730000000000018</v>
      </c>
      <c r="CT89" s="12">
        <f>IF('Données projet'!$A$140&gt;35,CT88+CS89-DB88,IF(A89&lt;'Données projet'!$A$140,$CQ$205^A89,IF(A89='Données projet'!$A$140,'Données projet'!$B$140,CT88+CS89-DB88)))</f>
        <v>306.74600000000049</v>
      </c>
      <c r="CU89" s="17">
        <f>CT89*VLOOKUP('Données projet'!$B$13,Paramètres!$A$1:$I$89,3,0)*VLOOKUP('Données projet'!$B$13,Paramètres!$A$1:$I$89,5,0)</f>
        <v>330.1813944000005</v>
      </c>
      <c r="CV89" s="13">
        <f t="shared" si="95"/>
        <v>77.467913656051493</v>
      </c>
      <c r="CW89" s="20">
        <f t="shared" si="67"/>
        <v>709.98921153095716</v>
      </c>
      <c r="CX89" s="59">
        <f t="shared" si="68"/>
        <v>1003.3225448642904</v>
      </c>
      <c r="CY89" s="59">
        <f ca="1">AVERAGE(OFFSET($CX$3,0,0,'Données projet'!$E$13+1,1))-AVERAGE(OFFSET($H$3,0,0,'Données projet'!$E$13+1,1))</f>
        <v>747.18304127457918</v>
      </c>
      <c r="CZ89" s="59">
        <f t="shared" si="96"/>
        <v>327.03701004966723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25.197968436367937</v>
      </c>
      <c r="DG89" s="21">
        <f>EXP(-LN(2)/25)*DG88+(1-EXP(-LN(2)/25))/(LN(2)/25)*Calculateur!DB89*Calculateur!DD89*VLOOKUP('Données projet'!$B$13,Paramètres!$A$1:$I$89,3,0)*0.475*44/12</f>
        <v>33.290111106249547</v>
      </c>
      <c r="DH89" s="21">
        <f>EXP(-LN(2)/2)*DH88+(1-EXP(-LN(2)/2))/(LN(2)/2)*DB89*DE89*VLOOKUP('Données projet'!$B$13,Paramètres!$A$1:$I$89,3,0)*0.475*44/12</f>
        <v>3.4739783613656137</v>
      </c>
      <c r="DI89" s="22">
        <f t="shared" si="69"/>
        <v>61.962057903983094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353.37479213497227</v>
      </c>
      <c r="DU89" s="59">
        <f t="shared" si="98"/>
        <v>345.4750813433123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46.158169627803794</v>
      </c>
      <c r="EB89" s="21">
        <f>EXP(-LN(2)/25)*EB88+(1-EXP(-LN(2)/25))/(LN(2)/25)*Calculateur!DW89*Calculateur!DY89*VLOOKUP('Données projet'!$B$14,Paramètres!$A$1:$I$89,3,0)*0.475*44/12</f>
        <v>43.458142052884057</v>
      </c>
      <c r="EC89" s="21">
        <f>EXP(-LN(2)/2)*EC88+(1-EXP(-LN(2)/2))/(LN(2)/2)*DW89*DZ89*VLOOKUP('Données projet'!$B$14,Paramètres!$A$1:$I$89,3,0)*0.475*44/12</f>
        <v>7.8026651505501379</v>
      </c>
      <c r="ED89" s="22">
        <f t="shared" si="72"/>
        <v>97.418976831237998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25.887499999999989</v>
      </c>
      <c r="EJ89" s="12">
        <f>IF('Données projet'!$A$192&gt;35,EJ88+EI89-ER88,IF(A89&lt;'Données projet'!$A$192,$EG$205^A89,IF(A89='Données projet'!$A$192,'Données projet'!$B$192,EJ88+EI89-ER88)))</f>
        <v>502.27249999999947</v>
      </c>
      <c r="EK89" s="17">
        <f>EJ89*VLOOKUP('Données projet'!$B$15,Paramètres!$A$1:$I$89,3,0)*VLOOKUP('Données projet'!$B$15,Paramètres!$A$1:$I$89,5,0)</f>
        <v>235.06352999999973</v>
      </c>
      <c r="EL89" s="13">
        <f t="shared" si="99"/>
        <v>57.376143634821361</v>
      </c>
      <c r="EM89" s="20">
        <f t="shared" si="73"/>
        <v>509.33243158064664</v>
      </c>
      <c r="EN89" s="59">
        <f t="shared" si="74"/>
        <v>802.66576491397996</v>
      </c>
      <c r="EO89" s="59">
        <f ca="1">AVERAGE(OFFSET($EN$3,0,0,'Données projet'!$E$15+1,1))-AVERAGE(OFFSET($H$3,0,0,'Données projet'!$E$15+1,1))</f>
        <v>433.05041777893922</v>
      </c>
      <c r="EP89" s="59">
        <f t="shared" si="100"/>
        <v>591.24088611958996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160.62623313567659</v>
      </c>
      <c r="EW89" s="21">
        <f>EXP(-LN(2)/25)*EW88+(1-EXP(-LN(2)/25))/(LN(2)/25)*Calculateur!ER89*Calculateur!ET89*VLOOKUP('Données projet'!$B$15,Paramètres!$A$1:$I$89,3,0)*0.475*44/12</f>
        <v>52.697844937740612</v>
      </c>
      <c r="EX89" s="21">
        <f>EXP(-LN(2)/2)*EX88+(1-EXP(-LN(2)/2))/(LN(2)/2)*ER89*EU89*VLOOKUP('Données projet'!$B$15,Paramètres!$A$1:$I$89,3,0)*0.475*44/12</f>
        <v>4.5369104435884475</v>
      </c>
      <c r="EY89" s="22">
        <f t="shared" si="75"/>
        <v>217.86098851700564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1.9230769230769227</v>
      </c>
      <c r="FE89" s="12">
        <f>IF('Données projet'!$A$218&gt;35,FE88+FD89-FM88,IF(A89&lt;'Données projet'!$A$218,$FB$205^A89,IF(A89='Données projet'!$A$218,'Données projet'!$B$218,FE88+FD89-FM88)))</f>
        <v>121.79487179487171</v>
      </c>
      <c r="FF89" s="17">
        <f>FE89*VLOOKUP('Données projet'!$B$16,Paramètres!$A$1:$I$89,3,0)*VLOOKUP('Données projet'!$B$16,Paramètres!$A$1:$I$89,5,0)</f>
        <v>98.79999999999994</v>
      </c>
      <c r="FG89" s="13">
        <f t="shared" si="101"/>
        <v>26.675913537633271</v>
      </c>
      <c r="FH89" s="20">
        <f t="shared" si="76"/>
        <v>218.53721607804448</v>
      </c>
      <c r="FI89" s="59">
        <f t="shared" si="77"/>
        <v>511.87054941137779</v>
      </c>
      <c r="FJ89" s="59">
        <f ca="1">AVERAGE(OFFSET($FI$3,0,0,'Données projet'!$E$16+1,1))-AVERAGE(OFFSET($H$3,0,0,'Données projet'!$E$16+1,1))</f>
        <v>159.4660488566085</v>
      </c>
      <c r="FK89" s="59">
        <f t="shared" si="102"/>
        <v>135.33030558297088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4.1850558775645927</v>
      </c>
      <c r="FS89" s="21">
        <f>EXP(-LN(2)/2)*FS88+(1-EXP(-LN(2)/2))/(LN(2)/2)*FM89*FP89*VLOOKUP('Données projet'!$B$16,Paramètres!$A$1:$I$89,3,0)*0.475*44/12</f>
        <v>1.0721985827728031</v>
      </c>
      <c r="FT89" s="22">
        <f t="shared" si="78"/>
        <v>5.2572544603373963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9.1730000000000018</v>
      </c>
      <c r="N90" s="13">
        <f>IF('Données projet'!$A$36&gt;35,N89+M90-V89,IF(A90&lt;'Données projet'!$A$36,$K$205^A90,IF(A90='Données projet'!$A$36,'Données projet'!$B$36,N89+M90-V89)))</f>
        <v>315.91900000000049</v>
      </c>
      <c r="O90" s="13">
        <f>N90*VLOOKUP('Données projet'!$B$9,Paramètres!$A$1:$I$89,3,0)*VLOOKUP('Données projet'!$B$9,Paramètres!$A$1:$I$89,5,0)</f>
        <v>320.34186600000049</v>
      </c>
      <c r="P90" s="13">
        <f t="shared" si="87"/>
        <v>75.424481111671</v>
      </c>
      <c r="Q90" s="20">
        <f t="shared" si="54"/>
        <v>689.29305455282781</v>
      </c>
      <c r="R90" s="59">
        <f t="shared" si="55"/>
        <v>982.62638788616118</v>
      </c>
      <c r="S90" s="59">
        <f ca="1">AVERAGE(OFFSET($R$3,0,0,'Données projet'!$E$9+1,1))-AVERAGE(OFFSET($H$3,0,0,'Données projet'!$E$9+1,1))</f>
        <v>706.69239849991595</v>
      </c>
      <c r="T90" s="59">
        <f t="shared" si="88"/>
        <v>310.59887275116529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23.271744302859492</v>
      </c>
      <c r="AA90" s="21">
        <f>EXP(-LN(2)/25)*AA89+(1-EXP(-LN(2)/25))/(LN(2)/25)*Calculateur!V90*Calculateur!X90*VLOOKUP('Données projet'!$B$9,Paramètres!$A$1:$I$89,3,0)*0.475*44/12</f>
        <v>30.502701918563627</v>
      </c>
      <c r="AB90" s="21">
        <f>EXP(-LN(2)/2)*AB89+(1-EXP(-LN(2)/2))/(LN(2)/2)*V90*Y90*VLOOKUP('Données projet'!$B$9,Paramètres!$A$1:$I$89,3,0)*0.475*44/12</f>
        <v>2.3140693870449596</v>
      </c>
      <c r="AC90" s="22">
        <f t="shared" si="57"/>
        <v>56.088515608468079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1.7948717948717956</v>
      </c>
      <c r="AI90" s="13">
        <f>IF('Données projet'!$A$62&gt;35,AI89+AH90-AQ89,IF(A90&lt;'Données projet'!$A$62,$AF$205^A90,IF(A90='Données projet'!$A$62,'Données projet'!$B$62,AI89+AH90-AQ89)))</f>
        <v>132.43589743589737</v>
      </c>
      <c r="AJ90" s="13">
        <f>AI90*VLOOKUP('Données projet'!$B$10,Paramètres!$A$1:$I$89,3,0)*VLOOKUP('Données projet'!$B$10,Paramètres!$A$1:$I$89,5,0)</f>
        <v>138.42199999999994</v>
      </c>
      <c r="AK90" s="13">
        <f t="shared" si="89"/>
        <v>35.935269711934978</v>
      </c>
      <c r="AL90" s="20">
        <f t="shared" si="58"/>
        <v>303.67224474828663</v>
      </c>
      <c r="AM90" s="59">
        <f t="shared" si="59"/>
        <v>597.00557808161989</v>
      </c>
      <c r="AN90" s="59">
        <f ca="1">AVERAGE(OFFSET($AM$3,0,0,'Données projet'!$E$10+1,1))-AVERAGE(OFFSET($H$3,0,0,'Données projet'!$E$10+1,1))</f>
        <v>239.26156489359892</v>
      </c>
      <c r="AO90" s="59">
        <f t="shared" si="90"/>
        <v>213.97034450798111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1.5398706229532246</v>
      </c>
      <c r="AV90" s="21">
        <f>EXP(-LN(2)/25)*AV89+(1-EXP(-LN(2)/25))/(LN(2)/25)*Calculateur!AQ90*Calculateur!AS90*VLOOKUP('Données projet'!$B$10,Paramètres!$A$1:$I$89,3,0)*0.475*44/12</f>
        <v>14.779323719430428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16.319194342383653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-1.7053025658242404E-13</v>
      </c>
      <c r="BE90" s="13">
        <f>BD90*VLOOKUP('Données projet'!$B$11,Paramètres!$A$1:$I$89,3,0)*VLOOKUP('Données projet'!$B$11,Paramètres!$A$1:$I$89,5,0)</f>
        <v>-1.4897523215040567E-13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324.86930206492627</v>
      </c>
      <c r="BJ90" s="59">
        <f t="shared" si="92"/>
        <v>317.03005098025352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40.111073710459522</v>
      </c>
      <c r="BQ90" s="21">
        <f>EXP(-LN(2)/25)*BQ89+(1-EXP(-LN(2)/25))/(LN(2)/25)*Calculateur!BL90*Calculateur!BN90*VLOOKUP('Données projet'!$B$11,Paramètres!$A$1:$I$89,3,0)*0.475*44/12</f>
        <v>38.30951558781716</v>
      </c>
      <c r="BR90" s="21">
        <f>EXP(-LN(2)/2)*BR89+(1-EXP(-LN(2)/2))/(LN(2)/2)*BL90*BO90*VLOOKUP('Données projet'!$B$11,Paramètres!$A$1:$I$89,3,0)*0.475*44/12</f>
        <v>5.0448541275794554</v>
      </c>
      <c r="BS90" s="22">
        <f t="shared" si="63"/>
        <v>83.465443425856137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6.7600000000000007</v>
      </c>
      <c r="BY90" s="12">
        <f>IF('Données projet'!$A$114&gt;35,BY89+BX90-CG89,IF(A90&lt;'Données projet'!$A$114,$BV$205^A90,IF(A90='Données projet'!$A$114,'Données projet'!$B$114,BY89+BX90-CG89)))</f>
        <v>198.48999999999995</v>
      </c>
      <c r="BZ90" s="13">
        <f>BY90*VLOOKUP('Données projet'!$B$12,Paramètres!$A$1:$I$89,3,0)*VLOOKUP('Données projet'!$B$12,Paramètres!$A$1:$I$89,5,0)</f>
        <v>226.04041199999995</v>
      </c>
      <c r="CA90" s="13">
        <f t="shared" si="93"/>
        <v>55.425662660889152</v>
      </c>
      <c r="CB90" s="20">
        <f t="shared" si="64"/>
        <v>490.22008003438185</v>
      </c>
      <c r="CC90" s="59">
        <f t="shared" si="65"/>
        <v>783.55341336771517</v>
      </c>
      <c r="CD90" s="59">
        <f ca="1">AVERAGE(OFFSET($CC$3,0,0,'Données projet'!$E$12+1,1))-AVERAGE(OFFSET($H$3,0,0,'Données projet'!$E$12+1,1))</f>
        <v>593.28343396240075</v>
      </c>
      <c r="CE90" s="59">
        <f t="shared" si="94"/>
        <v>289.66477662068695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6.9730773074082073</v>
      </c>
      <c r="CL90" s="21">
        <f>EXP(-LN(2)/25)*CL89+(1-EXP(-LN(2)/25))/(LN(2)/25)*Calculateur!CG90*Calculateur!CI90*VLOOKUP('Données projet'!$B$12,Paramètres!$A$1:$I$89,3,0)*0.475*44/12</f>
        <v>40.961459142038137</v>
      </c>
      <c r="CM90" s="21">
        <f>EXP(-LN(2)/2)*CM89+(1-EXP(-LN(2)/2))/(LN(2)/2)*CG90*CJ90*VLOOKUP('Données projet'!$B$12,Paramètres!$A$1:$I$89,3,0)*0.475*44/12</f>
        <v>3.0992722413954534</v>
      </c>
      <c r="CN90" s="22">
        <f t="shared" si="66"/>
        <v>51.033808690841795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9.1730000000000018</v>
      </c>
      <c r="CT90" s="12">
        <f>IF('Données projet'!$A$140&gt;35,CT89+CS90-DB89,IF(A90&lt;'Données projet'!$A$140,$CQ$205^A90,IF(A90='Données projet'!$A$140,'Données projet'!$B$140,CT89+CS90-DB89)))</f>
        <v>315.91900000000049</v>
      </c>
      <c r="CU90" s="17">
        <f>CT90*VLOOKUP('Données projet'!$B$13,Paramètres!$A$1:$I$89,3,0)*VLOOKUP('Données projet'!$B$13,Paramètres!$A$1:$I$89,5,0)</f>
        <v>340.05521160000052</v>
      </c>
      <c r="CV90" s="13">
        <f t="shared" si="95"/>
        <v>79.511353380118535</v>
      </c>
      <c r="CW90" s="20">
        <f t="shared" si="67"/>
        <v>730.74510067370727</v>
      </c>
      <c r="CX90" s="59">
        <f t="shared" si="68"/>
        <v>1024.0784340070406</v>
      </c>
      <c r="CY90" s="59">
        <f ca="1">AVERAGE(OFFSET($CX$3,0,0,'Données projet'!$E$13+1,1))-AVERAGE(OFFSET($H$3,0,0,'Données projet'!$E$13+1,1))</f>
        <v>747.18304127457918</v>
      </c>
      <c r="CZ90" s="59">
        <f t="shared" si="96"/>
        <v>327.03701004966723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24.70385164457392</v>
      </c>
      <c r="DG90" s="21">
        <f>EXP(-LN(2)/25)*DG89+(1-EXP(-LN(2)/25))/(LN(2)/25)*Calculateur!DB90*Calculateur!DD90*VLOOKUP('Données projet'!$B$13,Paramètres!$A$1:$I$89,3,0)*0.475*44/12</f>
        <v>32.379791267398296</v>
      </c>
      <c r="DH90" s="21">
        <f>EXP(-LN(2)/2)*DH89+(1-EXP(-LN(2)/2))/(LN(2)/2)*DB90*DE90*VLOOKUP('Données projet'!$B$13,Paramètres!$A$1:$I$89,3,0)*0.475*44/12</f>
        <v>2.4564736570169559</v>
      </c>
      <c r="DI90" s="22">
        <f t="shared" si="69"/>
        <v>59.540116568989177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353.37479213497227</v>
      </c>
      <c r="DU90" s="59">
        <f t="shared" si="98"/>
        <v>345.4750813433123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45.253036075106088</v>
      </c>
      <c r="EB90" s="21">
        <f>EXP(-LN(2)/25)*EB89+(1-EXP(-LN(2)/25))/(LN(2)/25)*Calculateur!DW90*Calculateur!DY90*VLOOKUP('Données projet'!$B$14,Paramètres!$A$1:$I$89,3,0)*0.475*44/12</f>
        <v>42.269776873083579</v>
      </c>
      <c r="EC90" s="21">
        <f>EXP(-LN(2)/2)*EC89+(1-EXP(-LN(2)/2))/(LN(2)/2)*DW90*DZ90*VLOOKUP('Données projet'!$B$14,Paramètres!$A$1:$I$89,3,0)*0.475*44/12</f>
        <v>5.5173174392819568</v>
      </c>
      <c r="ED90" s="22">
        <f t="shared" si="72"/>
        <v>93.040130387471621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>
        <f>VLOOKUP(A90,'Données projet'!$A$191:$I$211,2,0)</f>
        <v>528.16</v>
      </c>
      <c r="EH90" s="12">
        <f>VLOOKUP(A90,'Données projet'!$A$191:$I$211,9,0)</f>
        <v>25.887499999999989</v>
      </c>
      <c r="EI90" s="12">
        <f t="array" ref="EI90">INDEX(EH:EH,MIN(IF(ISNUMBER(EH90:EH286),ROW(EH90:EH286),"")))</f>
        <v>25.887499999999989</v>
      </c>
      <c r="EJ90" s="12">
        <f>IF('Données projet'!$A$192&gt;35,EJ89+EI90-ER89,IF(A90&lt;'Données projet'!$A$192,$EG$205^A90,IF(A90='Données projet'!$A$192,'Données projet'!$B$192,EJ89+EI90-ER89)))</f>
        <v>528.1599999999994</v>
      </c>
      <c r="EK90" s="17">
        <f>EJ90*VLOOKUP('Données projet'!$B$15,Paramètres!$A$1:$I$89,3,0)*VLOOKUP('Données projet'!$B$15,Paramètres!$A$1:$I$89,5,0)</f>
        <v>247.17887999999971</v>
      </c>
      <c r="EL90" s="13">
        <f t="shared" si="99"/>
        <v>59.981442040949325</v>
      </c>
      <c r="EM90" s="20">
        <f t="shared" si="73"/>
        <v>534.97089422131955</v>
      </c>
      <c r="EN90" s="59">
        <f t="shared" si="74"/>
        <v>828.30422755465293</v>
      </c>
      <c r="EO90" s="59">
        <f ca="1">AVERAGE(OFFSET($EN$3,0,0,'Données projet'!$E$15+1,1))-AVERAGE(OFFSET($H$3,0,0,'Données projet'!$E$15+1,1))</f>
        <v>433.05041777893922</v>
      </c>
      <c r="EP90" s="59">
        <f t="shared" si="100"/>
        <v>591.24088611958996</v>
      </c>
      <c r="EQ90" s="15">
        <f>IF(ISNA(VLOOKUP(A90,'Données projet'!$A$191:$I$211,3,0)),0,VLOOKUP(A90,'Données projet'!$A$191:$I$211,3,0))</f>
        <v>7</v>
      </c>
      <c r="ER90" s="15">
        <f>IF(ISNA(VLOOKUP(A90,'Données projet'!$A$191:$I$211,4,0)),0,VLOOKUP(A90,'Données projet'!$A$191:$I$211,4,0))</f>
        <v>89.649999999999977</v>
      </c>
      <c r="ES90" s="16">
        <f>IF(ISNA(VLOOKUP(A90,'Données projet'!$A$191:$I$211,5,0)),0%,VLOOKUP(A90,'Données projet'!$A$191:$I$211,5,0)*VLOOKUP('Données projet'!$B$15,Paramètres!$A$1:$I$89,7,0))</f>
        <v>0.33</v>
      </c>
      <c r="ET90" s="16">
        <f>IF(ISNA(VLOOKUP(A90,'Données projet'!$A$191:$I$211,6,0)),0%,VLOOKUP(A90,'Données projet'!$A$191:$I$211,6,0)*VLOOKUP('Données projet'!$B$15,Paramètres!$A$1:$I$89,7,0))</f>
        <v>0.11000000000000001</v>
      </c>
      <c r="EU90" s="16">
        <f>IF(ISNA(VLOOKUP(A90,'Données projet'!$A$191:$I$211,7,0)),0%,VLOOKUP(A90,'Données projet'!$A$191:$I$211,7,0))</f>
        <v>0.2</v>
      </c>
      <c r="EV90" s="21">
        <f>EXP(-LN(2)/35)*EV89+(1-EXP(-LN(2)/35))/(LN(2)/35)*ER90*ES90*VLOOKUP('Données projet'!$B$15,Paramètres!$A$1:$I$89,3,0)*0.475*44/12</f>
        <v>175.84345986596733</v>
      </c>
      <c r="EW90" s="21">
        <f>EXP(-LN(2)/25)*EW89+(1-EXP(-LN(2)/25))/(LN(2)/25)*Calculateur!ER90*Calculateur!ET90*VLOOKUP('Données projet'!$B$15,Paramètres!$A$1:$I$89,3,0)*0.475*44/12</f>
        <v>57.35505002205683</v>
      </c>
      <c r="EX90" s="21">
        <f>EXP(-LN(2)/2)*EX89+(1-EXP(-LN(2)/2))/(LN(2)/2)*ER90*EU90*VLOOKUP('Données projet'!$B$15,Paramètres!$A$1:$I$89,3,0)*0.475*44/12</f>
        <v>12.708913084593437</v>
      </c>
      <c r="EY90" s="22">
        <f t="shared" si="75"/>
        <v>245.90742297261758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1.9230769230769227</v>
      </c>
      <c r="FE90" s="12">
        <f>IF('Données projet'!$A$218&gt;35,FE89+FD90-FM89,IF(A90&lt;'Données projet'!$A$218,$FB$205^A90,IF(A90='Données projet'!$A$218,'Données projet'!$B$218,FE89+FD90-FM89)))</f>
        <v>123.71794871794863</v>
      </c>
      <c r="FF90" s="17">
        <f>FE90*VLOOKUP('Données projet'!$B$16,Paramètres!$A$1:$I$89,3,0)*VLOOKUP('Données projet'!$B$16,Paramètres!$A$1:$I$89,5,0)</f>
        <v>100.35999999999993</v>
      </c>
      <c r="FG90" s="13">
        <f t="shared" si="101"/>
        <v>27.047744638609704</v>
      </c>
      <c r="FH90" s="20">
        <f t="shared" si="76"/>
        <v>221.90182191224508</v>
      </c>
      <c r="FI90" s="59">
        <f t="shared" si="77"/>
        <v>515.23515524557843</v>
      </c>
      <c r="FJ90" s="59">
        <f ca="1">AVERAGE(OFFSET($FI$3,0,0,'Données projet'!$E$16+1,1))-AVERAGE(OFFSET($H$3,0,0,'Données projet'!$E$16+1,1))</f>
        <v>159.4660488566085</v>
      </c>
      <c r="FK90" s="59">
        <f t="shared" si="102"/>
        <v>135.33030558297088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4.0706153045100653</v>
      </c>
      <c r="FS90" s="21">
        <f>EXP(-LN(2)/2)*FS89+(1-EXP(-LN(2)/2))/(LN(2)/2)*FM90*FP90*VLOOKUP('Données projet'!$B$16,Paramètres!$A$1:$I$89,3,0)*0.475*44/12</f>
        <v>0.75815888865725489</v>
      </c>
      <c r="FT90" s="22">
        <f t="shared" si="78"/>
        <v>4.8287741931673205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9.1730000000000018</v>
      </c>
      <c r="N91" s="13">
        <f>IF('Données projet'!$A$36&gt;35,N90+M91-V90,IF(A91&lt;'Données projet'!$A$36,$K$205^A91,IF(A91='Données projet'!$A$36,'Données projet'!$B$36,N90+M91-V90)))</f>
        <v>325.0920000000005</v>
      </c>
      <c r="O91" s="13">
        <f>N91*VLOOKUP('Données projet'!$B$9,Paramètres!$A$1:$I$89,3,0)*VLOOKUP('Données projet'!$B$9,Paramètres!$A$1:$I$89,5,0)</f>
        <v>329.64328800000055</v>
      </c>
      <c r="P91" s="13">
        <f t="shared" si="87"/>
        <v>77.356347018802538</v>
      </c>
      <c r="Q91" s="20">
        <f t="shared" si="54"/>
        <v>708.85769765774864</v>
      </c>
      <c r="R91" s="59">
        <f t="shared" si="55"/>
        <v>1002.191030991082</v>
      </c>
      <c r="S91" s="59">
        <f ca="1">AVERAGE(OFFSET($R$3,0,0,'Données projet'!$E$9+1,1))-AVERAGE(OFFSET($H$3,0,0,'Données projet'!$E$9+1,1))</f>
        <v>706.69239849991595</v>
      </c>
      <c r="T91" s="59">
        <f t="shared" si="88"/>
        <v>310.59887275116529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22.815399591442866</v>
      </c>
      <c r="AA91" s="21">
        <f>EXP(-LN(2)/25)*AA90+(1-EXP(-LN(2)/25))/(LN(2)/25)*Calculateur!V91*Calculateur!X91*VLOOKUP('Données projet'!$B$9,Paramètres!$A$1:$I$89,3,0)*0.475*44/12</f>
        <v>29.668603930533127</v>
      </c>
      <c r="AB91" s="21">
        <f>EXP(-LN(2)/2)*AB90+(1-EXP(-LN(2)/2))/(LN(2)/2)*V91*Y91*VLOOKUP('Données projet'!$B$9,Paramètres!$A$1:$I$89,3,0)*0.475*44/12</f>
        <v>1.6362941557156885</v>
      </c>
      <c r="AC91" s="22">
        <f t="shared" si="57"/>
        <v>54.120297677691681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1.7948717948717956</v>
      </c>
      <c r="AI91" s="13">
        <f>IF('Données projet'!$A$62&gt;35,AI90+AH91-AQ90,IF(A91&lt;'Données projet'!$A$62,$AF$205^A91,IF(A91='Données projet'!$A$62,'Données projet'!$B$62,AI90+AH91-AQ90)))</f>
        <v>134.23076923076917</v>
      </c>
      <c r="AJ91" s="13">
        <f>AI91*VLOOKUP('Données projet'!$B$10,Paramètres!$A$1:$I$89,3,0)*VLOOKUP('Données projet'!$B$10,Paramètres!$A$1:$I$89,5,0)</f>
        <v>140.29799999999997</v>
      </c>
      <c r="AK91" s="13">
        <f t="shared" si="89"/>
        <v>36.365264659858738</v>
      </c>
      <c r="AL91" s="20">
        <f t="shared" si="58"/>
        <v>307.68851928258727</v>
      </c>
      <c r="AM91" s="59">
        <f t="shared" si="59"/>
        <v>601.02185261592058</v>
      </c>
      <c r="AN91" s="59">
        <f ca="1">AVERAGE(OFFSET($AM$3,0,0,'Données projet'!$E$10+1,1))-AVERAGE(OFFSET($H$3,0,0,'Données projet'!$E$10+1,1))</f>
        <v>239.26156489359892</v>
      </c>
      <c r="AO91" s="59">
        <f t="shared" si="90"/>
        <v>213.97034450798111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1.5096746992654508</v>
      </c>
      <c r="AV91" s="21">
        <f>EXP(-LN(2)/25)*AV90+(1-EXP(-LN(2)/25))/(LN(2)/25)*Calculateur!AQ91*Calculateur!AS91*VLOOKUP('Données projet'!$B$10,Paramètres!$A$1:$I$89,3,0)*0.475*44/12</f>
        <v>14.375182335111747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15.884857034377198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-1.7053025658242404E-13</v>
      </c>
      <c r="BE91" s="13">
        <f>BD91*VLOOKUP('Données projet'!$B$11,Paramètres!$A$1:$I$89,3,0)*VLOOKUP('Données projet'!$B$11,Paramètres!$A$1:$I$89,5,0)</f>
        <v>-1.4897523215040567E-13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324.86930206492627</v>
      </c>
      <c r="BJ91" s="59">
        <f t="shared" si="92"/>
        <v>317.03005098025352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39.324520020336621</v>
      </c>
      <c r="BQ91" s="21">
        <f>EXP(-LN(2)/25)*BQ90+(1-EXP(-LN(2)/25))/(LN(2)/25)*Calculateur!BL91*Calculateur!BN91*VLOOKUP('Données projet'!$B$11,Paramètres!$A$1:$I$89,3,0)*0.475*44/12</f>
        <v>37.261939869458431</v>
      </c>
      <c r="BR91" s="21">
        <f>EXP(-LN(2)/2)*BR90+(1-EXP(-LN(2)/2))/(LN(2)/2)*BL91*BO91*VLOOKUP('Données projet'!$B$11,Paramètres!$A$1:$I$89,3,0)*0.475*44/12</f>
        <v>3.5672505637083773</v>
      </c>
      <c r="BS91" s="22">
        <f t="shared" si="63"/>
        <v>80.153710453503436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6.7600000000000007</v>
      </c>
      <c r="BY91" s="12">
        <f>IF('Données projet'!$A$114&gt;35,BY90+BX91-CG90,IF(A91&lt;'Données projet'!$A$114,$BV$205^A91,IF(A91='Données projet'!$A$114,'Données projet'!$B$114,BY90+BX91-CG90)))</f>
        <v>205.24999999999994</v>
      </c>
      <c r="BZ91" s="13">
        <f>BY91*VLOOKUP('Données projet'!$B$12,Paramètres!$A$1:$I$89,3,0)*VLOOKUP('Données projet'!$B$12,Paramètres!$A$1:$I$89,5,0)</f>
        <v>233.73869999999994</v>
      </c>
      <c r="CA91" s="13">
        <f t="shared" si="93"/>
        <v>57.090315684407514</v>
      </c>
      <c r="CB91" s="20">
        <f t="shared" si="64"/>
        <v>506.52720231700965</v>
      </c>
      <c r="CC91" s="59">
        <f t="shared" si="65"/>
        <v>799.86053565034297</v>
      </c>
      <c r="CD91" s="59">
        <f ca="1">AVERAGE(OFFSET($CC$3,0,0,'Données projet'!$E$12+1,1))-AVERAGE(OFFSET($H$3,0,0,'Données projet'!$E$12+1,1))</f>
        <v>593.28343396240075</v>
      </c>
      <c r="CE91" s="59">
        <f t="shared" si="94"/>
        <v>289.66477662068695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6.8363395145671255</v>
      </c>
      <c r="CL91" s="21">
        <f>EXP(-LN(2)/25)*CL90+(1-EXP(-LN(2)/25))/(LN(2)/25)*Calculateur!CG91*Calculateur!CI91*VLOOKUP('Données projet'!$B$12,Paramètres!$A$1:$I$89,3,0)*0.475*44/12</f>
        <v>39.841365887729587</v>
      </c>
      <c r="CM91" s="21">
        <f>EXP(-LN(2)/2)*CM90+(1-EXP(-LN(2)/2))/(LN(2)/2)*CG91*CJ91*VLOOKUP('Données projet'!$B$12,Paramètres!$A$1:$I$89,3,0)*0.475*44/12</f>
        <v>2.1915164186339555</v>
      </c>
      <c r="CN91" s="22">
        <f t="shared" si="66"/>
        <v>48.869221820930662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9.1730000000000018</v>
      </c>
      <c r="CT91" s="12">
        <f>IF('Données projet'!$A$140&gt;35,CT90+CS91-DB90,IF(A91&lt;'Données projet'!$A$140,$CQ$205^A91,IF(A91='Données projet'!$A$140,'Données projet'!$B$140,CT90+CS91-DB90)))</f>
        <v>325.0920000000005</v>
      </c>
      <c r="CU91" s="17">
        <f>CT91*VLOOKUP('Données projet'!$B$13,Paramètres!$A$1:$I$89,3,0)*VLOOKUP('Données projet'!$B$13,Paramètres!$A$1:$I$89,5,0)</f>
        <v>349.92902880000048</v>
      </c>
      <c r="CV91" s="13">
        <f t="shared" si="95"/>
        <v>81.547897358426013</v>
      </c>
      <c r="CW91" s="20">
        <f t="shared" si="67"/>
        <v>751.48897972592613</v>
      </c>
      <c r="CX91" s="59">
        <f t="shared" si="68"/>
        <v>1044.8223130592594</v>
      </c>
      <c r="CY91" s="59">
        <f ca="1">AVERAGE(OFFSET($CX$3,0,0,'Données projet'!$E$13+1,1))-AVERAGE(OFFSET($H$3,0,0,'Données projet'!$E$13+1,1))</f>
        <v>747.18304127457918</v>
      </c>
      <c r="CZ91" s="59">
        <f t="shared" si="96"/>
        <v>327.03701004966723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24.2194241816855</v>
      </c>
      <c r="DG91" s="21">
        <f>EXP(-LN(2)/25)*DG90+(1-EXP(-LN(2)/25))/(LN(2)/25)*Calculateur!DB91*Calculateur!DD91*VLOOKUP('Données projet'!$B$13,Paramètres!$A$1:$I$89,3,0)*0.475*44/12</f>
        <v>31.494364172412073</v>
      </c>
      <c r="DH91" s="21">
        <f>EXP(-LN(2)/2)*DH90+(1-EXP(-LN(2)/2))/(LN(2)/2)*DB91*DE91*VLOOKUP('Données projet'!$B$13,Paramètres!$A$1:$I$89,3,0)*0.475*44/12</f>
        <v>1.7369891806828068</v>
      </c>
      <c r="DI91" s="22">
        <f t="shared" si="69"/>
        <v>57.450777534780379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353.37479213497227</v>
      </c>
      <c r="DU91" s="59">
        <f t="shared" si="98"/>
        <v>345.4750813433123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44.365651639299827</v>
      </c>
      <c r="EB91" s="21">
        <f>EXP(-LN(2)/25)*EB90+(1-EXP(-LN(2)/25))/(LN(2)/25)*Calculateur!DW91*Calculateur!DY91*VLOOKUP('Données projet'!$B$14,Paramètres!$A$1:$I$89,3,0)*0.475*44/12</f>
        <v>41.113907601618152</v>
      </c>
      <c r="EC91" s="21">
        <f>EXP(-LN(2)/2)*EC90+(1-EXP(-LN(2)/2))/(LN(2)/2)*DW91*DZ91*VLOOKUP('Données projet'!$B$14,Paramètres!$A$1:$I$89,3,0)*0.475*44/12</f>
        <v>3.9013325752750698</v>
      </c>
      <c r="ED91" s="22">
        <f t="shared" si="72"/>
        <v>89.380891816193042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23.302500000000009</v>
      </c>
      <c r="EJ91" s="12">
        <f>IF('Données projet'!$A$192&gt;35,EJ90+EI91-ER90,IF(A91&lt;'Données projet'!$A$192,$EG$205^A91,IF(A91='Données projet'!$A$192,'Données projet'!$B$192,EJ90+EI91-ER90)))</f>
        <v>461.81249999999943</v>
      </c>
      <c r="EK91" s="17">
        <f>EJ91*VLOOKUP('Données projet'!$B$15,Paramètres!$A$1:$I$89,3,0)*VLOOKUP('Données projet'!$B$15,Paramètres!$A$1:$I$89,5,0)</f>
        <v>216.12824999999975</v>
      </c>
      <c r="EL91" s="13">
        <f t="shared" si="99"/>
        <v>53.272512374225961</v>
      </c>
      <c r="EM91" s="20">
        <f t="shared" si="73"/>
        <v>469.20632780177647</v>
      </c>
      <c r="EN91" s="59">
        <f t="shared" si="74"/>
        <v>762.53966113510978</v>
      </c>
      <c r="EO91" s="59">
        <f ca="1">AVERAGE(OFFSET($EN$3,0,0,'Données projet'!$E$15+1,1))-AVERAGE(OFFSET($H$3,0,0,'Données projet'!$E$15+1,1))</f>
        <v>433.05041777893922</v>
      </c>
      <c r="EP91" s="59">
        <f t="shared" si="100"/>
        <v>591.24088611958996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172.3952768719158</v>
      </c>
      <c r="EW91" s="21">
        <f>EXP(-LN(2)/25)*EW90+(1-EXP(-LN(2)/25))/(LN(2)/25)*Calculateur!ER91*Calculateur!ET91*VLOOKUP('Données projet'!$B$15,Paramètres!$A$1:$I$89,3,0)*0.475*44/12</f>
        <v>55.786673163032688</v>
      </c>
      <c r="EX91" s="21">
        <f>EXP(-LN(2)/2)*EX90+(1-EXP(-LN(2)/2))/(LN(2)/2)*ER91*EU91*VLOOKUP('Données projet'!$B$15,Paramètres!$A$1:$I$89,3,0)*0.475*44/12</f>
        <v>8.986558623626463</v>
      </c>
      <c r="EY91" s="22">
        <f t="shared" si="75"/>
        <v>237.16850865857495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1.9230769230769227</v>
      </c>
      <c r="FE91" s="12">
        <f>IF('Données projet'!$A$218&gt;35,FE90+FD91-FM90,IF(A91&lt;'Données projet'!$A$218,$FB$205^A91,IF(A91='Données projet'!$A$218,'Données projet'!$B$218,FE90+FD91-FM90)))</f>
        <v>125.64102564102555</v>
      </c>
      <c r="FF91" s="17">
        <f>FE91*VLOOKUP('Données projet'!$B$16,Paramètres!$A$1:$I$89,3,0)*VLOOKUP('Données projet'!$B$16,Paramètres!$A$1:$I$89,5,0)</f>
        <v>101.91999999999993</v>
      </c>
      <c r="FG91" s="13">
        <f t="shared" si="101"/>
        <v>27.418903555387619</v>
      </c>
      <c r="FH91" s="20">
        <f t="shared" si="76"/>
        <v>225.2652570256333</v>
      </c>
      <c r="FI91" s="59">
        <f t="shared" si="77"/>
        <v>518.59859035896659</v>
      </c>
      <c r="FJ91" s="59">
        <f ca="1">AVERAGE(OFFSET($FI$3,0,0,'Données projet'!$E$16+1,1))-AVERAGE(OFFSET($H$3,0,0,'Données projet'!$E$16+1,1))</f>
        <v>159.4660488566085</v>
      </c>
      <c r="FK91" s="59">
        <f t="shared" si="102"/>
        <v>135.33030558297088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3.9593041149438823</v>
      </c>
      <c r="FS91" s="21">
        <f>EXP(-LN(2)/2)*FS90+(1-EXP(-LN(2)/2))/(LN(2)/2)*FM91*FP91*VLOOKUP('Données projet'!$B$16,Paramètres!$A$1:$I$89,3,0)*0.475*44/12</f>
        <v>0.53609929138640167</v>
      </c>
      <c r="FT91" s="22">
        <f t="shared" si="78"/>
        <v>4.4954034063302837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9.1730000000000018</v>
      </c>
      <c r="N92" s="13">
        <f>IF('Données projet'!$A$36&gt;35,N91+M92-V91,IF(A92&lt;'Données projet'!$A$36,$K$205^A92,IF(A92='Données projet'!$A$36,'Données projet'!$B$36,N91+M92-V91)))</f>
        <v>334.2650000000005</v>
      </c>
      <c r="O92" s="13">
        <f>N92*VLOOKUP('Données projet'!$B$9,Paramètres!$A$1:$I$89,3,0)*VLOOKUP('Données projet'!$B$9,Paramètres!$A$1:$I$89,5,0)</f>
        <v>338.9447100000005</v>
      </c>
      <c r="P92" s="13">
        <f t="shared" si="87"/>
        <v>79.281877395777414</v>
      </c>
      <c r="Q92" s="20">
        <f t="shared" si="54"/>
        <v>728.41130638097991</v>
      </c>
      <c r="R92" s="59">
        <f t="shared" si="55"/>
        <v>1021.7446397143133</v>
      </c>
      <c r="S92" s="59">
        <f ca="1">AVERAGE(OFFSET($R$3,0,0,'Données projet'!$E$9+1,1))-AVERAGE(OFFSET($H$3,0,0,'Données projet'!$E$9+1,1))</f>
        <v>706.69239849991595</v>
      </c>
      <c r="T92" s="59">
        <f t="shared" si="88"/>
        <v>310.59887275116529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22.368003521474328</v>
      </c>
      <c r="AA92" s="21">
        <f>EXP(-LN(2)/25)*AA91+(1-EXP(-LN(2)/25))/(LN(2)/25)*Calculateur!V92*Calculateur!X92*VLOOKUP('Données projet'!$B$9,Paramètres!$A$1:$I$89,3,0)*0.475*44/12</f>
        <v>28.857314395848626</v>
      </c>
      <c r="AB92" s="21">
        <f>EXP(-LN(2)/2)*AB91+(1-EXP(-LN(2)/2))/(LN(2)/2)*V92*Y92*VLOOKUP('Données projet'!$B$9,Paramètres!$A$1:$I$89,3,0)*0.475*44/12</f>
        <v>1.15703469352248</v>
      </c>
      <c r="AC92" s="22">
        <f t="shared" si="57"/>
        <v>52.382352610845437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1.7948717948717956</v>
      </c>
      <c r="AI92" s="13">
        <f>IF('Données projet'!$A$62&gt;35,AI91+AH92-AQ91,IF(A92&lt;'Données projet'!$A$62,$AF$205^A92,IF(A92='Données projet'!$A$62,'Données projet'!$B$62,AI91+AH92-AQ91)))</f>
        <v>136.02564102564097</v>
      </c>
      <c r="AJ92" s="13">
        <f>AI92*VLOOKUP('Données projet'!$B$10,Paramètres!$A$1:$I$89,3,0)*VLOOKUP('Données projet'!$B$10,Paramètres!$A$1:$I$89,5,0)</f>
        <v>142.17399999999995</v>
      </c>
      <c r="AK92" s="13">
        <f t="shared" si="89"/>
        <v>36.794590842933211</v>
      </c>
      <c r="AL92" s="20">
        <f t="shared" si="58"/>
        <v>311.70362905144191</v>
      </c>
      <c r="AM92" s="59">
        <f t="shared" si="59"/>
        <v>605.03696238477528</v>
      </c>
      <c r="AN92" s="59">
        <f ca="1">AVERAGE(OFFSET($AM$3,0,0,'Données projet'!$E$10+1,1))-AVERAGE(OFFSET($H$3,0,0,'Données projet'!$E$10+1,1))</f>
        <v>239.26156489359892</v>
      </c>
      <c r="AO92" s="59">
        <f t="shared" si="90"/>
        <v>213.97034450798111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1.4800708992234994</v>
      </c>
      <c r="AV92" s="21">
        <f>EXP(-LN(2)/25)*AV91+(1-EXP(-LN(2)/25))/(LN(2)/25)*Calculateur!AQ92*Calculateur!AS92*VLOOKUP('Données projet'!$B$10,Paramètres!$A$1:$I$89,3,0)*0.475*44/12</f>
        <v>13.982092218200131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15.46216311742363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-1.7053025658242404E-13</v>
      </c>
      <c r="BE92" s="13">
        <f>BD92*VLOOKUP('Données projet'!$B$11,Paramètres!$A$1:$I$89,3,0)*VLOOKUP('Données projet'!$B$11,Paramètres!$A$1:$I$89,5,0)</f>
        <v>-1.4897523215040567E-13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324.86930206492627</v>
      </c>
      <c r="BJ92" s="59">
        <f t="shared" si="92"/>
        <v>317.03005098025352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38.553390168326651</v>
      </c>
      <c r="BQ92" s="21">
        <f>EXP(-LN(2)/25)*BQ91+(1-EXP(-LN(2)/25))/(LN(2)/25)*Calculateur!BL92*Calculateur!BN92*VLOOKUP('Données projet'!$B$11,Paramètres!$A$1:$I$89,3,0)*0.475*44/12</f>
        <v>36.243010164207838</v>
      </c>
      <c r="BR92" s="21">
        <f>EXP(-LN(2)/2)*BR91+(1-EXP(-LN(2)/2))/(LN(2)/2)*BL92*BO92*VLOOKUP('Données projet'!$B$11,Paramètres!$A$1:$I$89,3,0)*0.475*44/12</f>
        <v>2.5224270637897281</v>
      </c>
      <c r="BS92" s="22">
        <f t="shared" si="63"/>
        <v>77.318827396324224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6.7600000000000007</v>
      </c>
      <c r="BY92" s="12">
        <f>IF('Données projet'!$A$114&gt;35,BY91+BX92-CG91,IF(A92&lt;'Données projet'!$A$114,$BV$205^A92,IF(A92='Données projet'!$A$114,'Données projet'!$B$114,BY91+BX92-CG91)))</f>
        <v>212.00999999999993</v>
      </c>
      <c r="BZ92" s="13">
        <f>BY92*VLOOKUP('Données projet'!$B$12,Paramètres!$A$1:$I$89,3,0)*VLOOKUP('Données projet'!$B$12,Paramètres!$A$1:$I$89,5,0)</f>
        <v>241.43698799999993</v>
      </c>
      <c r="CA92" s="13">
        <f t="shared" si="93"/>
        <v>58.748597951768716</v>
      </c>
      <c r="CB92" s="20">
        <f t="shared" si="64"/>
        <v>522.82322886599707</v>
      </c>
      <c r="CC92" s="59">
        <f t="shared" si="65"/>
        <v>816.15656219933044</v>
      </c>
      <c r="CD92" s="59">
        <f ca="1">AVERAGE(OFFSET($CC$3,0,0,'Données projet'!$E$12+1,1))-AVERAGE(OFFSET($H$3,0,0,'Données projet'!$E$12+1,1))</f>
        <v>593.28343396240075</v>
      </c>
      <c r="CE92" s="59">
        <f t="shared" si="94"/>
        <v>289.66477662068695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6.7022830664418391</v>
      </c>
      <c r="CL92" s="21">
        <f>EXP(-LN(2)/25)*CL91+(1-EXP(-LN(2)/25))/(LN(2)/25)*Calculateur!CG92*Calculateur!CI92*VLOOKUP('Données projet'!$B$12,Paramètres!$A$1:$I$89,3,0)*0.475*44/12</f>
        <v>38.751901642363251</v>
      </c>
      <c r="CM92" s="21">
        <f>EXP(-LN(2)/2)*CM91+(1-EXP(-LN(2)/2))/(LN(2)/2)*CG92*CJ92*VLOOKUP('Données projet'!$B$12,Paramètres!$A$1:$I$89,3,0)*0.475*44/12</f>
        <v>1.5496361206977267</v>
      </c>
      <c r="CN92" s="22">
        <f t="shared" si="66"/>
        <v>47.003820829502814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9.1730000000000018</v>
      </c>
      <c r="CT92" s="12">
        <f>IF('Données projet'!$A$140&gt;35,CT91+CS92-DB91,IF(A92&lt;'Données projet'!$A$140,$CQ$205^A92,IF(A92='Données projet'!$A$140,'Données projet'!$B$140,CT91+CS92-DB91)))</f>
        <v>334.2650000000005</v>
      </c>
      <c r="CU92" s="17">
        <f>CT92*VLOOKUP('Données projet'!$B$13,Paramètres!$A$1:$I$89,3,0)*VLOOKUP('Données projet'!$B$13,Paramètres!$A$1:$I$89,5,0)</f>
        <v>359.8028460000005</v>
      </c>
      <c r="CV92" s="13">
        <f t="shared" si="95"/>
        <v>83.577762516147487</v>
      </c>
      <c r="CW92" s="20">
        <f t="shared" si="67"/>
        <v>772.22122649895766</v>
      </c>
      <c r="CX92" s="59">
        <f t="shared" si="68"/>
        <v>1065.554559832291</v>
      </c>
      <c r="CY92" s="59">
        <f ca="1">AVERAGE(OFFSET($CX$3,0,0,'Données projet'!$E$13+1,1))-AVERAGE(OFFSET($H$3,0,0,'Données projet'!$E$13+1,1))</f>
        <v>747.18304127457918</v>
      </c>
      <c r="CZ92" s="59">
        <f t="shared" si="96"/>
        <v>327.03701004966723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23.744496045872747</v>
      </c>
      <c r="DG92" s="21">
        <f>EXP(-LN(2)/25)*DG91+(1-EXP(-LN(2)/25))/(LN(2)/25)*Calculateur!DB92*Calculateur!DD92*VLOOKUP('Données projet'!$B$13,Paramètres!$A$1:$I$89,3,0)*0.475*44/12</f>
        <v>30.633149127900836</v>
      </c>
      <c r="DH92" s="21">
        <f>EXP(-LN(2)/2)*DH91+(1-EXP(-LN(2)/2))/(LN(2)/2)*DB92*DE92*VLOOKUP('Données projet'!$B$13,Paramètres!$A$1:$I$89,3,0)*0.475*44/12</f>
        <v>1.2282368285084779</v>
      </c>
      <c r="DI92" s="22">
        <f t="shared" si="69"/>
        <v>55.605882002282065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353.37479213497227</v>
      </c>
      <c r="DU92" s="59">
        <f t="shared" si="98"/>
        <v>345.4750813433123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43.49566827102867</v>
      </c>
      <c r="EB92" s="21">
        <f>EXP(-LN(2)/25)*EB91+(1-EXP(-LN(2)/25))/(LN(2)/25)*Calculateur!DW92*Calculateur!DY92*VLOOKUP('Données projet'!$B$14,Paramètres!$A$1:$I$89,3,0)*0.475*44/12</f>
        <v>39.98964563616547</v>
      </c>
      <c r="EC92" s="21">
        <f>EXP(-LN(2)/2)*EC91+(1-EXP(-LN(2)/2))/(LN(2)/2)*DW92*DZ92*VLOOKUP('Données projet'!$B$14,Paramètres!$A$1:$I$89,3,0)*0.475*44/12</f>
        <v>2.7586587196409789</v>
      </c>
      <c r="ED92" s="22">
        <f t="shared" si="72"/>
        <v>86.243972626835117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23.302500000000009</v>
      </c>
      <c r="EJ92" s="12">
        <f>IF('Données projet'!$A$192&gt;35,EJ91+EI92-ER91,IF(A92&lt;'Données projet'!$A$192,$EG$205^A92,IF(A92='Données projet'!$A$192,'Données projet'!$B$192,EJ91+EI92-ER91)))</f>
        <v>485.11499999999944</v>
      </c>
      <c r="EK92" s="17">
        <f>EJ92*VLOOKUP('Données projet'!$B$15,Paramètres!$A$1:$I$89,3,0)*VLOOKUP('Données projet'!$B$15,Paramètres!$A$1:$I$89,5,0)</f>
        <v>227.03381999999976</v>
      </c>
      <c r="EL92" s="13">
        <f t="shared" si="99"/>
        <v>55.64084035440893</v>
      </c>
      <c r="EM92" s="20">
        <f t="shared" si="73"/>
        <v>492.32503345059513</v>
      </c>
      <c r="EN92" s="59">
        <f t="shared" si="74"/>
        <v>785.65836678392839</v>
      </c>
      <c r="EO92" s="59">
        <f ca="1">AVERAGE(OFFSET($EN$3,0,0,'Données projet'!$E$15+1,1))-AVERAGE(OFFSET($H$3,0,0,'Données projet'!$E$15+1,1))</f>
        <v>433.05041777893922</v>
      </c>
      <c r="EP92" s="59">
        <f t="shared" si="100"/>
        <v>591.24088611958996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169.01471064319364</v>
      </c>
      <c r="EW92" s="21">
        <f>EXP(-LN(2)/25)*EW91+(1-EXP(-LN(2)/25))/(LN(2)/25)*Calculateur!ER92*Calculateur!ET92*VLOOKUP('Données projet'!$B$15,Paramètres!$A$1:$I$89,3,0)*0.475*44/12</f>
        <v>54.261183651695923</v>
      </c>
      <c r="EX92" s="21">
        <f>EXP(-LN(2)/2)*EX91+(1-EXP(-LN(2)/2))/(LN(2)/2)*ER92*EU92*VLOOKUP('Données projet'!$B$15,Paramètres!$A$1:$I$89,3,0)*0.475*44/12</f>
        <v>6.3544565422967194</v>
      </c>
      <c r="EY92" s="22">
        <f t="shared" si="75"/>
        <v>229.63035083718628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1.9230769230769227</v>
      </c>
      <c r="FE92" s="12">
        <f>IF('Données projet'!$A$218&gt;35,FE91+FD92-FM91,IF(A92&lt;'Données projet'!$A$218,$FB$205^A92,IF(A92='Données projet'!$A$218,'Données projet'!$B$218,FE91+FD92-FM91)))</f>
        <v>127.56410256410247</v>
      </c>
      <c r="FF92" s="17">
        <f>FE92*VLOOKUP('Données projet'!$B$16,Paramètres!$A$1:$I$89,3,0)*VLOOKUP('Données projet'!$B$16,Paramètres!$A$1:$I$89,5,0)</f>
        <v>103.47999999999993</v>
      </c>
      <c r="FG92" s="13">
        <f t="shared" si="101"/>
        <v>27.789401764762509</v>
      </c>
      <c r="FH92" s="20">
        <f t="shared" si="76"/>
        <v>228.62754140696123</v>
      </c>
      <c r="FI92" s="59">
        <f t="shared" si="77"/>
        <v>521.96087474029457</v>
      </c>
      <c r="FJ92" s="59">
        <f ca="1">AVERAGE(OFFSET($FI$3,0,0,'Données projet'!$E$16+1,1))-AVERAGE(OFFSET($H$3,0,0,'Données projet'!$E$16+1,1))</f>
        <v>159.4660488566085</v>
      </c>
      <c r="FK92" s="59">
        <f t="shared" si="102"/>
        <v>135.33030558297088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3.8510367357099877</v>
      </c>
      <c r="FS92" s="21">
        <f>EXP(-LN(2)/2)*FS91+(1-EXP(-LN(2)/2))/(LN(2)/2)*FM92*FP92*VLOOKUP('Données projet'!$B$16,Paramètres!$A$1:$I$89,3,0)*0.475*44/12</f>
        <v>0.37907944432862756</v>
      </c>
      <c r="FT92" s="22">
        <f t="shared" si="78"/>
        <v>4.2301161800386149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9.1730000000000018</v>
      </c>
      <c r="N93" s="13">
        <f>IF('Données projet'!$A$36&gt;35,N92+M93-V92,IF(A93&lt;'Données projet'!$A$36,$K$205^A93,IF(A93='Données projet'!$A$36,'Données projet'!$B$36,N92+M93-V92)))</f>
        <v>343.4380000000005</v>
      </c>
      <c r="O93" s="13">
        <f>N93*VLOOKUP('Données projet'!$B$9,Paramètres!$A$1:$I$89,3,0)*VLOOKUP('Données projet'!$B$9,Paramètres!$A$1:$I$89,5,0)</f>
        <v>348.24613200000056</v>
      </c>
      <c r="P93" s="13">
        <f t="shared" si="87"/>
        <v>81.201266081189317</v>
      </c>
      <c r="Q93" s="20">
        <f t="shared" si="54"/>
        <v>747.95421832473903</v>
      </c>
      <c r="R93" s="59">
        <f t="shared" si="55"/>
        <v>1041.2875516580723</v>
      </c>
      <c r="S93" s="59">
        <f ca="1">AVERAGE(OFFSET($R$3,0,0,'Données projet'!$E$9+1,1))-AVERAGE(OFFSET($H$3,0,0,'Données projet'!$E$9+1,1))</f>
        <v>706.69239849991595</v>
      </c>
      <c r="T93" s="59">
        <f t="shared" si="88"/>
        <v>310.59887275116529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21.929380615553217</v>
      </c>
      <c r="AA93" s="21">
        <f>EXP(-LN(2)/25)*AA92+(1-EXP(-LN(2)/25))/(LN(2)/25)*Calculateur!V93*Calculateur!X93*VLOOKUP('Données projet'!$B$9,Paramètres!$A$1:$I$89,3,0)*0.475*44/12</f>
        <v>28.068209616153936</v>
      </c>
      <c r="AB93" s="21">
        <f>EXP(-LN(2)/2)*AB92+(1-EXP(-LN(2)/2))/(LN(2)/2)*V93*Y93*VLOOKUP('Données projet'!$B$9,Paramètres!$A$1:$I$89,3,0)*0.475*44/12</f>
        <v>0.81814707785784435</v>
      </c>
      <c r="AC93" s="22">
        <f t="shared" si="57"/>
        <v>50.815737309564994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137.82051282051282</v>
      </c>
      <c r="AG93" s="12">
        <f>VLOOKUP(A93,'Données projet'!$A$61:$I$81,9,0)</f>
        <v>1.7948717948717956</v>
      </c>
      <c r="AH93" s="12">
        <f t="array" ref="AH93">INDEX(AG:AG,MIN(IF(ISNUMBER(AG93:AG289),ROW(AG93:AG289),"")))</f>
        <v>1.7948717948717956</v>
      </c>
      <c r="AI93" s="13">
        <f>IF('Données projet'!$A$62&gt;35,AI92+AH93-AQ92,IF(A93&lt;'Données projet'!$A$62,$AF$205^A93,IF(A93='Données projet'!$A$62,'Données projet'!$B$62,AI92+AH93-AQ92)))</f>
        <v>137.82051282051276</v>
      </c>
      <c r="AJ93" s="13">
        <f>AI93*VLOOKUP('Données projet'!$B$10,Paramètres!$A$1:$I$89,3,0)*VLOOKUP('Données projet'!$B$10,Paramètres!$A$1:$I$89,5,0)</f>
        <v>144.04999999999995</v>
      </c>
      <c r="AK93" s="13">
        <f t="shared" si="89"/>
        <v>37.223258105752187</v>
      </c>
      <c r="AL93" s="20">
        <f t="shared" si="58"/>
        <v>315.71759120085159</v>
      </c>
      <c r="AM93" s="59">
        <f t="shared" si="59"/>
        <v>609.0509245341849</v>
      </c>
      <c r="AN93" s="59">
        <f ca="1">AVERAGE(OFFSET($AM$3,0,0,'Données projet'!$E$10+1,1))-AVERAGE(OFFSET($H$3,0,0,'Données projet'!$E$10+1,1))</f>
        <v>239.26156489359892</v>
      </c>
      <c r="AO93" s="59">
        <f t="shared" si="90"/>
        <v>213.97034450798111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6.4102564102564097</v>
      </c>
      <c r="AR93" s="16">
        <f>IF(ISNA(VLOOKUP(A93,'Données projet'!$A$61:$I$81,5,0)),0%,VLOOKUP(A93,'Données projet'!$A$61:$I$81,5,0)*VLOOKUP('Données projet'!$B$10,Paramètres!$A$1:$I$89,7,0))</f>
        <v>4.3000000000000003E-2</v>
      </c>
      <c r="AS93" s="16">
        <f>IF(ISNA(VLOOKUP(A93,'Données projet'!$A$61:$I$81,6,0)),0%,VLOOKUP(A93,'Données projet'!$A$61:$I$81,6,0)*VLOOKUP('Données projet'!$B$10,Paramètres!$A$1:$I$89,7,0))</f>
        <v>0.215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1.7695336279872784</v>
      </c>
      <c r="AV93" s="21">
        <f>EXP(-LN(2)/25)*AV92+(1-EXP(-LN(2)/25))/(LN(2)/25)*Calculateur!AQ93*Calculateur!AS93*VLOOKUP('Données projet'!$B$10,Paramètres!$A$1:$I$89,3,0)*0.475*44/12</f>
        <v>15.185911248929239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16.955444876916516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-1.7053025658242404E-13</v>
      </c>
      <c r="BE93" s="13">
        <f>BD93*VLOOKUP('Données projet'!$B$11,Paramètres!$A$1:$I$89,3,0)*VLOOKUP('Données projet'!$B$11,Paramètres!$A$1:$I$89,5,0)</f>
        <v>-1.4897523215040567E-13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324.86930206492627</v>
      </c>
      <c r="BJ93" s="59">
        <f t="shared" si="92"/>
        <v>317.03005098025352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37.79738170237183</v>
      </c>
      <c r="BQ93" s="21">
        <f>EXP(-LN(2)/25)*BQ92+(1-EXP(-LN(2)/25))/(LN(2)/25)*Calculateur!BL93*Calculateur!BN93*VLOOKUP('Données projet'!$B$11,Paramètres!$A$1:$I$89,3,0)*0.475*44/12</f>
        <v>35.251943145330507</v>
      </c>
      <c r="BR93" s="21">
        <f>EXP(-LN(2)/2)*BR92+(1-EXP(-LN(2)/2))/(LN(2)/2)*BL93*BO93*VLOOKUP('Données projet'!$B$11,Paramètres!$A$1:$I$89,3,0)*0.475*44/12</f>
        <v>1.7836252818541889</v>
      </c>
      <c r="BS93" s="22">
        <f t="shared" si="63"/>
        <v>74.832950129556522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6.7600000000000007</v>
      </c>
      <c r="BY93" s="12">
        <f>IF('Données projet'!$A$114&gt;35,BY92+BX93-CG92,IF(A93&lt;'Données projet'!$A$114,$BV$205^A93,IF(A93='Données projet'!$A$114,'Données projet'!$B$114,BY92+BX93-CG92)))</f>
        <v>218.76999999999992</v>
      </c>
      <c r="BZ93" s="13">
        <f>BY93*VLOOKUP('Données projet'!$B$12,Paramètres!$A$1:$I$89,3,0)*VLOOKUP('Données projet'!$B$12,Paramètres!$A$1:$I$89,5,0)</f>
        <v>249.13527599999992</v>
      </c>
      <c r="CA93" s="13">
        <f t="shared" si="93"/>
        <v>60.4007358986577</v>
      </c>
      <c r="CB93" s="20">
        <f t="shared" si="64"/>
        <v>539.10855405682867</v>
      </c>
      <c r="CC93" s="59">
        <f t="shared" si="65"/>
        <v>832.44188739016204</v>
      </c>
      <c r="CD93" s="59">
        <f ca="1">AVERAGE(OFFSET($CC$3,0,0,'Données projet'!$E$12+1,1))-AVERAGE(OFFSET($H$3,0,0,'Données projet'!$E$12+1,1))</f>
        <v>593.28343396240075</v>
      </c>
      <c r="CE93" s="59">
        <f t="shared" si="94"/>
        <v>289.66477662068695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6.5708553834979302</v>
      </c>
      <c r="CL93" s="21">
        <f>EXP(-LN(2)/25)*CL92+(1-EXP(-LN(2)/25))/(LN(2)/25)*Calculateur!CG93*Calculateur!CI93*VLOOKUP('Données projet'!$B$12,Paramètres!$A$1:$I$89,3,0)*0.475*44/12</f>
        <v>37.692228854078891</v>
      </c>
      <c r="CM93" s="21">
        <f>EXP(-LN(2)/2)*CM92+(1-EXP(-LN(2)/2))/(LN(2)/2)*CG93*CJ93*VLOOKUP('Données projet'!$B$12,Paramètres!$A$1:$I$89,3,0)*0.475*44/12</f>
        <v>1.0957582093169778</v>
      </c>
      <c r="CN93" s="22">
        <f t="shared" si="66"/>
        <v>45.358842446893796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9.1730000000000018</v>
      </c>
      <c r="CT93" s="12">
        <f>IF('Données projet'!$A$140&gt;35,CT92+CS93-DB92,IF(A93&lt;'Données projet'!$A$140,$CQ$205^A93,IF(A93='Données projet'!$A$140,'Données projet'!$B$140,CT92+CS93-DB92)))</f>
        <v>343.4380000000005</v>
      </c>
      <c r="CU93" s="17">
        <f>CT93*VLOOKUP('Données projet'!$B$13,Paramètres!$A$1:$I$89,3,0)*VLOOKUP('Données projet'!$B$13,Paramètres!$A$1:$I$89,5,0)</f>
        <v>369.67666320000052</v>
      </c>
      <c r="CV93" s="13">
        <f t="shared" si="95"/>
        <v>85.601153195012515</v>
      </c>
      <c r="CW93" s="20">
        <f t="shared" si="67"/>
        <v>792.94219688798103</v>
      </c>
      <c r="CX93" s="59">
        <f t="shared" si="68"/>
        <v>1086.2755302213143</v>
      </c>
      <c r="CY93" s="59">
        <f ca="1">AVERAGE(OFFSET($CX$3,0,0,'Données projet'!$E$13+1,1))-AVERAGE(OFFSET($H$3,0,0,'Données projet'!$E$13+1,1))</f>
        <v>747.18304127457918</v>
      </c>
      <c r="CZ93" s="59">
        <f t="shared" si="96"/>
        <v>327.03701004966723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23.278880961125722</v>
      </c>
      <c r="DG93" s="21">
        <f>EXP(-LN(2)/25)*DG92+(1-EXP(-LN(2)/25))/(LN(2)/25)*Calculateur!DB93*Calculateur!DD93*VLOOKUP('Données projet'!$B$13,Paramètres!$A$1:$I$89,3,0)*0.475*44/12</f>
        <v>29.795484054071089</v>
      </c>
      <c r="DH93" s="21">
        <f>EXP(-LN(2)/2)*DH92+(1-EXP(-LN(2)/2))/(LN(2)/2)*DB93*DE93*VLOOKUP('Données projet'!$B$13,Paramètres!$A$1:$I$89,3,0)*0.475*44/12</f>
        <v>0.86849459034140342</v>
      </c>
      <c r="DI93" s="22">
        <f t="shared" si="69"/>
        <v>53.942859605538217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353.37479213497227</v>
      </c>
      <c r="DU93" s="59">
        <f t="shared" si="98"/>
        <v>345.4750813433123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42.642744745971846</v>
      </c>
      <c r="EB93" s="21">
        <f>EXP(-LN(2)/25)*EB92+(1-EXP(-LN(2)/25))/(LN(2)/25)*Calculateur!DW93*Calculateur!DY93*VLOOKUP('Données projet'!$B$14,Paramètres!$A$1:$I$89,3,0)*0.475*44/12</f>
        <v>38.896126673280456</v>
      </c>
      <c r="EC93" s="21">
        <f>EXP(-LN(2)/2)*EC92+(1-EXP(-LN(2)/2))/(LN(2)/2)*DW93*DZ93*VLOOKUP('Données projet'!$B$14,Paramètres!$A$1:$I$89,3,0)*0.475*44/12</f>
        <v>1.9506662876375351</v>
      </c>
      <c r="ED93" s="22">
        <f t="shared" si="72"/>
        <v>83.489537706889834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23.302500000000009</v>
      </c>
      <c r="EJ93" s="12">
        <f>IF('Données projet'!$A$192&gt;35,EJ92+EI93-ER92,IF(A93&lt;'Données projet'!$A$192,$EG$205^A93,IF(A93='Données projet'!$A$192,'Données projet'!$B$192,EJ92+EI93-ER92)))</f>
        <v>508.41749999999945</v>
      </c>
      <c r="EK93" s="17">
        <f>EJ93*VLOOKUP('Données projet'!$B$15,Paramètres!$A$1:$I$89,3,0)*VLOOKUP('Données projet'!$B$15,Paramètres!$A$1:$I$89,5,0)</f>
        <v>237.93938999999972</v>
      </c>
      <c r="EL93" s="13">
        <f t="shared" si="99"/>
        <v>57.995957950383499</v>
      </c>
      <c r="EM93" s="20">
        <f t="shared" si="73"/>
        <v>515.42073101358415</v>
      </c>
      <c r="EN93" s="59">
        <f t="shared" si="74"/>
        <v>808.7540643469174</v>
      </c>
      <c r="EO93" s="59">
        <f ca="1">AVERAGE(OFFSET($EN$3,0,0,'Données projet'!$E$15+1,1))-AVERAGE(OFFSET($H$3,0,0,'Données projet'!$E$15+1,1))</f>
        <v>433.05041777893922</v>
      </c>
      <c r="EP93" s="59">
        <f t="shared" si="100"/>
        <v>591.24088611958996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165.70043525627494</v>
      </c>
      <c r="EW93" s="21">
        <f>EXP(-LN(2)/25)*EW92+(1-EXP(-LN(2)/25))/(LN(2)/25)*Calculateur!ER93*Calculateur!ET93*VLOOKUP('Données projet'!$B$15,Paramètres!$A$1:$I$89,3,0)*0.475*44/12</f>
        <v>52.777408731268665</v>
      </c>
      <c r="EX93" s="21">
        <f>EXP(-LN(2)/2)*EX92+(1-EXP(-LN(2)/2))/(LN(2)/2)*ER93*EU93*VLOOKUP('Données projet'!$B$15,Paramètres!$A$1:$I$89,3,0)*0.475*44/12</f>
        <v>4.4932793118132324</v>
      </c>
      <c r="EY93" s="22">
        <f t="shared" si="75"/>
        <v>222.97112329935686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129.48717948717947</v>
      </c>
      <c r="FC93" s="12">
        <f>VLOOKUP(A93,'Données projet'!$A$217:$I$237,9,0)</f>
        <v>1.9230769230769227</v>
      </c>
      <c r="FD93" s="12">
        <f t="array" ref="FD93">INDEX(FC:FC,MIN(IF(ISNUMBER(FC93:FC289),ROW(FC93:FC289),"")))</f>
        <v>1.9230769230769227</v>
      </c>
      <c r="FE93" s="12">
        <f>IF('Données projet'!$A$218&gt;35,FE92+FD93-FM92,IF(A93&lt;'Données projet'!$A$218,$FB$205^A93,IF(A93='Données projet'!$A$218,'Données projet'!$B$218,FE92+FD93-FM92)))</f>
        <v>129.48717948717939</v>
      </c>
      <c r="FF93" s="17">
        <f>FE93*VLOOKUP('Données projet'!$B$16,Paramètres!$A$1:$I$89,3,0)*VLOOKUP('Données projet'!$B$16,Paramètres!$A$1:$I$89,5,0)</f>
        <v>105.03999999999994</v>
      </c>
      <c r="FG93" s="13">
        <f t="shared" si="101"/>
        <v>28.159250377636397</v>
      </c>
      <c r="FH93" s="20">
        <f t="shared" si="76"/>
        <v>231.98869440771659</v>
      </c>
      <c r="FI93" s="59">
        <f t="shared" si="77"/>
        <v>525.32202774104985</v>
      </c>
      <c r="FJ93" s="59">
        <f ca="1">AVERAGE(OFFSET($FI$3,0,0,'Données projet'!$E$16+1,1))-AVERAGE(OFFSET($H$3,0,0,'Données projet'!$E$16+1,1))</f>
        <v>159.4660488566085</v>
      </c>
      <c r="FK93" s="59">
        <f t="shared" si="102"/>
        <v>135.33030558297088</v>
      </c>
      <c r="FL93" s="15">
        <f>IF(ISNA(VLOOKUP(A93,'Données projet'!$A$217:$I$237,3,0)),0,VLOOKUP(A93,'Données projet'!$A$217:$I$237,3,0))</f>
        <v>16</v>
      </c>
      <c r="FM93" s="15">
        <f>IF(ISNA(VLOOKUP(A93,'Données projet'!$A$217:$I$237,4,0)),0,VLOOKUP(A93,'Données projet'!$A$217:$I$237,4,0))</f>
        <v>129.48717948717947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0.1075</v>
      </c>
      <c r="FP93" s="16">
        <f>IF(ISNA(VLOOKUP(A93,'Données projet'!$A$217:$I$237,7,0)),0%,VLOOKUP(A93,'Données projet'!$A$217:$I$237,7,0))</f>
        <v>0.25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16.179331020514891</v>
      </c>
      <c r="FS93" s="21">
        <f>EXP(-LN(2)/2)*FS92+(1-EXP(-LN(2)/2))/(LN(2)/2)*FM93*FP93*VLOOKUP('Données projet'!$B$16,Paramètres!$A$1:$I$89,3,0)*0.475*44/12</f>
        <v>25.045066423230693</v>
      </c>
      <c r="FT93" s="22">
        <f t="shared" si="78"/>
        <v>41.224397443745588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9.1730000000000018</v>
      </c>
      <c r="N94" s="13">
        <f>IF('Données projet'!$A$36&gt;35,N93+M94-V93,IF(A94&lt;'Données projet'!$A$36,$K$205^A94,IF(A94='Données projet'!$A$36,'Données projet'!$B$36,N93+M94-V93)))</f>
        <v>352.6110000000005</v>
      </c>
      <c r="O94" s="13">
        <f>N94*VLOOKUP('Données projet'!$B$9,Paramètres!$A$1:$I$89,3,0)*VLOOKUP('Données projet'!$B$9,Paramètres!$A$1:$I$89,5,0)</f>
        <v>357.54755400000056</v>
      </c>
      <c r="P94" s="13">
        <f t="shared" si="87"/>
        <v>83.114695969480493</v>
      </c>
      <c r="Q94" s="20">
        <f t="shared" si="54"/>
        <v>767.48675203017956</v>
      </c>
      <c r="R94" s="59">
        <f t="shared" si="55"/>
        <v>1060.8200853635128</v>
      </c>
      <c r="S94" s="59">
        <f ca="1">AVERAGE(OFFSET($R$3,0,0,'Données projet'!$E$9+1,1))-AVERAGE(OFFSET($H$3,0,0,'Données projet'!$E$9+1,1))</f>
        <v>706.69239849991595</v>
      </c>
      <c r="T94" s="59">
        <f t="shared" si="88"/>
        <v>310.59887275116529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21.499358837283662</v>
      </c>
      <c r="AA94" s="21">
        <f>EXP(-LN(2)/25)*AA93+(1-EXP(-LN(2)/25))/(LN(2)/25)*Calculateur!V94*Calculateur!X94*VLOOKUP('Données projet'!$B$9,Paramètres!$A$1:$I$89,3,0)*0.475*44/12</f>
        <v>27.300682948157213</v>
      </c>
      <c r="AB94" s="21">
        <f>EXP(-LN(2)/2)*AB93+(1-EXP(-LN(2)/2))/(LN(2)/2)*V94*Y94*VLOOKUP('Données projet'!$B$9,Paramètres!$A$1:$I$89,3,0)*0.475*44/12</f>
        <v>0.57851734676124</v>
      </c>
      <c r="AC94" s="22">
        <f t="shared" si="57"/>
        <v>49.378559132202113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1.7948717948717956</v>
      </c>
      <c r="AI94" s="13">
        <f>IF('Données projet'!$A$62&gt;35,AI93+AH94-AQ93,IF(A94&lt;'Données projet'!$A$62,$AF$205^A94,IF(A94='Données projet'!$A$62,'Données projet'!$B$62,AI93+AH94-AQ93)))</f>
        <v>133.20512820512815</v>
      </c>
      <c r="AJ94" s="13">
        <f>AI94*VLOOKUP('Données projet'!$B$10,Paramètres!$A$1:$I$89,3,0)*VLOOKUP('Données projet'!$B$10,Paramètres!$A$1:$I$89,5,0)</f>
        <v>139.22599999999994</v>
      </c>
      <c r="AK94" s="13">
        <f t="shared" si="89"/>
        <v>36.119635793564001</v>
      </c>
      <c r="AL94" s="20">
        <f t="shared" si="58"/>
        <v>305.39364900712383</v>
      </c>
      <c r="AM94" s="59">
        <f t="shared" si="59"/>
        <v>598.7269823404572</v>
      </c>
      <c r="AN94" s="59">
        <f ca="1">AVERAGE(OFFSET($AM$3,0,0,'Données projet'!$E$10+1,1))-AVERAGE(OFFSET($H$3,0,0,'Données projet'!$E$10+1,1))</f>
        <v>239.26156489359892</v>
      </c>
      <c r="AO94" s="59">
        <f t="shared" si="90"/>
        <v>213.97034450798111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1.734834152851388</v>
      </c>
      <c r="AV94" s="21">
        <f>EXP(-LN(2)/25)*AV93+(1-EXP(-LN(2)/25))/(LN(2)/25)*Calculateur!AQ94*Calculateur!AS94*VLOOKUP('Données projet'!$B$10,Paramètres!$A$1:$I$89,3,0)*0.475*44/12</f>
        <v>14.770651707234904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16.505485860086292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-1.7053025658242404E-13</v>
      </c>
      <c r="BE94" s="13">
        <f>BD94*VLOOKUP('Données projet'!$B$11,Paramètres!$A$1:$I$89,3,0)*VLOOKUP('Données projet'!$B$11,Paramètres!$A$1:$I$89,5,0)</f>
        <v>-1.4897523215040567E-13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324.86930206492627</v>
      </c>
      <c r="BJ94" s="59">
        <f t="shared" si="92"/>
        <v>317.03005098025352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37.056198101314749</v>
      </c>
      <c r="BQ94" s="21">
        <f>EXP(-LN(2)/25)*BQ93+(1-EXP(-LN(2)/25))/(LN(2)/25)*Calculateur!BL94*Calculateur!BN94*VLOOKUP('Données projet'!$B$11,Paramètres!$A$1:$I$89,3,0)*0.475*44/12</f>
        <v>34.287976906202324</v>
      </c>
      <c r="BR94" s="21">
        <f>EXP(-LN(2)/2)*BR93+(1-EXP(-LN(2)/2))/(LN(2)/2)*BL94*BO94*VLOOKUP('Données projet'!$B$11,Paramètres!$A$1:$I$89,3,0)*0.475*44/12</f>
        <v>1.2612135318948643</v>
      </c>
      <c r="BS94" s="22">
        <f t="shared" si="63"/>
        <v>72.605388539411933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6.7600000000000007</v>
      </c>
      <c r="BY94" s="12">
        <f>IF('Données projet'!$A$114&gt;35,BY93+BX94-CG93,IF(A94&lt;'Données projet'!$A$114,$BV$205^A94,IF(A94='Données projet'!$A$114,'Données projet'!$B$114,BY93+BX94-CG93)))</f>
        <v>225.52999999999992</v>
      </c>
      <c r="BZ94" s="13">
        <f>BY94*VLOOKUP('Données projet'!$B$12,Paramètres!$A$1:$I$89,3,0)*VLOOKUP('Données projet'!$B$12,Paramètres!$A$1:$I$89,5,0)</f>
        <v>256.83356399999991</v>
      </c>
      <c r="CA94" s="13">
        <f t="shared" si="93"/>
        <v>62.046941172045024</v>
      </c>
      <c r="CB94" s="20">
        <f t="shared" si="64"/>
        <v>555.38354650797817</v>
      </c>
      <c r="CC94" s="59">
        <f t="shared" si="65"/>
        <v>848.71687984131154</v>
      </c>
      <c r="CD94" s="59">
        <f ca="1">AVERAGE(OFFSET($CC$3,0,0,'Données projet'!$E$12+1,1))-AVERAGE(OFFSET($H$3,0,0,'Données projet'!$E$12+1,1))</f>
        <v>593.28343396240075</v>
      </c>
      <c r="CE94" s="59">
        <f t="shared" si="94"/>
        <v>289.66477662068695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6.4420049172535796</v>
      </c>
      <c r="CL94" s="21">
        <f>EXP(-LN(2)/25)*CL93+(1-EXP(-LN(2)/25))/(LN(2)/25)*Calculateur!CG94*Calculateur!CI94*VLOOKUP('Données projet'!$B$12,Paramètres!$A$1:$I$89,3,0)*0.475*44/12</f>
        <v>36.661532873915938</v>
      </c>
      <c r="CM94" s="21">
        <f>EXP(-LN(2)/2)*CM93+(1-EXP(-LN(2)/2))/(LN(2)/2)*CG94*CJ94*VLOOKUP('Données projet'!$B$12,Paramètres!$A$1:$I$89,3,0)*0.475*44/12</f>
        <v>0.77481806034886336</v>
      </c>
      <c r="CN94" s="22">
        <f t="shared" si="66"/>
        <v>43.878355851518378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9.1730000000000018</v>
      </c>
      <c r="CT94" s="12">
        <f>IF('Données projet'!$A$140&gt;35,CT93+CS94-DB93,IF(A94&lt;'Données projet'!$A$140,$CQ$205^A94,IF(A94='Données projet'!$A$140,'Données projet'!$B$140,CT93+CS94-DB93)))</f>
        <v>352.6110000000005</v>
      </c>
      <c r="CU94" s="17">
        <f>CT94*VLOOKUP('Données projet'!$B$13,Paramètres!$A$1:$I$89,3,0)*VLOOKUP('Données projet'!$B$13,Paramètres!$A$1:$I$89,5,0)</f>
        <v>379.55048040000048</v>
      </c>
      <c r="CV94" s="13">
        <f t="shared" si="95"/>
        <v>87.618262199590845</v>
      </c>
      <c r="CW94" s="20">
        <f t="shared" si="67"/>
        <v>813.65222669428829</v>
      </c>
      <c r="CX94" s="59">
        <f t="shared" si="68"/>
        <v>1106.9855600276217</v>
      </c>
      <c r="CY94" s="59">
        <f ca="1">AVERAGE(OFFSET($CX$3,0,0,'Données projet'!$E$13+1,1))-AVERAGE(OFFSET($H$3,0,0,'Données projet'!$E$13+1,1))</f>
        <v>747.18304127457918</v>
      </c>
      <c r="CZ94" s="59">
        <f t="shared" si="96"/>
        <v>327.03701004966723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22.822396304193425</v>
      </c>
      <c r="DG94" s="21">
        <f>EXP(-LN(2)/25)*DG93+(1-EXP(-LN(2)/25))/(LN(2)/25)*Calculateur!DB94*Calculateur!DD94*VLOOKUP('Données projet'!$B$13,Paramètres!$A$1:$I$89,3,0)*0.475*44/12</f>
        <v>28.980724975736106</v>
      </c>
      <c r="DH94" s="21">
        <f>EXP(-LN(2)/2)*DH93+(1-EXP(-LN(2)/2))/(LN(2)/2)*DB94*DE94*VLOOKUP('Données projet'!$B$13,Paramètres!$A$1:$I$89,3,0)*0.475*44/12</f>
        <v>0.61411841425423896</v>
      </c>
      <c r="DI94" s="22">
        <f t="shared" si="69"/>
        <v>52.417239694183763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353.37479213497227</v>
      </c>
      <c r="DU94" s="59">
        <f t="shared" si="98"/>
        <v>345.4750813433123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41.80654653100941</v>
      </c>
      <c r="EB94" s="21">
        <f>EXP(-LN(2)/25)*EB93+(1-EXP(-LN(2)/25))/(LN(2)/25)*Calculateur!DW94*Calculateur!DY94*VLOOKUP('Données projet'!$B$14,Paramètres!$A$1:$I$89,3,0)*0.475*44/12</f>
        <v>37.832510043941198</v>
      </c>
      <c r="EC94" s="21">
        <f>EXP(-LN(2)/2)*EC93+(1-EXP(-LN(2)/2))/(LN(2)/2)*DW94*DZ94*VLOOKUP('Données projet'!$B$14,Paramètres!$A$1:$I$89,3,0)*0.475*44/12</f>
        <v>1.3793293598204897</v>
      </c>
      <c r="ED94" s="22">
        <f t="shared" si="72"/>
        <v>81.018385934771104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>
        <f>VLOOKUP(A94,'Données projet'!$A$191:$I$211,2,0)</f>
        <v>531.72</v>
      </c>
      <c r="EH94" s="12">
        <f>VLOOKUP(A94,'Données projet'!$A$191:$I$211,9,0)</f>
        <v>23.302500000000009</v>
      </c>
      <c r="EI94" s="12">
        <f t="array" ref="EI94">INDEX(EH:EH,MIN(IF(ISNUMBER(EH94:EH290),ROW(EH94:EH290),"")))</f>
        <v>23.302500000000009</v>
      </c>
      <c r="EJ94" s="12">
        <f>IF('Données projet'!$A$192&gt;35,EJ93+EI94-ER93,IF(A94&lt;'Données projet'!$A$192,$EG$205^A94,IF(A94='Données projet'!$A$192,'Données projet'!$B$192,EJ93+EI94-ER93)))</f>
        <v>531.71999999999946</v>
      </c>
      <c r="EK94" s="17">
        <f>EJ94*VLOOKUP('Données projet'!$B$15,Paramètres!$A$1:$I$89,3,0)*VLOOKUP('Données projet'!$B$15,Paramètres!$A$1:$I$89,5,0)</f>
        <v>248.84495999999973</v>
      </c>
      <c r="EL94" s="13">
        <f t="shared" si="99"/>
        <v>60.338539799248501</v>
      </c>
      <c r="EM94" s="20">
        <f t="shared" si="73"/>
        <v>538.49459548369066</v>
      </c>
      <c r="EN94" s="59">
        <f t="shared" si="74"/>
        <v>831.82792881702403</v>
      </c>
      <c r="EO94" s="59">
        <f ca="1">AVERAGE(OFFSET($EN$3,0,0,'Données projet'!$E$15+1,1))-AVERAGE(OFFSET($H$3,0,0,'Données projet'!$E$15+1,1))</f>
        <v>433.05041777893922</v>
      </c>
      <c r="EP94" s="59">
        <f t="shared" si="100"/>
        <v>591.24088611958996</v>
      </c>
      <c r="EQ94" s="15">
        <f>IF(ISNA(VLOOKUP(A94,'Données projet'!$A$191:$I$211,3,0)),0,VLOOKUP(A94,'Données projet'!$A$191:$I$211,3,0))</f>
        <v>7</v>
      </c>
      <c r="ER94" s="15">
        <f>IF(ISNA(VLOOKUP(A94,'Données projet'!$A$191:$I$211,4,0)),0,VLOOKUP(A94,'Données projet'!$A$191:$I$211,4,0))</f>
        <v>264.52000000000004</v>
      </c>
      <c r="ES94" s="16">
        <f>IF(ISNA(VLOOKUP(A94,'Données projet'!$A$191:$I$211,5,0)),0%,VLOOKUP(A94,'Données projet'!$A$191:$I$211,5,0)*VLOOKUP('Données projet'!$B$15,Paramètres!$A$1:$I$89,7,0))</f>
        <v>0.33</v>
      </c>
      <c r="ET94" s="16">
        <f>IF(ISNA(VLOOKUP(A94,'Données projet'!$A$191:$I$211,6,0)),0%,VLOOKUP(A94,'Données projet'!$A$191:$I$211,6,0)*VLOOKUP('Données projet'!$B$15,Paramètres!$A$1:$I$89,7,0))</f>
        <v>0.11000000000000001</v>
      </c>
      <c r="EU94" s="16">
        <f>IF(ISNA(VLOOKUP(A94,'Données projet'!$A$191:$I$211,7,0)),0%,VLOOKUP(A94,'Données projet'!$A$191:$I$211,7,0))</f>
        <v>0.2</v>
      </c>
      <c r="EV94" s="21">
        <f>EXP(-LN(2)/35)*EV93+(1-EXP(-LN(2)/35))/(LN(2)/35)*ER94*ES94*VLOOKUP('Données projet'!$B$15,Paramètres!$A$1:$I$89,3,0)*0.475*44/12</f>
        <v>216.64458381521817</v>
      </c>
      <c r="EW94" s="21">
        <f>EXP(-LN(2)/25)*EW93+(1-EXP(-LN(2)/25))/(LN(2)/25)*Calculateur!ER94*Calculateur!ET94*VLOOKUP('Données projet'!$B$15,Paramètres!$A$1:$I$89,3,0)*0.475*44/12</f>
        <v>69.327558658031663</v>
      </c>
      <c r="EX94" s="21">
        <f>EXP(-LN(2)/2)*EX93+(1-EXP(-LN(2)/2))/(LN(2)/2)*ER94*EU94*VLOOKUP('Données projet'!$B$15,Paramètres!$A$1:$I$89,3,0)*0.475*44/12</f>
        <v>31.21024924633155</v>
      </c>
      <c r="EY94" s="22">
        <f t="shared" si="75"/>
        <v>317.1823917195814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-8.5265128291212022E-14</v>
      </c>
      <c r="FF94" s="17">
        <f>FE94*VLOOKUP('Données projet'!$B$16,Paramètres!$A$1:$I$89,3,0)*VLOOKUP('Données projet'!$B$16,Paramètres!$A$1:$I$89,5,0)</f>
        <v>-6.9167072069831198E-14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159.4660488566085</v>
      </c>
      <c r="FK94" s="59">
        <f t="shared" si="102"/>
        <v>135.33030558297088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15.736906362924872</v>
      </c>
      <c r="FS94" s="21">
        <f>EXP(-LN(2)/2)*FS93+(1-EXP(-LN(2)/2))/(LN(2)/2)*FM94*FP94*VLOOKUP('Données projet'!$B$16,Paramètres!$A$1:$I$89,3,0)*0.475*44/12</f>
        <v>17.709536303133934</v>
      </c>
      <c r="FT94" s="22">
        <f t="shared" si="78"/>
        <v>33.446442666058807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9.1730000000000018</v>
      </c>
      <c r="N95" s="13">
        <f>IF('Données projet'!$A$36&gt;35,N94+M95-V94,IF(A95&lt;'Données projet'!$A$36,$K$205^A95,IF(A95='Données projet'!$A$36,'Données projet'!$B$36,N94+M95-V94)))</f>
        <v>361.7840000000005</v>
      </c>
      <c r="O95" s="13">
        <f>N95*VLOOKUP('Données projet'!$B$9,Paramètres!$A$1:$I$89,3,0)*VLOOKUP('Données projet'!$B$9,Paramètres!$A$1:$I$89,5,0)</f>
        <v>366.8489760000005</v>
      </c>
      <c r="P95" s="13">
        <f t="shared" si="87"/>
        <v>85.022339897263734</v>
      </c>
      <c r="Q95" s="20">
        <f t="shared" si="54"/>
        <v>787.00920852106856</v>
      </c>
      <c r="R95" s="59">
        <f t="shared" si="55"/>
        <v>1080.3425418544018</v>
      </c>
      <c r="S95" s="59">
        <f ca="1">AVERAGE(OFFSET($R$3,0,0,'Données projet'!$E$9+1,1))-AVERAGE(OFFSET($H$3,0,0,'Données projet'!$E$9+1,1))</f>
        <v>706.69239849991595</v>
      </c>
      <c r="T95" s="59">
        <f t="shared" si="88"/>
        <v>310.59887275116529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21.077769523798587</v>
      </c>
      <c r="AA95" s="21">
        <f>EXP(-LN(2)/25)*AA94+(1-EXP(-LN(2)/25))/(LN(2)/25)*Calculateur!V95*Calculateur!X95*VLOOKUP('Données projet'!$B$9,Paramètres!$A$1:$I$89,3,0)*0.475*44/12</f>
        <v>26.554144337259334</v>
      </c>
      <c r="AB95" s="21">
        <f>EXP(-LN(2)/2)*AB94+(1-EXP(-LN(2)/2))/(LN(2)/2)*V95*Y95*VLOOKUP('Données projet'!$B$9,Paramètres!$A$1:$I$89,3,0)*0.475*44/12</f>
        <v>0.40907353892892218</v>
      </c>
      <c r="AC95" s="22">
        <f t="shared" si="57"/>
        <v>48.040987399986847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1.7948717948717956</v>
      </c>
      <c r="AI95" s="13">
        <f>IF('Données projet'!$A$62&gt;35,AI94+AH95-AQ94,IF(A95&lt;'Données projet'!$A$62,$AF$205^A95,IF(A95='Données projet'!$A$62,'Données projet'!$B$62,AI94+AH95-AQ94)))</f>
        <v>134.99999999999994</v>
      </c>
      <c r="AJ95" s="13">
        <f>AI95*VLOOKUP('Données projet'!$B$10,Paramètres!$A$1:$I$89,3,0)*VLOOKUP('Données projet'!$B$10,Paramètres!$A$1:$I$89,5,0)</f>
        <v>141.10199999999995</v>
      </c>
      <c r="AK95" s="13">
        <f t="shared" si="89"/>
        <v>36.549342904663185</v>
      </c>
      <c r="AL95" s="20">
        <f t="shared" si="58"/>
        <v>309.4094222256216</v>
      </c>
      <c r="AM95" s="59">
        <f t="shared" si="59"/>
        <v>602.74275555895497</v>
      </c>
      <c r="AN95" s="59">
        <f ca="1">AVERAGE(OFFSET($AM$3,0,0,'Données projet'!$E$10+1,1))-AVERAGE(OFFSET($H$3,0,0,'Données projet'!$E$10+1,1))</f>
        <v>239.26156489359892</v>
      </c>
      <c r="AO95" s="59">
        <f t="shared" si="90"/>
        <v>213.97034450798111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1.7008151132583225</v>
      </c>
      <c r="AV95" s="21">
        <f>EXP(-LN(2)/25)*AV94+(1-EXP(-LN(2)/25))/(LN(2)/25)*Calculateur!AQ95*Calculateur!AS95*VLOOKUP('Données projet'!$B$10,Paramètres!$A$1:$I$89,3,0)*0.475*44/12</f>
        <v>14.366747459545751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16.067562572804075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-1.7053025658242404E-13</v>
      </c>
      <c r="BE95" s="13">
        <f>BD95*VLOOKUP('Données projet'!$B$11,Paramètres!$A$1:$I$89,3,0)*VLOOKUP('Données projet'!$B$11,Paramètres!$A$1:$I$89,5,0)</f>
        <v>-1.4897523215040567E-13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324.86930206492627</v>
      </c>
      <c r="BJ95" s="59">
        <f t="shared" si="92"/>
        <v>317.03005098025352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36.329548658597041</v>
      </c>
      <c r="BQ95" s="21">
        <f>EXP(-LN(2)/25)*BQ94+(1-EXP(-LN(2)/25))/(LN(2)/25)*Calculateur!BL95*Calculateur!BN95*VLOOKUP('Données projet'!$B$11,Paramètres!$A$1:$I$89,3,0)*0.475*44/12</f>
        <v>33.350370374575881</v>
      </c>
      <c r="BR95" s="21">
        <f>EXP(-LN(2)/2)*BR94+(1-EXP(-LN(2)/2))/(LN(2)/2)*BL95*BO95*VLOOKUP('Données projet'!$B$11,Paramètres!$A$1:$I$89,3,0)*0.475*44/12</f>
        <v>0.89181264092709467</v>
      </c>
      <c r="BS95" s="22">
        <f t="shared" si="63"/>
        <v>70.571731674100022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6.7600000000000007</v>
      </c>
      <c r="BY95" s="12">
        <f>IF('Données projet'!$A$114&gt;35,BY94+BX95-CG94,IF(A95&lt;'Données projet'!$A$114,$BV$205^A95,IF(A95='Données projet'!$A$114,'Données projet'!$B$114,BY94+BX95-CG94)))</f>
        <v>232.28999999999991</v>
      </c>
      <c r="BZ95" s="13">
        <f>BY95*VLOOKUP('Données projet'!$B$12,Paramètres!$A$1:$I$89,3,0)*VLOOKUP('Données projet'!$B$12,Paramètres!$A$1:$I$89,5,0)</f>
        <v>264.5318519999999</v>
      </c>
      <c r="CA95" s="13">
        <f t="shared" si="93"/>
        <v>63.687412010040255</v>
      </c>
      <c r="CB95" s="20">
        <f t="shared" si="64"/>
        <v>571.64855148415324</v>
      </c>
      <c r="CC95" s="59">
        <f t="shared" si="65"/>
        <v>864.98188481748662</v>
      </c>
      <c r="CD95" s="59">
        <f ca="1">AVERAGE(OFFSET($CC$3,0,0,'Données projet'!$E$12+1,1))-AVERAGE(OFFSET($H$3,0,0,'Données projet'!$E$12+1,1))</f>
        <v>593.28343396240075</v>
      </c>
      <c r="CE95" s="59">
        <f t="shared" si="94"/>
        <v>289.66477662068695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6.3156811300612565</v>
      </c>
      <c r="CL95" s="21">
        <f>EXP(-LN(2)/25)*CL94+(1-EXP(-LN(2)/25))/(LN(2)/25)*Calculateur!CG95*Calculateur!CI95*VLOOKUP('Données projet'!$B$12,Paramètres!$A$1:$I$89,3,0)*0.475*44/12</f>
        <v>35.659021329532486</v>
      </c>
      <c r="CM95" s="21">
        <f>EXP(-LN(2)/2)*CM94+(1-EXP(-LN(2)/2))/(LN(2)/2)*CG95*CJ95*VLOOKUP('Données projet'!$B$12,Paramètres!$A$1:$I$89,3,0)*0.475*44/12</f>
        <v>0.54787910465848888</v>
      </c>
      <c r="CN95" s="22">
        <f t="shared" si="66"/>
        <v>42.522581564252235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9.1730000000000018</v>
      </c>
      <c r="CT95" s="12">
        <f>IF('Données projet'!$A$140&gt;35,CT94+CS95-DB94,IF(A95&lt;'Données projet'!$A$140,$CQ$205^A95,IF(A95='Données projet'!$A$140,'Données projet'!$B$140,CT94+CS95-DB94)))</f>
        <v>361.7840000000005</v>
      </c>
      <c r="CU95" s="17">
        <f>CT95*VLOOKUP('Données projet'!$B$13,Paramètres!$A$1:$I$89,3,0)*VLOOKUP('Données projet'!$B$13,Paramètres!$A$1:$I$89,5,0)</f>
        <v>389.4242976000005</v>
      </c>
      <c r="CV95" s="13">
        <f t="shared" si="95"/>
        <v>89.629271731639719</v>
      </c>
      <c r="CW95" s="20">
        <f t="shared" si="67"/>
        <v>834.3516332526068</v>
      </c>
      <c r="CX95" s="59">
        <f t="shared" si="68"/>
        <v>1127.6849665859402</v>
      </c>
      <c r="CY95" s="59">
        <f ca="1">AVERAGE(OFFSET($CX$3,0,0,'Données projet'!$E$13+1,1))-AVERAGE(OFFSET($H$3,0,0,'Données projet'!$E$13+1,1))</f>
        <v>747.18304127457918</v>
      </c>
      <c r="CZ95" s="59">
        <f t="shared" si="96"/>
        <v>327.03701004966723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22.374863032955425</v>
      </c>
      <c r="DG95" s="21">
        <f>EXP(-LN(2)/25)*DG94+(1-EXP(-LN(2)/25))/(LN(2)/25)*Calculateur!DB95*Calculateur!DD95*VLOOKUP('Données projet'!$B$13,Paramètres!$A$1:$I$89,3,0)*0.475*44/12</f>
        <v>28.188245527244511</v>
      </c>
      <c r="DH95" s="21">
        <f>EXP(-LN(2)/2)*DH94+(1-EXP(-LN(2)/2))/(LN(2)/2)*DB95*DE95*VLOOKUP('Données projet'!$B$13,Paramètres!$A$1:$I$89,3,0)*0.475*44/12</f>
        <v>0.43424729517070171</v>
      </c>
      <c r="DI95" s="22">
        <f t="shared" si="69"/>
        <v>50.997355855370635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353.37479213497227</v>
      </c>
      <c r="DU95" s="59">
        <f t="shared" si="98"/>
        <v>345.4750813433123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40.986745653011837</v>
      </c>
      <c r="EB95" s="21">
        <f>EXP(-LN(2)/25)*EB94+(1-EXP(-LN(2)/25))/(LN(2)/25)*Calculateur!DW95*Calculateur!DY95*VLOOKUP('Données projet'!$B$14,Paramètres!$A$1:$I$89,3,0)*0.475*44/12</f>
        <v>36.797978067264388</v>
      </c>
      <c r="EC95" s="21">
        <f>EXP(-LN(2)/2)*EC94+(1-EXP(-LN(2)/2))/(LN(2)/2)*DW95*DZ95*VLOOKUP('Données projet'!$B$14,Paramètres!$A$1:$I$89,3,0)*0.475*44/12</f>
        <v>0.97533314381876768</v>
      </c>
      <c r="ED95" s="22">
        <f t="shared" si="72"/>
        <v>78.760056864094992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69.507500000000007</v>
      </c>
      <c r="EJ95" s="12">
        <f>IF('Données projet'!$A$192&gt;35,EJ94+EI95-ER94,IF(A95&lt;'Données projet'!$A$192,$EG$205^A95,IF(A95='Données projet'!$A$192,'Données projet'!$B$192,EJ94+EI95-ER94)))</f>
        <v>336.70749999999947</v>
      </c>
      <c r="EK95" s="17">
        <f>EJ95*VLOOKUP('Données projet'!$B$15,Paramètres!$A$1:$I$89,3,0)*VLOOKUP('Données projet'!$B$15,Paramètres!$A$1:$I$89,5,0)</f>
        <v>157.57910999999976</v>
      </c>
      <c r="EL95" s="13">
        <f t="shared" si="99"/>
        <v>40.29599333957654</v>
      </c>
      <c r="EM95" s="20">
        <f t="shared" si="73"/>
        <v>344.63247164976201</v>
      </c>
      <c r="EN95" s="59">
        <f t="shared" si="74"/>
        <v>637.96580498309527</v>
      </c>
      <c r="EO95" s="59">
        <f ca="1">AVERAGE(OFFSET($EN$3,0,0,'Données projet'!$E$15+1,1))-AVERAGE(OFFSET($H$3,0,0,'Données projet'!$E$15+1,1))</f>
        <v>433.05041777893922</v>
      </c>
      <c r="EP95" s="59">
        <f t="shared" si="100"/>
        <v>591.24088611958996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212.3963156667501</v>
      </c>
      <c r="EW95" s="21">
        <f>EXP(-LN(2)/25)*EW94+(1-EXP(-LN(2)/25))/(LN(2)/25)*Calculateur!ER95*Calculateur!ET95*VLOOKUP('Données projet'!$B$15,Paramètres!$A$1:$I$89,3,0)*0.475*44/12</f>
        <v>67.431792920749928</v>
      </c>
      <c r="EX95" s="21">
        <f>EXP(-LN(2)/2)*EX94+(1-EXP(-LN(2)/2))/(LN(2)/2)*ER95*EU95*VLOOKUP('Données projet'!$B$15,Paramètres!$A$1:$I$89,3,0)*0.475*44/12</f>
        <v>22.068978884603375</v>
      </c>
      <c r="EY95" s="22">
        <f t="shared" si="75"/>
        <v>301.89708747210341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-8.5265128291212022E-14</v>
      </c>
      <c r="FF95" s="17">
        <f>FE95*VLOOKUP('Données projet'!$B$16,Paramètres!$A$1:$I$89,3,0)*VLOOKUP('Données projet'!$B$16,Paramètres!$A$1:$I$89,5,0)</f>
        <v>-6.9167072069831198E-14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159.4660488566085</v>
      </c>
      <c r="FK95" s="59">
        <f t="shared" si="102"/>
        <v>135.33030558297088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15.306579830862752</v>
      </c>
      <c r="FS95" s="21">
        <f>EXP(-LN(2)/2)*FS94+(1-EXP(-LN(2)/2))/(LN(2)/2)*FM95*FP95*VLOOKUP('Données projet'!$B$16,Paramètres!$A$1:$I$89,3,0)*0.475*44/12</f>
        <v>12.522533211615347</v>
      </c>
      <c r="FT95" s="22">
        <f t="shared" si="78"/>
        <v>27.829113042478099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9.1730000000000018</v>
      </c>
      <c r="N96" s="13">
        <f>IF('Données projet'!$A$36&gt;35,N95+M96-V95,IF(A96&lt;'Données projet'!$A$36,$K$205^A96,IF(A96='Données projet'!$A$36,'Données projet'!$B$36,N95+M96-V95)))</f>
        <v>370.95700000000051</v>
      </c>
      <c r="O96" s="13">
        <f>N96*VLOOKUP('Données projet'!$B$9,Paramètres!$A$1:$I$89,3,0)*VLOOKUP('Données projet'!$B$9,Paramètres!$A$1:$I$89,5,0)</f>
        <v>376.15039800000056</v>
      </c>
      <c r="P96" s="13">
        <f t="shared" si="87"/>
        <v>86.92436143722324</v>
      </c>
      <c r="Q96" s="20">
        <f t="shared" si="54"/>
        <v>806.52187268649811</v>
      </c>
      <c r="R96" s="59">
        <f t="shared" si="55"/>
        <v>1099.8552060198315</v>
      </c>
      <c r="S96" s="59">
        <f ca="1">AVERAGE(OFFSET($R$3,0,0,'Données projet'!$E$9+1,1))-AVERAGE(OFFSET($H$3,0,0,'Données projet'!$E$9+1,1))</f>
        <v>706.69239849991595</v>
      </c>
      <c r="T96" s="59">
        <f t="shared" si="88"/>
        <v>310.59887275116529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20.664447319606865</v>
      </c>
      <c r="AA96" s="21">
        <f>EXP(-LN(2)/25)*AA95+(1-EXP(-LN(2)/25))/(LN(2)/25)*Calculateur!V96*Calculateur!X96*VLOOKUP('Données projet'!$B$9,Paramètres!$A$1:$I$89,3,0)*0.475*44/12</f>
        <v>25.828019863935218</v>
      </c>
      <c r="AB96" s="21">
        <f>EXP(-LN(2)/2)*AB95+(1-EXP(-LN(2)/2))/(LN(2)/2)*V96*Y96*VLOOKUP('Données projet'!$B$9,Paramètres!$A$1:$I$89,3,0)*0.475*44/12</f>
        <v>0.28925867338062</v>
      </c>
      <c r="AC96" s="22">
        <f t="shared" si="57"/>
        <v>46.781725856922705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1.7948717948717956</v>
      </c>
      <c r="AI96" s="13">
        <f>IF('Données projet'!$A$62&gt;35,AI95+AH96-AQ95,IF(A96&lt;'Données projet'!$A$62,$AF$205^A96,IF(A96='Données projet'!$A$62,'Données projet'!$B$62,AI95+AH96-AQ95)))</f>
        <v>136.79487179487174</v>
      </c>
      <c r="AJ96" s="13">
        <f>AI96*VLOOKUP('Données projet'!$B$10,Paramètres!$A$1:$I$89,3,0)*VLOOKUP('Données projet'!$B$10,Paramètres!$A$1:$I$89,5,0)</f>
        <v>142.97799999999995</v>
      </c>
      <c r="AK96" s="13">
        <f t="shared" si="89"/>
        <v>36.978385503948552</v>
      </c>
      <c r="AL96" s="20">
        <f t="shared" si="58"/>
        <v>313.42403808604359</v>
      </c>
      <c r="AM96" s="59">
        <f t="shared" si="59"/>
        <v>606.75737141937691</v>
      </c>
      <c r="AN96" s="59">
        <f ca="1">AVERAGE(OFFSET($AM$3,0,0,'Données projet'!$E$10+1,1))-AVERAGE(OFFSET($H$3,0,0,'Données projet'!$E$10+1,1))</f>
        <v>239.26156489359892</v>
      </c>
      <c r="AO96" s="59">
        <f t="shared" si="90"/>
        <v>213.97034450798111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1.6674631662821116</v>
      </c>
      <c r="AV96" s="21">
        <f>EXP(-LN(2)/25)*AV95+(1-EXP(-LN(2)/25))/(LN(2)/25)*Calculateur!AQ96*Calculateur!AS96*VLOOKUP('Données projet'!$B$10,Paramètres!$A$1:$I$89,3,0)*0.475*44/12</f>
        <v>13.97388799475006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15.641351161032171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-1.7053025658242404E-13</v>
      </c>
      <c r="BE96" s="13">
        <f>BD96*VLOOKUP('Données projet'!$B$11,Paramètres!$A$1:$I$89,3,0)*VLOOKUP('Données projet'!$B$11,Paramètres!$A$1:$I$89,5,0)</f>
        <v>-1.4897523215040567E-13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324.86930206492627</v>
      </c>
      <c r="BJ96" s="59">
        <f t="shared" si="92"/>
        <v>317.03005098025352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35.617148368238631</v>
      </c>
      <c r="BQ96" s="21">
        <f>EXP(-LN(2)/25)*BQ95+(1-EXP(-LN(2)/25))/(LN(2)/25)*Calculateur!BL96*Calculateur!BN96*VLOOKUP('Données projet'!$B$11,Paramètres!$A$1:$I$89,3,0)*0.475*44/12</f>
        <v>32.438402742863346</v>
      </c>
      <c r="BR96" s="21">
        <f>EXP(-LN(2)/2)*BR95+(1-EXP(-LN(2)/2))/(LN(2)/2)*BL96*BO96*VLOOKUP('Données projet'!$B$11,Paramètres!$A$1:$I$89,3,0)*0.475*44/12</f>
        <v>0.63060676594743226</v>
      </c>
      <c r="BS96" s="22">
        <f t="shared" si="63"/>
        <v>68.686157877049411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6.7600000000000007</v>
      </c>
      <c r="BY96" s="12">
        <f>IF('Données projet'!$A$114&gt;35,BY95+BX96-CG95,IF(A96&lt;'Données projet'!$A$114,$BV$205^A96,IF(A96='Données projet'!$A$114,'Données projet'!$B$114,BY95+BX96-CG95)))</f>
        <v>239.0499999999999</v>
      </c>
      <c r="BZ96" s="13">
        <f>BY96*VLOOKUP('Données projet'!$B$12,Paramètres!$A$1:$I$89,3,0)*VLOOKUP('Données projet'!$B$12,Paramètres!$A$1:$I$89,5,0)</f>
        <v>272.23013999999989</v>
      </c>
      <c r="CA96" s="13">
        <f t="shared" si="93"/>
        <v>65.322334456608132</v>
      </c>
      <c r="CB96" s="20">
        <f t="shared" si="64"/>
        <v>587.90389301192556</v>
      </c>
      <c r="CC96" s="59">
        <f t="shared" si="65"/>
        <v>881.23722634525893</v>
      </c>
      <c r="CD96" s="59">
        <f ca="1">AVERAGE(OFFSET($CC$3,0,0,'Données projet'!$E$12+1,1))-AVERAGE(OFFSET($H$3,0,0,'Données projet'!$E$12+1,1))</f>
        <v>593.28343396240075</v>
      </c>
      <c r="CE96" s="59">
        <f t="shared" si="94"/>
        <v>289.66477662068695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6.1918344752858729</v>
      </c>
      <c r="CL96" s="21">
        <f>EXP(-LN(2)/25)*CL95+(1-EXP(-LN(2)/25))/(LN(2)/25)*Calculateur!CG96*Calculateur!CI96*VLOOKUP('Données projet'!$B$12,Paramètres!$A$1:$I$89,3,0)*0.475*44/12</f>
        <v>34.683923516049987</v>
      </c>
      <c r="CM96" s="21">
        <f>EXP(-LN(2)/2)*CM95+(1-EXP(-LN(2)/2))/(LN(2)/2)*CG96*CJ96*VLOOKUP('Données projet'!$B$12,Paramètres!$A$1:$I$89,3,0)*0.475*44/12</f>
        <v>0.38740903017443168</v>
      </c>
      <c r="CN96" s="22">
        <f t="shared" si="66"/>
        <v>41.263167021510291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9.1730000000000018</v>
      </c>
      <c r="CT96" s="12">
        <f>IF('Données projet'!$A$140&gt;35,CT95+CS96-DB95,IF(A96&lt;'Données projet'!$A$140,$CQ$205^A96,IF(A96='Données projet'!$A$140,'Données projet'!$B$140,CT95+CS96-DB95)))</f>
        <v>370.95700000000051</v>
      </c>
      <c r="CU96" s="17">
        <f>CT96*VLOOKUP('Données projet'!$B$13,Paramètres!$A$1:$I$89,3,0)*VLOOKUP('Données projet'!$B$13,Paramètres!$A$1:$I$89,5,0)</f>
        <v>399.29811480000052</v>
      </c>
      <c r="CV96" s="13">
        <f t="shared" si="95"/>
        <v>91.6343542270222</v>
      </c>
      <c r="CW96" s="20">
        <f t="shared" si="67"/>
        <v>855.04071688873125</v>
      </c>
      <c r="CX96" s="59">
        <f t="shared" si="68"/>
        <v>1148.3740502220646</v>
      </c>
      <c r="CY96" s="59">
        <f ca="1">AVERAGE(OFFSET($CX$3,0,0,'Données projet'!$E$13+1,1))-AVERAGE(OFFSET($H$3,0,0,'Données projet'!$E$13+1,1))</f>
        <v>747.18304127457918</v>
      </c>
      <c r="CZ96" s="59">
        <f t="shared" si="96"/>
        <v>327.03701004966723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21.936105616198059</v>
      </c>
      <c r="DG96" s="21">
        <f>EXP(-LN(2)/25)*DG95+(1-EXP(-LN(2)/25))/(LN(2)/25)*Calculateur!DB96*Calculateur!DD96*VLOOKUP('Données projet'!$B$13,Paramètres!$A$1:$I$89,3,0)*0.475*44/12</f>
        <v>27.417436470946605</v>
      </c>
      <c r="DH96" s="21">
        <f>EXP(-LN(2)/2)*DH95+(1-EXP(-LN(2)/2))/(LN(2)/2)*DB96*DE96*VLOOKUP('Données projet'!$B$13,Paramètres!$A$1:$I$89,3,0)*0.475*44/12</f>
        <v>0.30705920712711948</v>
      </c>
      <c r="DI96" s="22">
        <f t="shared" si="69"/>
        <v>49.660601294271778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353.37479213497227</v>
      </c>
      <c r="DU96" s="59">
        <f t="shared" si="98"/>
        <v>345.4750813433123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40.183020570202636</v>
      </c>
      <c r="EB96" s="21">
        <f>EXP(-LN(2)/25)*EB95+(1-EXP(-LN(2)/25))/(LN(2)/25)*Calculateur!DW96*Calculateur!DY96*VLOOKUP('Données projet'!$B$14,Paramètres!$A$1:$I$89,3,0)*0.475*44/12</f>
        <v>35.791735421893478</v>
      </c>
      <c r="EC96" s="21">
        <f>EXP(-LN(2)/2)*EC95+(1-EXP(-LN(2)/2))/(LN(2)/2)*DW96*DZ96*VLOOKUP('Données projet'!$B$14,Paramètres!$A$1:$I$89,3,0)*0.475*44/12</f>
        <v>0.68966467991024494</v>
      </c>
      <c r="ED96" s="22">
        <f t="shared" si="72"/>
        <v>76.664420672006358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69.507500000000007</v>
      </c>
      <c r="EJ96" s="12">
        <f>IF('Données projet'!$A$192&gt;35,EJ95+EI96-ER95,IF(A96&lt;'Données projet'!$A$192,$EG$205^A96,IF(A96='Données projet'!$A$192,'Données projet'!$B$192,EJ95+EI96-ER95)))</f>
        <v>406.21499999999946</v>
      </c>
      <c r="EK96" s="17">
        <f>EJ96*VLOOKUP('Données projet'!$B$15,Paramètres!$A$1:$I$89,3,0)*VLOOKUP('Données projet'!$B$15,Paramètres!$A$1:$I$89,5,0)</f>
        <v>190.10861999999975</v>
      </c>
      <c r="EL96" s="13">
        <f t="shared" si="99"/>
        <v>47.563966392182309</v>
      </c>
      <c r="EM96" s="20">
        <f t="shared" si="73"/>
        <v>413.94642129971703</v>
      </c>
      <c r="EN96" s="59">
        <f t="shared" si="74"/>
        <v>707.27975463305029</v>
      </c>
      <c r="EO96" s="59">
        <f ca="1">AVERAGE(OFFSET($EN$3,0,0,'Données projet'!$E$15+1,1))-AVERAGE(OFFSET($H$3,0,0,'Données projet'!$E$15+1,1))</f>
        <v>433.05041777893922</v>
      </c>
      <c r="EP96" s="59">
        <f t="shared" si="100"/>
        <v>591.24088611958996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208.2313534654858</v>
      </c>
      <c r="EW96" s="21">
        <f>EXP(-LN(2)/25)*EW95+(1-EXP(-LN(2)/25))/(LN(2)/25)*Calculateur!ER96*Calculateur!ET96*VLOOKUP('Données projet'!$B$15,Paramètres!$A$1:$I$89,3,0)*0.475*44/12</f>
        <v>65.587866997248142</v>
      </c>
      <c r="EX96" s="21">
        <f>EXP(-LN(2)/2)*EX95+(1-EXP(-LN(2)/2))/(LN(2)/2)*ER96*EU96*VLOOKUP('Données projet'!$B$15,Paramètres!$A$1:$I$89,3,0)*0.475*44/12</f>
        <v>15.605124623165777</v>
      </c>
      <c r="EY96" s="22">
        <f t="shared" si="75"/>
        <v>289.42434508589969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-8.5265128291212022E-14</v>
      </c>
      <c r="FF96" s="17">
        <f>FE96*VLOOKUP('Données projet'!$B$16,Paramètres!$A$1:$I$89,3,0)*VLOOKUP('Données projet'!$B$16,Paramètres!$A$1:$I$89,5,0)</f>
        <v>-6.9167072069831198E-14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159.4660488566085</v>
      </c>
      <c r="FK96" s="59">
        <f t="shared" si="102"/>
        <v>135.33030558297088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14.88802060044976</v>
      </c>
      <c r="FS96" s="21">
        <f>EXP(-LN(2)/2)*FS95+(1-EXP(-LN(2)/2))/(LN(2)/2)*FM96*FP96*VLOOKUP('Données projet'!$B$16,Paramètres!$A$1:$I$89,3,0)*0.475*44/12</f>
        <v>8.8547681515669669</v>
      </c>
      <c r="FT96" s="22">
        <f t="shared" si="78"/>
        <v>23.742788752016729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380.13</v>
      </c>
      <c r="L97" s="12">
        <f>VLOOKUP(A97,'Données projet'!$A$35:$I$55,9,0)</f>
        <v>9.1730000000000018</v>
      </c>
      <c r="M97" s="12">
        <f t="array" ref="M97">INDEX(L:L,MIN(IF(ISNUMBER(L97:L293),ROW(L97:L293),"")))</f>
        <v>9.1730000000000018</v>
      </c>
      <c r="N97" s="13">
        <f>IF('Données projet'!$A$36&gt;35,N96+M97-V96,IF(A97&lt;'Données projet'!$A$36,$K$205^A97,IF(A97='Données projet'!$A$36,'Données projet'!$B$36,N96+M97-V96)))</f>
        <v>380.13000000000051</v>
      </c>
      <c r="O97" s="13">
        <f>N97*VLOOKUP('Données projet'!$B$9,Paramètres!$A$1:$I$89,3,0)*VLOOKUP('Données projet'!$B$9,Paramètres!$A$1:$I$89,5,0)</f>
        <v>385.45182000000051</v>
      </c>
      <c r="P97" s="13">
        <f t="shared" si="87"/>
        <v>88.820915611280114</v>
      </c>
      <c r="Q97" s="20">
        <f t="shared" si="54"/>
        <v>826.02501452298031</v>
      </c>
      <c r="R97" s="59">
        <f t="shared" si="55"/>
        <v>1119.3583478563137</v>
      </c>
      <c r="S97" s="59">
        <f ca="1">AVERAGE(OFFSET($R$3,0,0,'Données projet'!$E$9+1,1))-AVERAGE(OFFSET($H$3,0,0,'Données projet'!$E$9+1,1))</f>
        <v>706.69239849991595</v>
      </c>
      <c r="T97" s="59">
        <f t="shared" si="88"/>
        <v>310.59887275116529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67.350000000000023</v>
      </c>
      <c r="W97" s="16">
        <f>IF(ISNA(VLOOKUP(A97,'Données projet'!$A$35:$I$55,5,0)),0%,VLOOKUP(A97,'Données projet'!$A$35:$I$55,5,0)*VLOOKUP('Données projet'!$B$9,Paramètres!$A$1:$I$89,7,0))</f>
        <v>0.15049999999999999</v>
      </c>
      <c r="X97" s="16">
        <f>IF(ISNA(VLOOKUP(A97,'Données projet'!$A$35:$I$55,6,0)),0%,VLOOKUP(A97,'Données projet'!$A$35:$I$55,6,0)*VLOOKUP('Données projet'!$B$9,Paramètres!$A$1:$I$89,7,0))</f>
        <v>8.6000000000000007E-2</v>
      </c>
      <c r="Y97" s="16">
        <f>IF(ISNA(VLOOKUP(A97,'Données projet'!$A$35:$I$55,7,0)),0%,VLOOKUP(A97,'Données projet'!$A$35:$I$55,7,0))</f>
        <v>0.1</v>
      </c>
      <c r="Z97" s="21">
        <f>EXP(-LN(2)/35)*Z96+(1-EXP(-LN(2)/35))/(LN(2)/35)*V97*W97*VLOOKUP('Données projet'!$B$9,Paramètres!$A$1:$I$89,3,0)*0.475*44/12</f>
        <v>31.62134471313977</v>
      </c>
      <c r="AA97" s="21">
        <f>EXP(-LN(2)/25)*AA96+(1-EXP(-LN(2)/25))/(LN(2)/25)*Calculateur!V97*Calculateur!X97*VLOOKUP('Données projet'!$B$9,Paramètres!$A$1:$I$89,3,0)*0.475*44/12</f>
        <v>31.588824232182965</v>
      </c>
      <c r="AB97" s="21">
        <f>EXP(-LN(2)/2)*AB96+(1-EXP(-LN(2)/2))/(LN(2)/2)*V97*Y97*VLOOKUP('Données projet'!$B$9,Paramètres!$A$1:$I$89,3,0)*0.475*44/12</f>
        <v>6.6481556921098957</v>
      </c>
      <c r="AC97" s="22">
        <f t="shared" si="57"/>
        <v>69.858324637432631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1.7948717948717956</v>
      </c>
      <c r="AI97" s="13">
        <f>IF('Données projet'!$A$62&gt;35,AI96+AH97-AQ96,IF(A97&lt;'Données projet'!$A$62,$AF$205^A97,IF(A97='Données projet'!$A$62,'Données projet'!$B$62,AI96+AH97-AQ96)))</f>
        <v>138.58974358974353</v>
      </c>
      <c r="AJ97" s="13">
        <f>AI97*VLOOKUP('Données projet'!$B$10,Paramètres!$A$1:$I$89,3,0)*VLOOKUP('Données projet'!$B$10,Paramètres!$A$1:$I$89,5,0)</f>
        <v>144.85399999999996</v>
      </c>
      <c r="AK97" s="13">
        <f t="shared" si="89"/>
        <v>37.406773318436002</v>
      </c>
      <c r="AL97" s="20">
        <f t="shared" si="58"/>
        <v>317.43751352960925</v>
      </c>
      <c r="AM97" s="59">
        <f t="shared" si="59"/>
        <v>610.77084686294256</v>
      </c>
      <c r="AN97" s="59">
        <f ca="1">AVERAGE(OFFSET($AM$3,0,0,'Données projet'!$E$10+1,1))-AVERAGE(OFFSET($H$3,0,0,'Données projet'!$E$10+1,1))</f>
        <v>239.26156489359892</v>
      </c>
      <c r="AO97" s="59">
        <f t="shared" si="90"/>
        <v>213.97034450798111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1.6347652306434253</v>
      </c>
      <c r="AV97" s="21">
        <f>EXP(-LN(2)/25)*AV96+(1-EXP(-LN(2)/25))/(LN(2)/25)*Calculateur!AQ97*Calculateur!AS97*VLOOKUP('Données projet'!$B$10,Paramètres!$A$1:$I$89,3,0)*0.475*44/12</f>
        <v>13.591771292678787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15.226536523322213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-1.7053025658242404E-13</v>
      </c>
      <c r="BE97" s="13">
        <f>BD97*VLOOKUP('Données projet'!$B$11,Paramètres!$A$1:$I$89,3,0)*VLOOKUP('Données projet'!$B$11,Paramètres!$A$1:$I$89,5,0)</f>
        <v>-1.4897523215040567E-13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324.86930206492627</v>
      </c>
      <c r="BJ97" s="59">
        <f t="shared" si="92"/>
        <v>317.03005098025352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34.918717813052879</v>
      </c>
      <c r="BQ97" s="21">
        <f>EXP(-LN(2)/25)*BQ96+(1-EXP(-LN(2)/25))/(LN(2)/25)*Calculateur!BL97*Calculateur!BN97*VLOOKUP('Données projet'!$B$11,Paramètres!$A$1:$I$89,3,0)*0.475*44/12</f>
        <v>31.551372913998286</v>
      </c>
      <c r="BR97" s="21">
        <f>EXP(-LN(2)/2)*BR96+(1-EXP(-LN(2)/2))/(LN(2)/2)*BL97*BO97*VLOOKUP('Données projet'!$B$11,Paramètres!$A$1:$I$89,3,0)*0.475*44/12</f>
        <v>0.44590632046354739</v>
      </c>
      <c r="BS97" s="22">
        <f t="shared" si="63"/>
        <v>66.915997047514722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6.7600000000000007</v>
      </c>
      <c r="BY97" s="12">
        <f>IF('Données projet'!$A$114&gt;35,BY96+BX97-CG96,IF(A97&lt;'Données projet'!$A$114,$BV$205^A97,IF(A97='Données projet'!$A$114,'Données projet'!$B$114,BY96+BX97-CG96)))</f>
        <v>245.80999999999989</v>
      </c>
      <c r="BZ97" s="13">
        <f>BY97*VLOOKUP('Données projet'!$B$12,Paramètres!$A$1:$I$89,3,0)*VLOOKUP('Données projet'!$B$12,Paramètres!$A$1:$I$89,5,0)</f>
        <v>279.92842799999988</v>
      </c>
      <c r="CA97" s="13">
        <f t="shared" si="93"/>
        <v>66.951883435020946</v>
      </c>
      <c r="CB97" s="20">
        <f t="shared" si="64"/>
        <v>604.14987574932786</v>
      </c>
      <c r="CC97" s="59">
        <f t="shared" si="65"/>
        <v>897.48320908266123</v>
      </c>
      <c r="CD97" s="59">
        <f ca="1">AVERAGE(OFFSET($CC$3,0,0,'Données projet'!$E$12+1,1))-AVERAGE(OFFSET($H$3,0,0,'Données projet'!$E$12+1,1))</f>
        <v>593.28343396240075</v>
      </c>
      <c r="CE97" s="59">
        <f t="shared" si="94"/>
        <v>289.66477662068695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6.0704163778716342</v>
      </c>
      <c r="CL97" s="21">
        <f>EXP(-LN(2)/25)*CL96+(1-EXP(-LN(2)/25))/(LN(2)/25)*Calculateur!CG97*Calculateur!CI97*VLOOKUP('Données projet'!$B$12,Paramètres!$A$1:$I$89,3,0)*0.475*44/12</f>
        <v>33.735489803555332</v>
      </c>
      <c r="CM97" s="21">
        <f>EXP(-LN(2)/2)*CM96+(1-EXP(-LN(2)/2))/(LN(2)/2)*CG97*CJ97*VLOOKUP('Données projet'!$B$12,Paramètres!$A$1:$I$89,3,0)*0.475*44/12</f>
        <v>0.27393955232924444</v>
      </c>
      <c r="CN97" s="22">
        <f t="shared" si="66"/>
        <v>40.079845733756208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>
        <f>VLOOKUP(A97,'Données projet'!$A$139:$I$159,2,0)</f>
        <v>380.13</v>
      </c>
      <c r="CR97" s="12">
        <f>VLOOKUP(A97,'Données projet'!$A$139:$I$159,9,0)</f>
        <v>9.1730000000000018</v>
      </c>
      <c r="CS97" s="12">
        <f t="array" ref="CS97">INDEX(CR:CR,MIN(IF(ISNUMBER(CR97:CR293),ROW(CR97:CR293),"")))</f>
        <v>9.1730000000000018</v>
      </c>
      <c r="CT97" s="12">
        <f>IF('Données projet'!$A$140&gt;35,CT96+CS97-DB96,IF(A97&lt;'Données projet'!$A$140,$CQ$205^A97,IF(A97='Données projet'!$A$140,'Données projet'!$B$140,CT96+CS97-DB96)))</f>
        <v>380.13000000000051</v>
      </c>
      <c r="CU97" s="17">
        <f>CT97*VLOOKUP('Données projet'!$B$13,Paramètres!$A$1:$I$89,3,0)*VLOOKUP('Données projet'!$B$13,Paramètres!$A$1:$I$89,5,0)</f>
        <v>409.17193200000054</v>
      </c>
      <c r="CV97" s="13">
        <f t="shared" si="95"/>
        <v>93.633673107515506</v>
      </c>
      <c r="CW97" s="20">
        <f t="shared" si="67"/>
        <v>875.71976222892374</v>
      </c>
      <c r="CX97" s="59">
        <f t="shared" si="68"/>
        <v>1169.0530955622571</v>
      </c>
      <c r="CY97" s="59">
        <f ca="1">AVERAGE(OFFSET($CX$3,0,0,'Données projet'!$E$13+1,1))-AVERAGE(OFFSET($H$3,0,0,'Données projet'!$E$13+1,1))</f>
        <v>747.18304127457918</v>
      </c>
      <c r="CZ97" s="59">
        <f t="shared" si="96"/>
        <v>327.03701004966723</v>
      </c>
      <c r="DA97" s="15">
        <f>IF(ISNA(VLOOKUP(A97,'Données projet'!$A$139:$I$159,3,0)),0,VLOOKUP(A97,'Données projet'!$A$139:$I$159,3,0))</f>
        <v>7</v>
      </c>
      <c r="DB97" s="15">
        <f>IF(ISNA(VLOOKUP(A97,'Données projet'!$A$139:$I$159,4,0)),0,VLOOKUP(A97,'Données projet'!$A$139:$I$159,4,0))</f>
        <v>67.350000000000023</v>
      </c>
      <c r="DC97" s="16">
        <f>IF(ISNA(VLOOKUP(A97,'Données projet'!$A$139:$I$159,5,0)),0%,VLOOKUP(A97,'Données projet'!$A$139:$I$159,5,0)*VLOOKUP('Données projet'!$B$13,Paramètres!$A$1:$I$89,7,0))</f>
        <v>0.15049999999999999</v>
      </c>
      <c r="DD97" s="16">
        <f>IF(ISNA(VLOOKUP(A97,'Données projet'!$A$139:$I$159,6,0)),0%,VLOOKUP(A97,'Données projet'!$A$139:$I$159,6,0)*VLOOKUP('Données projet'!$B$13,Paramètres!$A$1:$I$89,7,0))</f>
        <v>8.6000000000000007E-2</v>
      </c>
      <c r="DE97" s="16">
        <f>IF(ISNA(VLOOKUP(A97,'Données projet'!$A$139:$I$159,7,0)),0%,VLOOKUP(A97,'Données projet'!$A$139:$I$159,7,0))</f>
        <v>0.1</v>
      </c>
      <c r="DF97" s="21">
        <f>EXP(-LN(2)/35)*DF96+(1-EXP(-LN(2)/35))/(LN(2)/35)*DB97*DC97*VLOOKUP('Données projet'!$B$13,Paramètres!$A$1:$I$89,3,0)*0.475*44/12</f>
        <v>33.567273618563753</v>
      </c>
      <c r="DG97" s="21">
        <f>EXP(-LN(2)/25)*DG96+(1-EXP(-LN(2)/25))/(LN(2)/25)*Calculateur!DB97*Calculateur!DD97*VLOOKUP('Données projet'!$B$13,Paramètres!$A$1:$I$89,3,0)*0.475*44/12</f>
        <v>33.532751877240372</v>
      </c>
      <c r="DH97" s="21">
        <f>EXP(-LN(2)/2)*DH96+(1-EXP(-LN(2)/2))/(LN(2)/2)*DB97*DE97*VLOOKUP('Données projet'!$B$13,Paramètres!$A$1:$I$89,3,0)*0.475*44/12</f>
        <v>7.0572729654705029</v>
      </c>
      <c r="DI97" s="22">
        <f t="shared" si="69"/>
        <v>74.157298461274621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353.37479213497227</v>
      </c>
      <c r="DU97" s="59">
        <f t="shared" si="98"/>
        <v>345.4750813433123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39.395056046043429</v>
      </c>
      <c r="EB97" s="21">
        <f>EXP(-LN(2)/25)*EB96+(1-EXP(-LN(2)/25))/(LN(2)/25)*Calculateur!DW97*Calculateur!DY97*VLOOKUP('Données projet'!$B$14,Paramètres!$A$1:$I$89,3,0)*0.475*44/12</f>
        <v>34.813008534576241</v>
      </c>
      <c r="EC97" s="21">
        <f>EXP(-LN(2)/2)*EC96+(1-EXP(-LN(2)/2))/(LN(2)/2)*DW97*DZ97*VLOOKUP('Données projet'!$B$14,Paramètres!$A$1:$I$89,3,0)*0.475*44/12</f>
        <v>0.48766657190938395</v>
      </c>
      <c r="ED97" s="22">
        <f t="shared" si="72"/>
        <v>74.695731152529049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69.507500000000007</v>
      </c>
      <c r="EJ97" s="12">
        <f>IF('Données projet'!$A$192&gt;35,EJ96+EI97-ER96,IF(A97&lt;'Données projet'!$A$192,$EG$205^A97,IF(A97='Données projet'!$A$192,'Données projet'!$B$192,EJ96+EI97-ER96)))</f>
        <v>475.72249999999946</v>
      </c>
      <c r="EK97" s="17">
        <f>EJ97*VLOOKUP('Données projet'!$B$15,Paramètres!$A$1:$I$89,3,0)*VLOOKUP('Données projet'!$B$15,Paramètres!$A$1:$I$89,5,0)</f>
        <v>222.63812999999973</v>
      </c>
      <c r="EL97" s="13">
        <f t="shared" si="99"/>
        <v>54.687871847990699</v>
      </c>
      <c r="EM97" s="20">
        <f t="shared" si="73"/>
        <v>483.00945321858336</v>
      </c>
      <c r="EN97" s="59">
        <f t="shared" si="74"/>
        <v>776.34278655191667</v>
      </c>
      <c r="EO97" s="59">
        <f ca="1">AVERAGE(OFFSET($EN$3,0,0,'Données projet'!$E$15+1,1))-AVERAGE(OFFSET($H$3,0,0,'Données projet'!$E$15+1,1))</f>
        <v>433.05041777893922</v>
      </c>
      <c r="EP97" s="59">
        <f t="shared" si="100"/>
        <v>591.24088611958996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204.14806363261218</v>
      </c>
      <c r="EW97" s="21">
        <f>EXP(-LN(2)/25)*EW96+(1-EXP(-LN(2)/25))/(LN(2)/25)*Calculateur!ER97*Calculateur!ET97*VLOOKUP('Données projet'!$B$15,Paramètres!$A$1:$I$89,3,0)*0.475*44/12</f>
        <v>63.79436332509237</v>
      </c>
      <c r="EX97" s="21">
        <f>EXP(-LN(2)/2)*EX96+(1-EXP(-LN(2)/2))/(LN(2)/2)*ER97*EU97*VLOOKUP('Données projet'!$B$15,Paramètres!$A$1:$I$89,3,0)*0.475*44/12</f>
        <v>11.034489442301689</v>
      </c>
      <c r="EY97" s="22">
        <f t="shared" si="75"/>
        <v>278.97691640000619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-8.5265128291212022E-14</v>
      </c>
      <c r="FF97" s="17">
        <f>FE97*VLOOKUP('Données projet'!$B$16,Paramètres!$A$1:$I$89,3,0)*VLOOKUP('Données projet'!$B$16,Paramètres!$A$1:$I$89,5,0)</f>
        <v>-6.9167072069831198E-14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159.4660488566085</v>
      </c>
      <c r="FK97" s="59">
        <f t="shared" si="102"/>
        <v>135.33030558297088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14.480906894203486</v>
      </c>
      <c r="FS97" s="21">
        <f>EXP(-LN(2)/2)*FS96+(1-EXP(-LN(2)/2))/(LN(2)/2)*FM97*FP97*VLOOKUP('Données projet'!$B$16,Paramètres!$A$1:$I$89,3,0)*0.475*44/12</f>
        <v>6.2612666058076734</v>
      </c>
      <c r="FT97" s="22">
        <f t="shared" si="78"/>
        <v>20.742173500011159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8.9420000000000019</v>
      </c>
      <c r="N98" s="13">
        <f>IF('Données projet'!$A$36&gt;35,N97+M98-V97,IF(A98&lt;'Données projet'!$A$36,$K$205^A98,IF(A98='Données projet'!$A$36,'Données projet'!$B$36,N97+M98-V97)))</f>
        <v>321.72200000000049</v>
      </c>
      <c r="O98" s="13">
        <f>N98*VLOOKUP('Données projet'!$B$9,Paramètres!$A$1:$I$89,3,0)*VLOOKUP('Données projet'!$B$9,Paramètres!$A$1:$I$89,5,0)</f>
        <v>326.22610800000052</v>
      </c>
      <c r="P98" s="13">
        <f t="shared" si="87"/>
        <v>76.647360081996098</v>
      </c>
      <c r="Q98" s="20">
        <f t="shared" si="54"/>
        <v>701.67129024281076</v>
      </c>
      <c r="R98" s="59">
        <f t="shared" si="55"/>
        <v>995.00462357614401</v>
      </c>
      <c r="S98" s="59">
        <f ca="1">AVERAGE(OFFSET($R$3,0,0,'Données projet'!$E$9+1,1))-AVERAGE(OFFSET($H$3,0,0,'Données projet'!$E$9+1,1))</f>
        <v>706.69239849991595</v>
      </c>
      <c r="T98" s="59">
        <f t="shared" si="88"/>
        <v>310.59887275116529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31.001269430430931</v>
      </c>
      <c r="AA98" s="21">
        <f>EXP(-LN(2)/25)*AA97+(1-EXP(-LN(2)/25))/(LN(2)/25)*Calculateur!V98*Calculateur!X98*VLOOKUP('Données projet'!$B$9,Paramètres!$A$1:$I$89,3,0)*0.475*44/12</f>
        <v>30.725026172369851</v>
      </c>
      <c r="AB98" s="21">
        <f>EXP(-LN(2)/2)*AB97+(1-EXP(-LN(2)/2))/(LN(2)/2)*V98*Y98*VLOOKUP('Données projet'!$B$9,Paramètres!$A$1:$I$89,3,0)*0.475*44/12</f>
        <v>4.7009559722748531</v>
      </c>
      <c r="AC98" s="22">
        <f t="shared" si="57"/>
        <v>66.42725157507563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140.38461538461539</v>
      </c>
      <c r="AG98" s="12">
        <f>VLOOKUP(A98,'Données projet'!$A$61:$I$81,9,0)</f>
        <v>1.7948717948717956</v>
      </c>
      <c r="AH98" s="12">
        <f t="array" ref="AH98">INDEX(AG:AG,MIN(IF(ISNUMBER(AG98:AG294),ROW(AG98:AG294),"")))</f>
        <v>1.7948717948717956</v>
      </c>
      <c r="AI98" s="13">
        <f>IF('Données projet'!$A$62&gt;35,AI97+AH98-AQ97,IF(A98&lt;'Données projet'!$A$62,$AF$205^A98,IF(A98='Données projet'!$A$62,'Données projet'!$B$62,AI97+AH98-AQ97)))</f>
        <v>140.38461538461533</v>
      </c>
      <c r="AJ98" s="13">
        <f>AI98*VLOOKUP('Données projet'!$B$10,Paramètres!$A$1:$I$89,3,0)*VLOOKUP('Données projet'!$B$10,Paramètres!$A$1:$I$89,5,0)</f>
        <v>146.72999999999996</v>
      </c>
      <c r="AK98" s="13">
        <f t="shared" si="89"/>
        <v>37.834515808707891</v>
      </c>
      <c r="AL98" s="20">
        <f t="shared" si="58"/>
        <v>321.44986503349952</v>
      </c>
      <c r="AM98" s="59">
        <f t="shared" si="59"/>
        <v>614.78319836683283</v>
      </c>
      <c r="AN98" s="59">
        <f ca="1">AVERAGE(OFFSET($AM$3,0,0,'Données projet'!$E$10+1,1))-AVERAGE(OFFSET($H$3,0,0,'Données projet'!$E$10+1,1))</f>
        <v>239.26156489359892</v>
      </c>
      <c r="AO98" s="59">
        <f t="shared" si="90"/>
        <v>213.97034450798111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7.0512820512820511</v>
      </c>
      <c r="AR98" s="16">
        <f>IF(ISNA(VLOOKUP(A98,'Données projet'!$A$61:$I$81,5,0)),0%,VLOOKUP(A98,'Données projet'!$A$61:$I$81,5,0)*VLOOKUP('Données projet'!$B$10,Paramètres!$A$1:$I$89,7,0))</f>
        <v>4.3000000000000003E-2</v>
      </c>
      <c r="AS98" s="16">
        <f>IF(ISNA(VLOOKUP(A98,'Données projet'!$A$61:$I$81,6,0)),0%,VLOOKUP(A98,'Données projet'!$A$61:$I$81,6,0)*VLOOKUP('Données projet'!$B$10,Paramètres!$A$1:$I$89,7,0))</f>
        <v>0.215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1.9530430995566295</v>
      </c>
      <c r="AV98" s="21">
        <f>EXP(-LN(2)/25)*AV97+(1-EXP(-LN(2)/25))/(LN(2)/25)*Calculateur!AQ98*Calculateur!AS98*VLOOKUP('Données projet'!$B$10,Paramètres!$A$1:$I$89,3,0)*0.475*44/12</f>
        <v>14.964879677414567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16.917922776971196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-1.7053025658242404E-13</v>
      </c>
      <c r="BE98" s="13">
        <f>BD98*VLOOKUP('Données projet'!$B$11,Paramètres!$A$1:$I$89,3,0)*VLOOKUP('Données projet'!$B$11,Paramètres!$A$1:$I$89,5,0)</f>
        <v>-1.4897523215040567E-13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324.86930206492627</v>
      </c>
      <c r="BJ98" s="59">
        <f t="shared" si="92"/>
        <v>317.03005098025352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34.233983055053741</v>
      </c>
      <c r="BQ98" s="21">
        <f>EXP(-LN(2)/25)*BQ97+(1-EXP(-LN(2)/25))/(LN(2)/25)*Calculateur!BL98*Calculateur!BN98*VLOOKUP('Données projet'!$B$11,Paramètres!$A$1:$I$89,3,0)*0.475*44/12</f>
        <v>30.688598962450413</v>
      </c>
      <c r="BR98" s="21">
        <f>EXP(-LN(2)/2)*BR97+(1-EXP(-LN(2)/2))/(LN(2)/2)*BL98*BO98*VLOOKUP('Données projet'!$B$11,Paramètres!$A$1:$I$89,3,0)*0.475*44/12</f>
        <v>0.31530338297371618</v>
      </c>
      <c r="BS98" s="22">
        <f t="shared" si="63"/>
        <v>65.237885400477865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252.57</v>
      </c>
      <c r="BW98" s="12">
        <f>VLOOKUP(A98,'Données projet'!$A$113:$I$133,9,0)</f>
        <v>6.7600000000000007</v>
      </c>
      <c r="BX98" s="12">
        <f t="array" ref="BX98">INDEX(BW:BW,MIN(IF(ISNUMBER(BW98:BW294),ROW(BW98:BW294),"")))</f>
        <v>6.7600000000000007</v>
      </c>
      <c r="BY98" s="12">
        <f>IF('Données projet'!$A$114&gt;35,BY97+BX98-CG97,IF(A98&lt;'Données projet'!$A$114,$BV$205^A98,IF(A98='Données projet'!$A$114,'Données projet'!$B$114,BY97+BX98-CG97)))</f>
        <v>252.56999999999988</v>
      </c>
      <c r="BZ98" s="13">
        <f>BY98*VLOOKUP('Données projet'!$B$12,Paramètres!$A$1:$I$89,3,0)*VLOOKUP('Données projet'!$B$12,Paramètres!$A$1:$I$89,5,0)</f>
        <v>287.62671599999982</v>
      </c>
      <c r="CA98" s="13">
        <f t="shared" si="93"/>
        <v>68.576223699906507</v>
      </c>
      <c r="CB98" s="20">
        <f t="shared" si="64"/>
        <v>620.38678664400345</v>
      </c>
      <c r="CC98" s="59">
        <f t="shared" si="65"/>
        <v>913.72011997733671</v>
      </c>
      <c r="CD98" s="59">
        <f ca="1">AVERAGE(OFFSET($CC$3,0,0,'Données projet'!$E$12+1,1))-AVERAGE(OFFSET($H$3,0,0,'Données projet'!$E$12+1,1))</f>
        <v>593.28343396240075</v>
      </c>
      <c r="CE98" s="59">
        <f t="shared" si="94"/>
        <v>289.66477662068695</v>
      </c>
      <c r="CF98" s="15">
        <f>IF(ISNA(VLOOKUP(A98,'Données projet'!$A$113:$I$133,3,0)),0,VLOOKUP(A98,'Données projet'!$A$113:$I$133,3,0))</f>
        <v>5</v>
      </c>
      <c r="CG98" s="15">
        <f>IF(ISNA(VLOOKUP(A98,'Données projet'!$A$113:$I$133,4,0)),0,VLOOKUP(A98,'Données projet'!$A$113:$I$133,4,0))</f>
        <v>42.199999999999989</v>
      </c>
      <c r="CH98" s="16">
        <f>IF(ISNA(VLOOKUP(A98,'Données projet'!$A$113:$I$133,5,0)),0%,VLOOKUP(A98,'Données projet'!$A$113:$I$133,5,0)*VLOOKUP('Données projet'!$B$12,Paramètres!$A$1:$I$89,7,0))</f>
        <v>0.15049999999999999</v>
      </c>
      <c r="CI98" s="16">
        <f>IF(ISNA(VLOOKUP(A98,'Données projet'!$A$113:$I$133,6,0)),0%,VLOOKUP(A98,'Données projet'!$A$113:$I$133,6,0)*VLOOKUP('Données projet'!$B$12,Paramètres!$A$1:$I$89,7,0))</f>
        <v>8.6000000000000007E-2</v>
      </c>
      <c r="CJ98" s="16">
        <f>IF(ISNA(VLOOKUP(A98,'Données projet'!$A$113:$I$133,7,0)),0%,VLOOKUP(A98,'Données projet'!$A$113:$I$133,7,0))</f>
        <v>0.1</v>
      </c>
      <c r="CK98" s="21">
        <f>EXP(-LN(2)/35)*CK97+(1-EXP(-LN(2)/35))/(LN(2)/35)*CG98*CH98*VLOOKUP('Données projet'!$B$12,Paramètres!$A$1:$I$89,3,0)*0.475*44/12</f>
        <v>13.946840409071978</v>
      </c>
      <c r="CL98" s="21">
        <f>EXP(-LN(2)/25)*CL97+(1-EXP(-LN(2)/25))/(LN(2)/25)*Calculateur!CG98*Calculateur!CI98*VLOOKUP('Données projet'!$B$12,Paramètres!$A$1:$I$89,3,0)*0.475*44/12</f>
        <v>37.363836784549115</v>
      </c>
      <c r="CM98" s="21">
        <f>EXP(-LN(2)/2)*CM97+(1-EXP(-LN(2)/2))/(LN(2)/2)*CG98*CJ98*VLOOKUP('Données projet'!$B$12,Paramètres!$A$1:$I$89,3,0)*0.475*44/12</f>
        <v>4.7280457755752554</v>
      </c>
      <c r="CN98" s="22">
        <f t="shared" si="66"/>
        <v>56.038722969196343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8.9420000000000019</v>
      </c>
      <c r="CT98" s="12">
        <f>IF('Données projet'!$A$140&gt;35,CT97+CS98-DB97,IF(A98&lt;'Données projet'!$A$140,$CQ$205^A98,IF(A98='Données projet'!$A$140,'Données projet'!$B$140,CT97+CS98-DB97)))</f>
        <v>321.72200000000049</v>
      </c>
      <c r="CU98" s="17">
        <f>CT98*VLOOKUP('Données projet'!$B$13,Paramètres!$A$1:$I$89,3,0)*VLOOKUP('Données projet'!$B$13,Paramètres!$A$1:$I$89,5,0)</f>
        <v>346.30156080000052</v>
      </c>
      <c r="CV98" s="13">
        <f t="shared" si="95"/>
        <v>80.800493994910113</v>
      </c>
      <c r="CW98" s="20">
        <f t="shared" si="67"/>
        <v>743.86941210113582</v>
      </c>
      <c r="CX98" s="59">
        <f t="shared" si="68"/>
        <v>1037.2027454344691</v>
      </c>
      <c r="CY98" s="59">
        <f ca="1">AVERAGE(OFFSET($CX$3,0,0,'Données projet'!$E$13+1,1))-AVERAGE(OFFSET($H$3,0,0,'Données projet'!$E$13+1,1))</f>
        <v>747.18304127457918</v>
      </c>
      <c r="CZ98" s="59">
        <f t="shared" si="96"/>
        <v>327.03701004966723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32.909039856918987</v>
      </c>
      <c r="DG98" s="21">
        <f>EXP(-LN(2)/25)*DG97+(1-EXP(-LN(2)/25))/(LN(2)/25)*Calculateur!DB98*Calculateur!DD98*VLOOKUP('Données projet'!$B$13,Paramètres!$A$1:$I$89,3,0)*0.475*44/12</f>
        <v>32.615797013746452</v>
      </c>
      <c r="DH98" s="21">
        <f>EXP(-LN(2)/2)*DH97+(1-EXP(-LN(2)/2))/(LN(2)/2)*DB98*DE98*VLOOKUP('Données projet'!$B$13,Paramètres!$A$1:$I$89,3,0)*0.475*44/12</f>
        <v>4.990245570568689</v>
      </c>
      <c r="DI98" s="22">
        <f t="shared" si="69"/>
        <v>70.515082441234128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353.37479213497227</v>
      </c>
      <c r="DU98" s="59">
        <f t="shared" si="98"/>
        <v>345.4750813433123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38.62254302559208</v>
      </c>
      <c r="EB98" s="21">
        <f>EXP(-LN(2)/25)*EB97+(1-EXP(-LN(2)/25))/(LN(2)/25)*Calculateur!DW98*Calculateur!DY98*VLOOKUP('Données projet'!$B$14,Paramètres!$A$1:$I$89,3,0)*0.475*44/12</f>
        <v>33.861044985461703</v>
      </c>
      <c r="EC98" s="21">
        <f>EXP(-LN(2)/2)*EC97+(1-EXP(-LN(2)/2))/(LN(2)/2)*DW98*DZ98*VLOOKUP('Données projet'!$B$14,Paramètres!$A$1:$I$89,3,0)*0.475*44/12</f>
        <v>0.34483233995512252</v>
      </c>
      <c r="ED98" s="22">
        <f t="shared" si="72"/>
        <v>72.828420351008901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projet'!$A$191:$I$211,2,0)</f>
        <v>545.23</v>
      </c>
      <c r="EH98" s="12">
        <f>VLOOKUP(A98,'Données projet'!$A$191:$I$211,9,0)</f>
        <v>69.507500000000007</v>
      </c>
      <c r="EI98" s="12">
        <f t="array" ref="EI98">INDEX(EH:EH,MIN(IF(ISNUMBER(EH98:EH294),ROW(EH98:EH294),"")))</f>
        <v>69.507500000000007</v>
      </c>
      <c r="EJ98" s="12">
        <f>IF('Données projet'!$A$192&gt;35,EJ97+EI98-ER97,IF(A98&lt;'Données projet'!$A$192,$EG$205^A98,IF(A98='Données projet'!$A$192,'Données projet'!$B$192,EJ97+EI98-ER97)))</f>
        <v>545.22999999999945</v>
      </c>
      <c r="EK98" s="17">
        <f>EJ98*VLOOKUP('Données projet'!$B$15,Paramètres!$A$1:$I$89,3,0)*VLOOKUP('Données projet'!$B$15,Paramètres!$A$1:$I$89,5,0)</f>
        <v>255.16763999999972</v>
      </c>
      <c r="EL98" s="13">
        <f t="shared" si="99"/>
        <v>61.691192075624961</v>
      </c>
      <c r="EM98" s="20">
        <f t="shared" si="73"/>
        <v>551.86246586504626</v>
      </c>
      <c r="EN98" s="59">
        <f t="shared" si="74"/>
        <v>845.19579919837952</v>
      </c>
      <c r="EO98" s="59">
        <f ca="1">AVERAGE(OFFSET($EN$3,0,0,'Données projet'!$E$15+1,1))-AVERAGE(OFFSET($H$3,0,0,'Données projet'!$E$15+1,1))</f>
        <v>433.05041777893922</v>
      </c>
      <c r="EP98" s="59">
        <f t="shared" si="100"/>
        <v>591.24088611958996</v>
      </c>
      <c r="EQ98" s="15">
        <f>IF(ISNA(VLOOKUP(A98,'Données projet'!$A$191:$I$211,3,0)),0,VLOOKUP(A98,'Données projet'!$A$191:$I$211,3,0))</f>
        <v>8</v>
      </c>
      <c r="ER98" s="15">
        <f>IF(ISNA(VLOOKUP(A98,'Données projet'!$A$191:$I$211,4,0)),0,VLOOKUP(A98,'Données projet'!$A$191:$I$211,4,0))</f>
        <v>272.32</v>
      </c>
      <c r="ES98" s="16">
        <f>IF(ISNA(VLOOKUP(A98,'Données projet'!$A$191:$I$211,5,0)),0%,VLOOKUP(A98,'Données projet'!$A$191:$I$211,5,0)*VLOOKUP('Données projet'!$B$15,Paramètres!$A$1:$I$89,7,0))</f>
        <v>0.33</v>
      </c>
      <c r="ET98" s="16">
        <f>IF(ISNA(VLOOKUP(A98,'Données projet'!$A$191:$I$211,6,0)),0%,VLOOKUP(A98,'Données projet'!$A$191:$I$211,6,0)*VLOOKUP('Données projet'!$B$15,Paramètres!$A$1:$I$89,7,0))</f>
        <v>0.11000000000000001</v>
      </c>
      <c r="EU98" s="16">
        <f>IF(ISNA(VLOOKUP(A98,'Données projet'!$A$191:$I$211,7,0)),0%,VLOOKUP(A98,'Données projet'!$A$191:$I$211,7,0))</f>
        <v>0.2</v>
      </c>
      <c r="EV98" s="21">
        <f>EXP(-LN(2)/35)*EV97+(1-EXP(-LN(2)/35))/(LN(2)/35)*ER98*ES98*VLOOKUP('Données projet'!$B$15,Paramètres!$A$1:$I$89,3,0)*0.475*44/12</f>
        <v>255.93629964291819</v>
      </c>
      <c r="EW98" s="21">
        <f>EXP(-LN(2)/25)*EW97+(1-EXP(-LN(2)/25))/(LN(2)/25)*Calculateur!ER98*Calculateur!ET98*VLOOKUP('Données projet'!$B$15,Paramètres!$A$1:$I$89,3,0)*0.475*44/12</f>
        <v>80.573830706332188</v>
      </c>
      <c r="EX98" s="21">
        <f>EXP(-LN(2)/2)*EX97+(1-EXP(-LN(2)/2))/(LN(2)/2)*ER98*EU98*VLOOKUP('Données projet'!$B$15,Paramètres!$A$1:$I$89,3,0)*0.475*44/12</f>
        <v>36.662203442544204</v>
      </c>
      <c r="EY98" s="22">
        <f t="shared" si="75"/>
        <v>373.17233379179459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-8.5265128291212022E-14</v>
      </c>
      <c r="FF98" s="17">
        <f>FE98*VLOOKUP('Données projet'!$B$16,Paramètres!$A$1:$I$89,3,0)*VLOOKUP('Données projet'!$B$16,Paramètres!$A$1:$I$89,5,0)</f>
        <v>-6.9167072069831198E-14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159.4660488566085</v>
      </c>
      <c r="FK98" s="59">
        <f t="shared" si="102"/>
        <v>135.33030558297088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14.084925733663693</v>
      </c>
      <c r="FS98" s="21">
        <f>EXP(-LN(2)/2)*FS97+(1-EXP(-LN(2)/2))/(LN(2)/2)*FM98*FP98*VLOOKUP('Données projet'!$B$16,Paramètres!$A$1:$I$89,3,0)*0.475*44/12</f>
        <v>4.4273840757834835</v>
      </c>
      <c r="FT98" s="22">
        <f t="shared" si="78"/>
        <v>18.512309809447178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8.9420000000000019</v>
      </c>
      <c r="N99" s="13">
        <f>IF('Données projet'!$A$36&gt;35,N98+M99-V98,IF(A99&lt;'Données projet'!$A$36,$K$205^A99,IF(A99='Données projet'!$A$36,'Données projet'!$B$36,N98+M99-V98)))</f>
        <v>330.6640000000005</v>
      </c>
      <c r="O99" s="13">
        <f>N99*VLOOKUP('Données projet'!$B$9,Paramètres!$A$1:$I$89,3,0)*VLOOKUP('Données projet'!$B$9,Paramètres!$A$1:$I$89,5,0)</f>
        <v>335.29329600000057</v>
      </c>
      <c r="P99" s="13">
        <f t="shared" si="87"/>
        <v>78.526724041362712</v>
      </c>
      <c r="Q99" s="20">
        <f t="shared" ref="Q99:Q130" si="107">(O99+P99)*0.475*44/12</f>
        <v>720.73653490537436</v>
      </c>
      <c r="R99" s="59">
        <f t="shared" si="55"/>
        <v>1014.0698682387076</v>
      </c>
      <c r="S99" s="59">
        <f ca="1">AVERAGE(OFFSET($R$3,0,0,'Données projet'!$E$9+1,1))-AVERAGE(OFFSET($H$3,0,0,'Données projet'!$E$9+1,1))</f>
        <v>706.69239849991595</v>
      </c>
      <c r="T99" s="59">
        <f t="shared" si="88"/>
        <v>310.59887275116529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30.393353445807435</v>
      </c>
      <c r="AA99" s="21">
        <f>EXP(-LN(2)/25)*AA98+(1-EXP(-LN(2)/25))/(LN(2)/25)*Calculateur!V99*Calculateur!X99*VLOOKUP('Données projet'!$B$9,Paramètres!$A$1:$I$89,3,0)*0.475*44/12</f>
        <v>29.884848715927493</v>
      </c>
      <c r="AB99" s="21">
        <f>EXP(-LN(2)/2)*AB98+(1-EXP(-LN(2)/2))/(LN(2)/2)*V99*Y99*VLOOKUP('Données projet'!$B$9,Paramètres!$A$1:$I$89,3,0)*0.475*44/12</f>
        <v>3.3240778460549487</v>
      </c>
      <c r="AC99" s="22">
        <f t="shared" si="57"/>
        <v>63.602280007789872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1.9230769230769227</v>
      </c>
      <c r="AI99" s="13">
        <f>IF('Données projet'!$A$62&gt;35,AI98+AH99-AQ98,IF(A99&lt;'Données projet'!$A$62,$AF$205^A99,IF(A99='Données projet'!$A$62,'Données projet'!$B$62,AI98+AH99-AQ98)))</f>
        <v>135.25641025641022</v>
      </c>
      <c r="AJ99" s="13">
        <f>AI99*VLOOKUP('Données projet'!$B$10,Paramètres!$A$1:$I$89,3,0)*VLOOKUP('Données projet'!$B$10,Paramètres!$A$1:$I$89,5,0)</f>
        <v>141.36999999999998</v>
      </c>
      <c r="AK99" s="13">
        <f t="shared" si="89"/>
        <v>36.610675159135589</v>
      </c>
      <c r="AL99" s="20">
        <f t="shared" si="58"/>
        <v>309.98300923549442</v>
      </c>
      <c r="AM99" s="59">
        <f t="shared" si="59"/>
        <v>603.31634256882774</v>
      </c>
      <c r="AN99" s="59">
        <f ca="1">AVERAGE(OFFSET($AM$3,0,0,'Données projet'!$E$10+1,1))-AVERAGE(OFFSET($H$3,0,0,'Données projet'!$E$10+1,1))</f>
        <v>239.26156489359892</v>
      </c>
      <c r="AO99" s="59">
        <f t="shared" si="90"/>
        <v>213.97034450798111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1.9147451156129895</v>
      </c>
      <c r="AV99" s="21">
        <f>EXP(-LN(2)/25)*AV98+(1-EXP(-LN(2)/25))/(LN(2)/25)*Calculateur!AQ99*Calculateur!AS99*VLOOKUP('Données projet'!$B$10,Paramètres!$A$1:$I$89,3,0)*0.475*44/12</f>
        <v>14.555664255666846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16.470409371279835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-1.7053025658242404E-13</v>
      </c>
      <c r="BE99" s="13">
        <f>BD99*VLOOKUP('Données projet'!$B$11,Paramètres!$A$1:$I$89,3,0)*VLOOKUP('Données projet'!$B$11,Paramètres!$A$1:$I$89,5,0)</f>
        <v>-1.4897523215040567E-13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324.86930206492627</v>
      </c>
      <c r="BJ99" s="59">
        <f t="shared" si="92"/>
        <v>317.03005098025352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33.562675528012008</v>
      </c>
      <c r="BQ99" s="21">
        <f>EXP(-LN(2)/25)*BQ98+(1-EXP(-LN(2)/25))/(LN(2)/25)*Calculateur!BL99*Calculateur!BN99*VLOOKUP('Données projet'!$B$11,Paramètres!$A$1:$I$89,3,0)*0.475*44/12</f>
        <v>29.849417609978929</v>
      </c>
      <c r="BR99" s="21">
        <f>EXP(-LN(2)/2)*BR98+(1-EXP(-LN(2)/2))/(LN(2)/2)*BL99*BO99*VLOOKUP('Données projet'!$B$11,Paramètres!$A$1:$I$89,3,0)*0.475*44/12</f>
        <v>0.22295316023177375</v>
      </c>
      <c r="BS99" s="22">
        <f t="shared" si="63"/>
        <v>63.635046298222711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6.7777777777777777</v>
      </c>
      <c r="BY99" s="12">
        <f>IF('Données projet'!$A$114&gt;35,BY98+BX99-CG98,IF(A99&lt;'Données projet'!$A$114,$BV$205^A99,IF(A99='Données projet'!$A$114,'Données projet'!$B$114,BY98+BX99-CG98)))</f>
        <v>217.14777777777766</v>
      </c>
      <c r="BZ99" s="13">
        <f>BY99*VLOOKUP('Données projet'!$B$12,Paramètres!$A$1:$I$89,3,0)*VLOOKUP('Données projet'!$B$12,Paramètres!$A$1:$I$89,5,0)</f>
        <v>247.28788933333323</v>
      </c>
      <c r="CA99" s="13">
        <f t="shared" si="93"/>
        <v>60.004815004836068</v>
      </c>
      <c r="CB99" s="20">
        <f t="shared" si="64"/>
        <v>535.20146005564482</v>
      </c>
      <c r="CC99" s="59">
        <f t="shared" si="65"/>
        <v>828.53479338897819</v>
      </c>
      <c r="CD99" s="59">
        <f ca="1">AVERAGE(OFFSET($CC$3,0,0,'Données projet'!$E$12+1,1))-AVERAGE(OFFSET($H$3,0,0,'Données projet'!$E$12+1,1))</f>
        <v>593.28343396240075</v>
      </c>
      <c r="CE99" s="59">
        <f t="shared" si="94"/>
        <v>289.66477662068695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13.673351375382756</v>
      </c>
      <c r="CL99" s="21">
        <f>EXP(-LN(2)/25)*CL98+(1-EXP(-LN(2)/25))/(LN(2)/25)*Calculateur!CG99*Calculateur!CI99*VLOOKUP('Données projet'!$B$12,Paramètres!$A$1:$I$89,3,0)*0.475*44/12</f>
        <v>36.342120702796841</v>
      </c>
      <c r="CM99" s="21">
        <f>EXP(-LN(2)/2)*CM98+(1-EXP(-LN(2)/2))/(LN(2)/2)*CG99*CJ99*VLOOKUP('Données projet'!$B$12,Paramètres!$A$1:$I$89,3,0)*0.475*44/12</f>
        <v>3.3432332296696727</v>
      </c>
      <c r="CN99" s="22">
        <f t="shared" si="66"/>
        <v>53.35870530784927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8.9420000000000019</v>
      </c>
      <c r="CT99" s="12">
        <f>IF('Données projet'!$A$140&gt;35,CT98+CS99-DB98,IF(A99&lt;'Données projet'!$A$140,$CQ$205^A99,IF(A99='Données projet'!$A$140,'Données projet'!$B$140,CT98+CS99-DB98)))</f>
        <v>330.6640000000005</v>
      </c>
      <c r="CU99" s="17">
        <f>CT99*VLOOKUP('Données projet'!$B$13,Paramètres!$A$1:$I$89,3,0)*VLOOKUP('Données projet'!$B$13,Paramètres!$A$1:$I$89,5,0)</f>
        <v>355.9267296000005</v>
      </c>
      <c r="CV99" s="13">
        <f t="shared" si="95"/>
        <v>82.781691209668736</v>
      </c>
      <c r="CW99" s="20">
        <f t="shared" si="67"/>
        <v>764.0838329101739</v>
      </c>
      <c r="CX99" s="59">
        <f t="shared" si="68"/>
        <v>1057.4171662435072</v>
      </c>
      <c r="CY99" s="59">
        <f ca="1">AVERAGE(OFFSET($CX$3,0,0,'Données projet'!$E$13+1,1))-AVERAGE(OFFSET($H$3,0,0,'Données projet'!$E$13+1,1))</f>
        <v>747.18304127457918</v>
      </c>
      <c r="CZ99" s="59">
        <f t="shared" si="96"/>
        <v>327.03701004966723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32.263713657857117</v>
      </c>
      <c r="DG99" s="21">
        <f>EXP(-LN(2)/25)*DG98+(1-EXP(-LN(2)/25))/(LN(2)/25)*Calculateur!DB99*Calculateur!DD99*VLOOKUP('Données projet'!$B$13,Paramètres!$A$1:$I$89,3,0)*0.475*44/12</f>
        <v>31.723916329215335</v>
      </c>
      <c r="DH99" s="21">
        <f>EXP(-LN(2)/2)*DH98+(1-EXP(-LN(2)/2))/(LN(2)/2)*DB99*DE99*VLOOKUP('Données projet'!$B$13,Paramètres!$A$1:$I$89,3,0)*0.475*44/12</f>
        <v>3.5286364827352523</v>
      </c>
      <c r="DI99" s="22">
        <f t="shared" si="69"/>
        <v>67.516266469807704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353.37479213497227</v>
      </c>
      <c r="DU99" s="59">
        <f t="shared" si="98"/>
        <v>345.4750813433123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37.865178514285361</v>
      </c>
      <c r="EB99" s="21">
        <f>EXP(-LN(2)/25)*EB98+(1-EXP(-LN(2)/25))/(LN(2)/25)*Calculateur!DW99*Calculateur!DY99*VLOOKUP('Données projet'!$B$14,Paramètres!$A$1:$I$89,3,0)*0.475*44/12</f>
        <v>32.93511292965929</v>
      </c>
      <c r="EC99" s="21">
        <f>EXP(-LN(2)/2)*EC98+(1-EXP(-LN(2)/2))/(LN(2)/2)*DW99*DZ99*VLOOKUP('Données projet'!$B$14,Paramètres!$A$1:$I$89,3,0)*0.475*44/12</f>
        <v>0.243833285954692</v>
      </c>
      <c r="ED99" s="22">
        <f t="shared" si="72"/>
        <v>71.044124729899337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13.919999999999996</v>
      </c>
      <c r="EJ99" s="12">
        <f>IF('Données projet'!$A$192&gt;35,EJ98+EI99-ER98,IF(A99&lt;'Données projet'!$A$192,$EG$205^A99,IF(A99='Données projet'!$A$192,'Données projet'!$B$192,EJ98+EI99-ER98)))</f>
        <v>286.82999999999942</v>
      </c>
      <c r="EK99" s="17">
        <f>EJ99*VLOOKUP('Données projet'!$B$15,Paramètres!$A$1:$I$89,3,0)*VLOOKUP('Données projet'!$B$15,Paramètres!$A$1:$I$89,5,0)</f>
        <v>134.23643999999973</v>
      </c>
      <c r="EL99" s="13">
        <f t="shared" si="99"/>
        <v>34.973441731529917</v>
      </c>
      <c r="EM99" s="20">
        <f t="shared" si="73"/>
        <v>294.70721068241414</v>
      </c>
      <c r="EN99" s="59">
        <f t="shared" si="74"/>
        <v>588.0405440157474</v>
      </c>
      <c r="EO99" s="59">
        <f ca="1">AVERAGE(OFFSET($EN$3,0,0,'Données projet'!$E$15+1,1))-AVERAGE(OFFSET($H$3,0,0,'Données projet'!$E$15+1,1))</f>
        <v>433.05041777893922</v>
      </c>
      <c r="EP99" s="59">
        <f t="shared" si="100"/>
        <v>591.24088611958996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250.91754491264919</v>
      </c>
      <c r="EW99" s="21">
        <f>EXP(-LN(2)/25)*EW98+(1-EXP(-LN(2)/25))/(LN(2)/25)*Calculateur!ER99*Calculateur!ET99*VLOOKUP('Données projet'!$B$15,Paramètres!$A$1:$I$89,3,0)*0.475*44/12</f>
        <v>78.370535068473927</v>
      </c>
      <c r="EX99" s="21">
        <f>EXP(-LN(2)/2)*EX98+(1-EXP(-LN(2)/2))/(LN(2)/2)*ER99*EU99*VLOOKUP('Données projet'!$B$15,Paramètres!$A$1:$I$89,3,0)*0.475*44/12</f>
        <v>25.924092667463796</v>
      </c>
      <c r="EY99" s="22">
        <f t="shared" si="75"/>
        <v>355.21217264858694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-8.5265128291212022E-14</v>
      </c>
      <c r="FF99" s="17">
        <f>FE99*VLOOKUP('Données projet'!$B$16,Paramètres!$A$1:$I$89,3,0)*VLOOKUP('Données projet'!$B$16,Paramètres!$A$1:$I$89,5,0)</f>
        <v>-6.9167072069831198E-14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159.4660488566085</v>
      </c>
      <c r="FK99" s="59">
        <f t="shared" si="102"/>
        <v>135.33030558297088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13.699772698782606</v>
      </c>
      <c r="FS99" s="21">
        <f>EXP(-LN(2)/2)*FS98+(1-EXP(-LN(2)/2))/(LN(2)/2)*FM99*FP99*VLOOKUP('Données projet'!$B$16,Paramètres!$A$1:$I$89,3,0)*0.475*44/12</f>
        <v>3.1306333029038367</v>
      </c>
      <c r="FT99" s="22">
        <f t="shared" si="78"/>
        <v>16.830406001686441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8.9420000000000019</v>
      </c>
      <c r="N100" s="13">
        <f>IF('Données projet'!$A$36&gt;35,N99+M100-V99,IF(A100&lt;'Données projet'!$A$36,$K$205^A100,IF(A100='Données projet'!$A$36,'Données projet'!$B$36,N99+M100-V99)))</f>
        <v>339.60600000000051</v>
      </c>
      <c r="O100" s="13">
        <f>N100*VLOOKUP('Données projet'!$B$9,Paramètres!$A$1:$I$89,3,0)*VLOOKUP('Données projet'!$B$9,Paramètres!$A$1:$I$89,5,0)</f>
        <v>344.36048400000055</v>
      </c>
      <c r="P100" s="13">
        <f t="shared" si="87"/>
        <v>80.400180766145681</v>
      </c>
      <c r="Q100" s="20">
        <f t="shared" si="107"/>
        <v>739.79149113437143</v>
      </c>
      <c r="R100" s="59">
        <f t="shared" si="55"/>
        <v>1033.1248244677047</v>
      </c>
      <c r="S100" s="59">
        <f ca="1">AVERAGE(OFFSET($R$3,0,0,'Données projet'!$E$9+1,1))-AVERAGE(OFFSET($H$3,0,0,'Données projet'!$E$9+1,1))</f>
        <v>706.69239849991595</v>
      </c>
      <c r="T100" s="59">
        <f t="shared" si="88"/>
        <v>310.59887275116529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29.797358322850265</v>
      </c>
      <c r="AA100" s="21">
        <f>EXP(-LN(2)/25)*AA99+(1-EXP(-LN(2)/25))/(LN(2)/25)*Calculateur!V100*Calculateur!X100*VLOOKUP('Données projet'!$B$9,Paramètres!$A$1:$I$89,3,0)*0.475*44/12</f>
        <v>29.067645956214566</v>
      </c>
      <c r="AB100" s="21">
        <f>EXP(-LN(2)/2)*AB99+(1-EXP(-LN(2)/2))/(LN(2)/2)*V100*Y100*VLOOKUP('Données projet'!$B$9,Paramètres!$A$1:$I$89,3,0)*0.475*44/12</f>
        <v>2.350477986137427</v>
      </c>
      <c r="AC100" s="22">
        <f t="shared" si="57"/>
        <v>61.215482265202262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1.9230769230769227</v>
      </c>
      <c r="AI100" s="13">
        <f>IF('Données projet'!$A$62&gt;35,AI99+AH100-AQ99,IF(A100&lt;'Données projet'!$A$62,$AF$205^A100,IF(A100='Données projet'!$A$62,'Données projet'!$B$62,AI99+AH100-AQ99)))</f>
        <v>137.17948717948715</v>
      </c>
      <c r="AJ100" s="13">
        <f>AI100*VLOOKUP('Données projet'!$B$10,Paramètres!$A$1:$I$89,3,0)*VLOOKUP('Données projet'!$B$10,Paramètres!$A$1:$I$89,5,0)</f>
        <v>143.37999999999997</v>
      </c>
      <c r="AK100" s="13">
        <f t="shared" si="89"/>
        <v>37.070237688614135</v>
      </c>
      <c r="AL100" s="20">
        <f t="shared" si="58"/>
        <v>314.2841639743362</v>
      </c>
      <c r="AM100" s="59">
        <f t="shared" si="59"/>
        <v>607.61749730766951</v>
      </c>
      <c r="AN100" s="59">
        <f ca="1">AVERAGE(OFFSET($AM$3,0,0,'Données projet'!$E$10+1,1))-AVERAGE(OFFSET($H$3,0,0,'Données projet'!$E$10+1,1))</f>
        <v>239.26156489359892</v>
      </c>
      <c r="AO100" s="59">
        <f t="shared" si="90"/>
        <v>213.97034450798111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1.8771981317750208</v>
      </c>
      <c r="AV100" s="21">
        <f>EXP(-LN(2)/25)*AV99+(1-EXP(-LN(2)/25))/(LN(2)/25)*Calculateur!AQ100*Calculateur!AS100*VLOOKUP('Données projet'!$B$10,Paramètres!$A$1:$I$89,3,0)*0.475*44/12</f>
        <v>14.157638851146521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16.03483698292154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-1.7053025658242404E-13</v>
      </c>
      <c r="BE100" s="13">
        <f>BD100*VLOOKUP('Données projet'!$B$11,Paramètres!$A$1:$I$89,3,0)*VLOOKUP('Données projet'!$B$11,Paramètres!$A$1:$I$89,5,0)</f>
        <v>-1.4897523215040567E-13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324.86930206492627</v>
      </c>
      <c r="BJ100" s="59">
        <f t="shared" si="92"/>
        <v>317.03005098025352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32.904531932118402</v>
      </c>
      <c r="BQ100" s="21">
        <f>EXP(-LN(2)/25)*BQ99+(1-EXP(-LN(2)/25))/(LN(2)/25)*Calculateur!BL100*Calculateur!BN100*VLOOKUP('Données projet'!$B$11,Paramètres!$A$1:$I$89,3,0)*0.475*44/12</f>
        <v>29.033183715721403</v>
      </c>
      <c r="BR100" s="21">
        <f>EXP(-LN(2)/2)*BR99+(1-EXP(-LN(2)/2))/(LN(2)/2)*BL100*BO100*VLOOKUP('Données projet'!$B$11,Paramètres!$A$1:$I$89,3,0)*0.475*44/12</f>
        <v>0.15765169148685812</v>
      </c>
      <c r="BS100" s="22">
        <f t="shared" si="63"/>
        <v>62.095367339326664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6.7777777777777777</v>
      </c>
      <c r="BY100" s="12">
        <f>IF('Données projet'!$A$114&gt;35,BY99+BX100-CG99,IF(A100&lt;'Données projet'!$A$114,$BV$205^A100,IF(A100='Données projet'!$A$114,'Données projet'!$B$114,BY99+BX100-CG99)))</f>
        <v>223.92555555555543</v>
      </c>
      <c r="BZ100" s="13">
        <f>BY100*VLOOKUP('Données projet'!$B$12,Paramètres!$A$1:$I$89,3,0)*VLOOKUP('Données projet'!$B$12,Paramètres!$A$1:$I$89,5,0)</f>
        <v>255.00642266666651</v>
      </c>
      <c r="CA100" s="13">
        <f t="shared" si="93"/>
        <v>61.656750661172069</v>
      </c>
      <c r="CB100" s="20">
        <f t="shared" si="64"/>
        <v>551.5216935459855</v>
      </c>
      <c r="CC100" s="59">
        <f t="shared" si="65"/>
        <v>844.85502687931876</v>
      </c>
      <c r="CD100" s="59">
        <f ca="1">AVERAGE(OFFSET($CC$3,0,0,'Données projet'!$E$12+1,1))-AVERAGE(OFFSET($H$3,0,0,'Données projet'!$E$12+1,1))</f>
        <v>593.28343396240075</v>
      </c>
      <c r="CE100" s="59">
        <f t="shared" si="94"/>
        <v>289.66477662068695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13.405225294832341</v>
      </c>
      <c r="CL100" s="21">
        <f>EXP(-LN(2)/25)*CL99+(1-EXP(-LN(2)/25))/(LN(2)/25)*Calculateur!CG100*Calculateur!CI100*VLOOKUP('Données projet'!$B$12,Paramètres!$A$1:$I$89,3,0)*0.475*44/12</f>
        <v>35.348343501029795</v>
      </c>
      <c r="CM100" s="21">
        <f>EXP(-LN(2)/2)*CM99+(1-EXP(-LN(2)/2))/(LN(2)/2)*CG100*CJ100*VLOOKUP('Données projet'!$B$12,Paramètres!$A$1:$I$89,3,0)*0.475*44/12</f>
        <v>2.3640228877876281</v>
      </c>
      <c r="CN100" s="22">
        <f t="shared" si="66"/>
        <v>51.117591683649763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8.9420000000000019</v>
      </c>
      <c r="CT100" s="12">
        <f>IF('Données projet'!$A$140&gt;35,CT99+CS100-DB99,IF(A100&lt;'Données projet'!$A$140,$CQ$205^A100,IF(A100='Données projet'!$A$140,'Données projet'!$B$140,CT99+CS100-DB99)))</f>
        <v>339.60600000000051</v>
      </c>
      <c r="CU100" s="17">
        <f>CT100*VLOOKUP('Données projet'!$B$13,Paramètres!$A$1:$I$89,3,0)*VLOOKUP('Données projet'!$B$13,Paramètres!$A$1:$I$89,5,0)</f>
        <v>365.55189840000054</v>
      </c>
      <c r="CV100" s="13">
        <f t="shared" si="95"/>
        <v>84.756661106591608</v>
      </c>
      <c r="CW100" s="20">
        <f t="shared" si="67"/>
        <v>784.28740780731459</v>
      </c>
      <c r="CX100" s="59">
        <f t="shared" si="68"/>
        <v>1077.6207411406479</v>
      </c>
      <c r="CY100" s="59">
        <f ca="1">AVERAGE(OFFSET($CX$3,0,0,'Données projet'!$E$13+1,1))-AVERAGE(OFFSET($H$3,0,0,'Données projet'!$E$13+1,1))</f>
        <v>747.18304127457918</v>
      </c>
      <c r="CZ100" s="59">
        <f t="shared" si="96"/>
        <v>327.03701004966723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31.631041911948738</v>
      </c>
      <c r="DG100" s="21">
        <f>EXP(-LN(2)/25)*DG99+(1-EXP(-LN(2)/25))/(LN(2)/25)*Calculateur!DB100*Calculateur!DD100*VLOOKUP('Données projet'!$B$13,Paramètres!$A$1:$I$89,3,0)*0.475*44/12</f>
        <v>30.856424168904688</v>
      </c>
      <c r="DH100" s="21">
        <f>EXP(-LN(2)/2)*DH99+(1-EXP(-LN(2)/2))/(LN(2)/2)*DB100*DE100*VLOOKUP('Données projet'!$B$13,Paramètres!$A$1:$I$89,3,0)*0.475*44/12</f>
        <v>2.4951227852843449</v>
      </c>
      <c r="DI100" s="22">
        <f t="shared" si="69"/>
        <v>64.982588866137775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353.37479213497227</v>
      </c>
      <c r="DU100" s="59">
        <f t="shared" si="98"/>
        <v>345.4750813433123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37.122665459098627</v>
      </c>
      <c r="EB100" s="21">
        <f>EXP(-LN(2)/25)*EB99+(1-EXP(-LN(2)/25))/(LN(2)/25)*Calculateur!DW100*Calculateur!DY100*VLOOKUP('Données projet'!$B$14,Paramètres!$A$1:$I$89,3,0)*0.475*44/12</f>
        <v>32.034500534615439</v>
      </c>
      <c r="EC100" s="21">
        <f>EXP(-LN(2)/2)*EC99+(1-EXP(-LN(2)/2))/(LN(2)/2)*DW100*DZ100*VLOOKUP('Données projet'!$B$14,Paramètres!$A$1:$I$89,3,0)*0.475*44/12</f>
        <v>0.17241616997756129</v>
      </c>
      <c r="ED100" s="22">
        <f t="shared" si="72"/>
        <v>69.32958216369164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13.919999999999996</v>
      </c>
      <c r="EJ100" s="12">
        <f>IF('Données projet'!$A$192&gt;35,EJ99+EI100-ER99,IF(A100&lt;'Données projet'!$A$192,$EG$205^A100,IF(A100='Données projet'!$A$192,'Données projet'!$B$192,EJ99+EI100-ER99)))</f>
        <v>300.74999999999943</v>
      </c>
      <c r="EK100" s="17">
        <f>EJ100*VLOOKUP('Données projet'!$B$15,Paramètres!$A$1:$I$89,3,0)*VLOOKUP('Données projet'!$B$15,Paramètres!$A$1:$I$89,5,0)</f>
        <v>140.75099999999975</v>
      </c>
      <c r="EL100" s="13">
        <f t="shared" si="99"/>
        <v>36.46899544379464</v>
      </c>
      <c r="EM100" s="20">
        <f t="shared" si="73"/>
        <v>308.65815873127525</v>
      </c>
      <c r="EN100" s="59">
        <f t="shared" si="74"/>
        <v>601.99149206460856</v>
      </c>
      <c r="EO100" s="59">
        <f ca="1">AVERAGE(OFFSET($EN$3,0,0,'Données projet'!$E$15+1,1))-AVERAGE(OFFSET($H$3,0,0,'Données projet'!$E$15+1,1))</f>
        <v>433.05041777893922</v>
      </c>
      <c r="EP100" s="59">
        <f t="shared" si="100"/>
        <v>591.24088611958996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245.99720490150264</v>
      </c>
      <c r="EW100" s="21">
        <f>EXP(-LN(2)/25)*EW99+(1-EXP(-LN(2)/25))/(LN(2)/25)*Calculateur!ER100*Calculateur!ET100*VLOOKUP('Données projet'!$B$15,Paramètres!$A$1:$I$89,3,0)*0.475*44/12</f>
        <v>76.227488665699184</v>
      </c>
      <c r="EX100" s="21">
        <f>EXP(-LN(2)/2)*EX99+(1-EXP(-LN(2)/2))/(LN(2)/2)*ER100*EU100*VLOOKUP('Données projet'!$B$15,Paramètres!$A$1:$I$89,3,0)*0.475*44/12</f>
        <v>18.331101721272105</v>
      </c>
      <c r="EY100" s="22">
        <f t="shared" si="75"/>
        <v>340.55579528847392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-8.5265128291212022E-14</v>
      </c>
      <c r="FF100" s="17">
        <f>FE100*VLOOKUP('Données projet'!$B$16,Paramètres!$A$1:$I$89,3,0)*VLOOKUP('Données projet'!$B$16,Paramètres!$A$1:$I$89,5,0)</f>
        <v>-6.9167072069831198E-14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159.4660488566085</v>
      </c>
      <c r="FK100" s="59">
        <f t="shared" si="102"/>
        <v>135.33030558297088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13.325151693894661</v>
      </c>
      <c r="FS100" s="21">
        <f>EXP(-LN(2)/2)*FS99+(1-EXP(-LN(2)/2))/(LN(2)/2)*FM100*FP100*VLOOKUP('Données projet'!$B$16,Paramètres!$A$1:$I$89,3,0)*0.475*44/12</f>
        <v>2.2136920378917417</v>
      </c>
      <c r="FT100" s="22">
        <f t="shared" si="78"/>
        <v>15.538843731786402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8.9420000000000019</v>
      </c>
      <c r="N101" s="13">
        <f>IF('Données projet'!$A$36&gt;35,N100+M101-V100,IF(A101&lt;'Données projet'!$A$36,$K$205^A101,IF(A101='Données projet'!$A$36,'Données projet'!$B$36,N100+M101-V100)))</f>
        <v>348.54800000000051</v>
      </c>
      <c r="O101" s="13">
        <f>N101*VLOOKUP('Données projet'!$B$9,Paramètres!$A$1:$I$89,3,0)*VLOOKUP('Données projet'!$B$9,Paramètres!$A$1:$I$89,5,0)</f>
        <v>353.42767200000054</v>
      </c>
      <c r="P101" s="13">
        <f t="shared" si="87"/>
        <v>82.26790367650959</v>
      </c>
      <c r="Q101" s="20">
        <f t="shared" si="107"/>
        <v>758.83646096992186</v>
      </c>
      <c r="R101" s="59">
        <f t="shared" si="55"/>
        <v>1052.1697943032552</v>
      </c>
      <c r="S101" s="59">
        <f ca="1">AVERAGE(OFFSET($R$3,0,0,'Données projet'!$E$9+1,1))-AVERAGE(OFFSET($H$3,0,0,'Données projet'!$E$9+1,1))</f>
        <v>706.69239849991595</v>
      </c>
      <c r="T101" s="59">
        <f t="shared" si="88"/>
        <v>310.59887275116529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29.213050300733155</v>
      </c>
      <c r="AA101" s="21">
        <f>EXP(-LN(2)/25)*AA100+(1-EXP(-LN(2)/25))/(LN(2)/25)*Calculateur!V101*Calculateur!X101*VLOOKUP('Données projet'!$B$9,Paramètres!$A$1:$I$89,3,0)*0.475*44/12</f>
        <v>28.272789648940812</v>
      </c>
      <c r="AB101" s="21">
        <f>EXP(-LN(2)/2)*AB100+(1-EXP(-LN(2)/2))/(LN(2)/2)*V101*Y101*VLOOKUP('Données projet'!$B$9,Paramètres!$A$1:$I$89,3,0)*0.475*44/12</f>
        <v>1.6620389230274746</v>
      </c>
      <c r="AC101" s="22">
        <f t="shared" si="57"/>
        <v>59.14787887270144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1.9230769230769227</v>
      </c>
      <c r="AI101" s="13">
        <f>IF('Données projet'!$A$62&gt;35,AI100+AH101-AQ100,IF(A101&lt;'Données projet'!$A$62,$AF$205^A101,IF(A101='Données projet'!$A$62,'Données projet'!$B$62,AI100+AH101-AQ100)))</f>
        <v>139.10256410256409</v>
      </c>
      <c r="AJ101" s="13">
        <f>AI101*VLOOKUP('Données projet'!$B$10,Paramètres!$A$1:$I$89,3,0)*VLOOKUP('Données projet'!$B$10,Paramètres!$A$1:$I$89,5,0)</f>
        <v>145.38999999999999</v>
      </c>
      <c r="AK101" s="13">
        <f t="shared" si="89"/>
        <v>37.529050900676538</v>
      </c>
      <c r="AL101" s="20">
        <f t="shared" si="58"/>
        <v>318.58401365201161</v>
      </c>
      <c r="AM101" s="59">
        <f t="shared" si="59"/>
        <v>611.91734698534492</v>
      </c>
      <c r="AN101" s="59">
        <f ca="1">AVERAGE(OFFSET($AM$3,0,0,'Données projet'!$E$10+1,1))-AVERAGE(OFFSET($H$3,0,0,'Données projet'!$E$10+1,1))</f>
        <v>239.26156489359892</v>
      </c>
      <c r="AO101" s="59">
        <f t="shared" si="90"/>
        <v>213.97034450798111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1.8403874213887159</v>
      </c>
      <c r="AV101" s="21">
        <f>EXP(-LN(2)/25)*AV100+(1-EXP(-LN(2)/25))/(LN(2)/25)*Calculateur!AQ101*Calculateur!AS101*VLOOKUP('Données projet'!$B$10,Paramètres!$A$1:$I$89,3,0)*0.475*44/12</f>
        <v>13.770497472244049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15.610884893632765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-1.7053025658242404E-13</v>
      </c>
      <c r="BE101" s="13">
        <f>BD101*VLOOKUP('Données projet'!$B$11,Paramètres!$A$1:$I$89,3,0)*VLOOKUP('Données projet'!$B$11,Paramètres!$A$1:$I$89,5,0)</f>
        <v>-1.4897523215040567E-13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324.86930206492627</v>
      </c>
      <c r="BJ101" s="59">
        <f t="shared" si="92"/>
        <v>317.03005098025352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32.259294130712313</v>
      </c>
      <c r="BQ101" s="21">
        <f>EXP(-LN(2)/25)*BQ100+(1-EXP(-LN(2)/25))/(LN(2)/25)*Calculateur!BL101*Calculateur!BN101*VLOOKUP('Données projet'!$B$11,Paramètres!$A$1:$I$89,3,0)*0.475*44/12</f>
        <v>28.239269780226227</v>
      </c>
      <c r="BR101" s="21">
        <f>EXP(-LN(2)/2)*BR100+(1-EXP(-LN(2)/2))/(LN(2)/2)*BL101*BO101*VLOOKUP('Données projet'!$B$11,Paramètres!$A$1:$I$89,3,0)*0.475*44/12</f>
        <v>0.11147658011588689</v>
      </c>
      <c r="BS101" s="22">
        <f t="shared" si="63"/>
        <v>60.610040491054427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6.7777777777777777</v>
      </c>
      <c r="BY101" s="12">
        <f>IF('Données projet'!$A$114&gt;35,BY100+BX101-CG100,IF(A101&lt;'Données projet'!$A$114,$BV$205^A101,IF(A101='Données projet'!$A$114,'Données projet'!$B$114,BY100+BX101-CG100)))</f>
        <v>230.70333333333321</v>
      </c>
      <c r="BZ101" s="13">
        <f>BY101*VLOOKUP('Données projet'!$B$12,Paramètres!$A$1:$I$89,3,0)*VLOOKUP('Données projet'!$B$12,Paramètres!$A$1:$I$89,5,0)</f>
        <v>262.72495599999985</v>
      </c>
      <c r="CA101" s="13">
        <f t="shared" si="93"/>
        <v>63.302875529710846</v>
      </c>
      <c r="CB101" s="20">
        <f t="shared" si="64"/>
        <v>567.83180658091271</v>
      </c>
      <c r="CC101" s="59">
        <f t="shared" si="65"/>
        <v>861.16513991424608</v>
      </c>
      <c r="CD101" s="59">
        <f ca="1">AVERAGE(OFFSET($CC$3,0,0,'Données projet'!$E$12+1,1))-AVERAGE(OFFSET($H$3,0,0,'Données projet'!$E$12+1,1))</f>
        <v>593.28343396240075</v>
      </c>
      <c r="CE101" s="59">
        <f t="shared" si="94"/>
        <v>289.66477662068695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13.142357003180759</v>
      </c>
      <c r="CL101" s="21">
        <f>EXP(-LN(2)/25)*CL100+(1-EXP(-LN(2)/25))/(LN(2)/25)*Calculateur!CG101*Calculateur!CI101*VLOOKUP('Données projet'!$B$12,Paramètres!$A$1:$I$89,3,0)*0.475*44/12</f>
        <v>34.38174118910554</v>
      </c>
      <c r="CM101" s="21">
        <f>EXP(-LN(2)/2)*CM100+(1-EXP(-LN(2)/2))/(LN(2)/2)*CG101*CJ101*VLOOKUP('Données projet'!$B$12,Paramètres!$A$1:$I$89,3,0)*0.475*44/12</f>
        <v>1.6716166148348366</v>
      </c>
      <c r="CN101" s="22">
        <f t="shared" si="66"/>
        <v>49.195714807121142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8.9420000000000019</v>
      </c>
      <c r="CT101" s="12">
        <f>IF('Données projet'!$A$140&gt;35,CT100+CS101-DB100,IF(A101&lt;'Données projet'!$A$140,$CQ$205^A101,IF(A101='Données projet'!$A$140,'Données projet'!$B$140,CT100+CS101-DB100)))</f>
        <v>348.54800000000051</v>
      </c>
      <c r="CU101" s="17">
        <f>CT101*VLOOKUP('Données projet'!$B$13,Paramètres!$A$1:$I$89,3,0)*VLOOKUP('Données projet'!$B$13,Paramètres!$A$1:$I$89,5,0)</f>
        <v>375.17706720000052</v>
      </c>
      <c r="CV101" s="13">
        <f t="shared" si="95"/>
        <v>86.72558650260747</v>
      </c>
      <c r="CW101" s="20">
        <f t="shared" si="67"/>
        <v>804.48045519870891</v>
      </c>
      <c r="CX101" s="59">
        <f t="shared" si="68"/>
        <v>1097.8137885320423</v>
      </c>
      <c r="CY101" s="59">
        <f ca="1">AVERAGE(OFFSET($CX$3,0,0,'Données projet'!$E$13+1,1))-AVERAGE(OFFSET($H$3,0,0,'Données projet'!$E$13+1,1))</f>
        <v>747.18304127457918</v>
      </c>
      <c r="CZ101" s="59">
        <f t="shared" si="96"/>
        <v>327.03701004966723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31.010776473085961</v>
      </c>
      <c r="DG101" s="21">
        <f>EXP(-LN(2)/25)*DG100+(1-EXP(-LN(2)/25))/(LN(2)/25)*Calculateur!DB101*Calculateur!DD101*VLOOKUP('Données projet'!$B$13,Paramètres!$A$1:$I$89,3,0)*0.475*44/12</f>
        <v>30.012653627337166</v>
      </c>
      <c r="DH101" s="21">
        <f>EXP(-LN(2)/2)*DH100+(1-EXP(-LN(2)/2))/(LN(2)/2)*DB101*DE101*VLOOKUP('Données projet'!$B$13,Paramètres!$A$1:$I$89,3,0)*0.475*44/12</f>
        <v>1.7643182413676264</v>
      </c>
      <c r="DI101" s="22">
        <f t="shared" si="69"/>
        <v>62.787748341790753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353.37479213497227</v>
      </c>
      <c r="DU101" s="59">
        <f t="shared" si="98"/>
        <v>345.4750813433123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36.394712632035862</v>
      </c>
      <c r="EB101" s="21">
        <f>EXP(-LN(2)/25)*EB100+(1-EXP(-LN(2)/25))/(LN(2)/25)*Calculateur!DW101*Calculateur!DY101*VLOOKUP('Données projet'!$B$14,Paramètres!$A$1:$I$89,3,0)*0.475*44/12</f>
        <v>31.158515432875213</v>
      </c>
      <c r="EC101" s="21">
        <f>EXP(-LN(2)/2)*EC100+(1-EXP(-LN(2)/2))/(LN(2)/2)*DW101*DZ101*VLOOKUP('Données projet'!$B$14,Paramètres!$A$1:$I$89,3,0)*0.475*44/12</f>
        <v>0.12191664297734603</v>
      </c>
      <c r="ED101" s="22">
        <f t="shared" si="72"/>
        <v>67.675144707888421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13.919999999999996</v>
      </c>
      <c r="EJ101" s="12">
        <f>IF('Données projet'!$A$192&gt;35,EJ100+EI101-ER100,IF(A101&lt;'Données projet'!$A$192,$EG$205^A101,IF(A101='Données projet'!$A$192,'Données projet'!$B$192,EJ100+EI101-ER100)))</f>
        <v>314.66999999999945</v>
      </c>
      <c r="EK101" s="17">
        <f>EJ101*VLOOKUP('Données projet'!$B$15,Paramètres!$A$1:$I$89,3,0)*VLOOKUP('Données projet'!$B$15,Paramètres!$A$1:$I$89,5,0)</f>
        <v>147.26555999999974</v>
      </c>
      <c r="EL101" s="13">
        <f t="shared" si="99"/>
        <v>37.956510508279337</v>
      </c>
      <c r="EM101" s="20">
        <f t="shared" si="73"/>
        <v>322.59510613525271</v>
      </c>
      <c r="EN101" s="59">
        <f t="shared" si="74"/>
        <v>615.92843946858602</v>
      </c>
      <c r="EO101" s="59">
        <f ca="1">AVERAGE(OFFSET($EN$3,0,0,'Données projet'!$E$15+1,1))-AVERAGE(OFFSET($H$3,0,0,'Données projet'!$E$15+1,1))</f>
        <v>433.05041777893922</v>
      </c>
      <c r="EP101" s="59">
        <f t="shared" si="100"/>
        <v>591.24088611958996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241.17334975686362</v>
      </c>
      <c r="EW101" s="21">
        <f>EXP(-LN(2)/25)*EW100+(1-EXP(-LN(2)/25))/(LN(2)/25)*Calculateur!ER101*Calculateur!ET101*VLOOKUP('Données projet'!$B$15,Paramètres!$A$1:$I$89,3,0)*0.475*44/12</f>
        <v>74.143043979506231</v>
      </c>
      <c r="EX101" s="21">
        <f>EXP(-LN(2)/2)*EX100+(1-EXP(-LN(2)/2))/(LN(2)/2)*ER101*EU101*VLOOKUP('Données projet'!$B$15,Paramètres!$A$1:$I$89,3,0)*0.475*44/12</f>
        <v>12.9620463337319</v>
      </c>
      <c r="EY101" s="22">
        <f t="shared" si="75"/>
        <v>328.27844007010174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-8.5265128291212022E-14</v>
      </c>
      <c r="FF101" s="17">
        <f>FE101*VLOOKUP('Données projet'!$B$16,Paramètres!$A$1:$I$89,3,0)*VLOOKUP('Données projet'!$B$16,Paramètres!$A$1:$I$89,5,0)</f>
        <v>-6.9167072069831198E-14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159.4660488566085</v>
      </c>
      <c r="FK101" s="59">
        <f t="shared" si="102"/>
        <v>135.33030558297088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12.960774720085839</v>
      </c>
      <c r="FS101" s="21">
        <f>EXP(-LN(2)/2)*FS100+(1-EXP(-LN(2)/2))/(LN(2)/2)*FM101*FP101*VLOOKUP('Données projet'!$B$16,Paramètres!$A$1:$I$89,3,0)*0.475*44/12</f>
        <v>1.5653166514519183</v>
      </c>
      <c r="FT101" s="22">
        <f t="shared" si="78"/>
        <v>14.526091371537756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8.9420000000000019</v>
      </c>
      <c r="N102" s="13">
        <f>IF('Données projet'!$A$36&gt;35,N101+M102-V101,IF(A102&lt;'Données projet'!$A$36,$K$205^A102,IF(A102='Données projet'!$A$36,'Données projet'!$B$36,N101+M102-V101)))</f>
        <v>357.49000000000052</v>
      </c>
      <c r="O102" s="13">
        <f>N102*VLOOKUP('Données projet'!$B$9,Paramètres!$A$1:$I$89,3,0)*VLOOKUP('Données projet'!$B$9,Paramètres!$A$1:$I$89,5,0)</f>
        <v>362.49486000000059</v>
      </c>
      <c r="P102" s="13">
        <f t="shared" si="87"/>
        <v>84.130056787487845</v>
      </c>
      <c r="Q102" s="20">
        <f t="shared" si="107"/>
        <v>777.87173007154217</v>
      </c>
      <c r="R102" s="59">
        <f t="shared" si="55"/>
        <v>1071.2050634048755</v>
      </c>
      <c r="S102" s="59">
        <f ca="1">AVERAGE(OFFSET($R$3,0,0,'Données projet'!$E$9+1,1))-AVERAGE(OFFSET($H$3,0,0,'Données projet'!$E$9+1,1))</f>
        <v>706.69239849991595</v>
      </c>
      <c r="T102" s="59">
        <f t="shared" si="88"/>
        <v>310.59887275116529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28.640200202537059</v>
      </c>
      <c r="AA102" s="21">
        <f>EXP(-LN(2)/25)*AA101+(1-EXP(-LN(2)/25))/(LN(2)/25)*Calculateur!V102*Calculateur!X102*VLOOKUP('Données projet'!$B$9,Paramètres!$A$1:$I$89,3,0)*0.475*44/12</f>
        <v>27.499668729189136</v>
      </c>
      <c r="AB102" s="21">
        <f>EXP(-LN(2)/2)*AB101+(1-EXP(-LN(2)/2))/(LN(2)/2)*V102*Y102*VLOOKUP('Données projet'!$B$9,Paramètres!$A$1:$I$89,3,0)*0.475*44/12</f>
        <v>1.1752389930687137</v>
      </c>
      <c r="AC102" s="22">
        <f t="shared" si="57"/>
        <v>57.315107924794916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1.9230769230769227</v>
      </c>
      <c r="AI102" s="13">
        <f>IF('Données projet'!$A$62&gt;35,AI101+AH102-AQ101,IF(A102&lt;'Données projet'!$A$62,$AF$205^A102,IF(A102='Données projet'!$A$62,'Données projet'!$B$62,AI101+AH102-AQ101)))</f>
        <v>141.02564102564102</v>
      </c>
      <c r="AJ102" s="13">
        <f>AI102*VLOOKUP('Données projet'!$B$10,Paramètres!$A$1:$I$89,3,0)*VLOOKUP('Données projet'!$B$10,Paramètres!$A$1:$I$89,5,0)</f>
        <v>147.4</v>
      </c>
      <c r="AK102" s="13">
        <f t="shared" si="89"/>
        <v>37.987126351804257</v>
      </c>
      <c r="AL102" s="20">
        <f t="shared" si="58"/>
        <v>322.88257839605905</v>
      </c>
      <c r="AM102" s="59">
        <f t="shared" si="59"/>
        <v>616.21591172939236</v>
      </c>
      <c r="AN102" s="59">
        <f ca="1">AVERAGE(OFFSET($AM$3,0,0,'Données projet'!$E$10+1,1))-AVERAGE(OFFSET($H$3,0,0,'Données projet'!$E$10+1,1))</f>
        <v>239.26156489359892</v>
      </c>
      <c r="AO102" s="59">
        <f t="shared" si="90"/>
        <v>213.97034450798111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1.8042985465807702</v>
      </c>
      <c r="AV102" s="21">
        <f>EXP(-LN(2)/25)*AV101+(1-EXP(-LN(2)/25))/(LN(2)/25)*Calculateur!AQ102*Calculateur!AS102*VLOOKUP('Données projet'!$B$10,Paramètres!$A$1:$I$89,3,0)*0.475*44/12</f>
        <v>13.393942494706547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15.198241041287318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-1.7053025658242404E-13</v>
      </c>
      <c r="BE102" s="13">
        <f>BD102*VLOOKUP('Données projet'!$B$11,Paramètres!$A$1:$I$89,3,0)*VLOOKUP('Données projet'!$B$11,Paramètres!$A$1:$I$89,5,0)</f>
        <v>-1.4897523215040567E-13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324.86930206492627</v>
      </c>
      <c r="BJ102" s="59">
        <f t="shared" si="92"/>
        <v>317.03005098025352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31.626709049035597</v>
      </c>
      <c r="BQ102" s="21">
        <f>EXP(-LN(2)/25)*BQ101+(1-EXP(-LN(2)/25))/(LN(2)/25)*Calculateur!BL102*Calculateur!BN102*VLOOKUP('Données projet'!$B$11,Paramètres!$A$1:$I$89,3,0)*0.475*44/12</f>
        <v>27.467065463047284</v>
      </c>
      <c r="BR102" s="21">
        <f>EXP(-LN(2)/2)*BR101+(1-EXP(-LN(2)/2))/(LN(2)/2)*BL102*BO102*VLOOKUP('Données projet'!$B$11,Paramètres!$A$1:$I$89,3,0)*0.475*44/12</f>
        <v>7.8825845743429074E-2</v>
      </c>
      <c r="BS102" s="22">
        <f t="shared" si="63"/>
        <v>59.172600357826312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6.7777777777777777</v>
      </c>
      <c r="BY102" s="12">
        <f>IF('Données projet'!$A$114&gt;35,BY101+BX102-CG101,IF(A102&lt;'Données projet'!$A$114,$BV$205^A102,IF(A102='Données projet'!$A$114,'Données projet'!$B$114,BY101+BX102-CG101)))</f>
        <v>237.48111111111098</v>
      </c>
      <c r="BZ102" s="13">
        <f>BY102*VLOOKUP('Données projet'!$B$12,Paramètres!$A$1:$I$89,3,0)*VLOOKUP('Données projet'!$B$12,Paramètres!$A$1:$I$89,5,0)</f>
        <v>270.44348933333316</v>
      </c>
      <c r="CA102" s="13">
        <f t="shared" si="93"/>
        <v>64.943379925271046</v>
      </c>
      <c r="CB102" s="20">
        <f t="shared" si="64"/>
        <v>584.13213062540228</v>
      </c>
      <c r="CC102" s="59">
        <f t="shared" si="65"/>
        <v>877.46546395873565</v>
      </c>
      <c r="CD102" s="59">
        <f ca="1">AVERAGE(OFFSET($CC$3,0,0,'Données projet'!$E$12+1,1))-AVERAGE(OFFSET($H$3,0,0,'Données projet'!$E$12+1,1))</f>
        <v>593.28343396240075</v>
      </c>
      <c r="CE102" s="59">
        <f t="shared" si="94"/>
        <v>289.66477662068695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12.884643398394637</v>
      </c>
      <c r="CL102" s="21">
        <f>EXP(-LN(2)/25)*CL101+(1-EXP(-LN(2)/25))/(LN(2)/25)*Calculateur!CG102*Calculateur!CI102*VLOOKUP('Données projet'!$B$12,Paramètres!$A$1:$I$89,3,0)*0.475*44/12</f>
        <v>33.441570668232259</v>
      </c>
      <c r="CM102" s="21">
        <f>EXP(-LN(2)/2)*CM101+(1-EXP(-LN(2)/2))/(LN(2)/2)*CG102*CJ102*VLOOKUP('Données projet'!$B$12,Paramètres!$A$1:$I$89,3,0)*0.475*44/12</f>
        <v>1.1820114438938141</v>
      </c>
      <c r="CN102" s="22">
        <f t="shared" si="66"/>
        <v>47.50822551052071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8.9420000000000019</v>
      </c>
      <c r="CT102" s="12">
        <f>IF('Données projet'!$A$140&gt;35,CT101+CS102-DB101,IF(A102&lt;'Données projet'!$A$140,$CQ$205^A102,IF(A102='Données projet'!$A$140,'Données projet'!$B$140,CT101+CS102-DB101)))</f>
        <v>357.49000000000052</v>
      </c>
      <c r="CU102" s="17">
        <f>CT102*VLOOKUP('Données projet'!$B$13,Paramètres!$A$1:$I$89,3,0)*VLOOKUP('Données projet'!$B$13,Paramètres!$A$1:$I$89,5,0)</f>
        <v>384.80223600000056</v>
      </c>
      <c r="CV102" s="13">
        <f t="shared" si="95"/>
        <v>88.688640299897202</v>
      </c>
      <c r="CW102" s="20">
        <f t="shared" si="67"/>
        <v>824.66327622232177</v>
      </c>
      <c r="CX102" s="59">
        <f t="shared" si="68"/>
        <v>1117.9966095556551</v>
      </c>
      <c r="CY102" s="59">
        <f ca="1">AVERAGE(OFFSET($CX$3,0,0,'Données projet'!$E$13+1,1))-AVERAGE(OFFSET($H$3,0,0,'Données projet'!$E$13+1,1))</f>
        <v>747.18304127457918</v>
      </c>
      <c r="CZ102" s="59">
        <f t="shared" si="96"/>
        <v>327.03701004966723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30.402674061154723</v>
      </c>
      <c r="DG102" s="21">
        <f>EXP(-LN(2)/25)*DG101+(1-EXP(-LN(2)/25))/(LN(2)/25)*Calculateur!DB102*Calculateur!DD102*VLOOKUP('Données projet'!$B$13,Paramètres!$A$1:$I$89,3,0)*0.475*44/12</f>
        <v>29.191956035600771</v>
      </c>
      <c r="DH102" s="21">
        <f>EXP(-LN(2)/2)*DH101+(1-EXP(-LN(2)/2))/(LN(2)/2)*DB102*DE102*VLOOKUP('Données projet'!$B$13,Paramètres!$A$1:$I$89,3,0)*0.475*44/12</f>
        <v>1.2475613926421727</v>
      </c>
      <c r="DI102" s="22">
        <f t="shared" si="69"/>
        <v>60.842191489397671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353.37479213497227</v>
      </c>
      <c r="DU102" s="59">
        <f t="shared" si="98"/>
        <v>345.4750813433123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35.681034515904415</v>
      </c>
      <c r="EB102" s="21">
        <f>EXP(-LN(2)/25)*EB101+(1-EXP(-LN(2)/25))/(LN(2)/25)*Calculateur!DW102*Calculateur!DY102*VLOOKUP('Données projet'!$B$14,Paramètres!$A$1:$I$89,3,0)*0.475*44/12</f>
        <v>30.306484189808128</v>
      </c>
      <c r="EC102" s="21">
        <f>EXP(-LN(2)/2)*EC101+(1-EXP(-LN(2)/2))/(LN(2)/2)*DW102*DZ102*VLOOKUP('Données projet'!$B$14,Paramètres!$A$1:$I$89,3,0)*0.475*44/12</f>
        <v>8.6208084988780659E-2</v>
      </c>
      <c r="ED102" s="22">
        <f t="shared" si="72"/>
        <v>66.073726790701329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13.919999999999996</v>
      </c>
      <c r="EJ102" s="12">
        <f>IF('Données projet'!$A$192&gt;35,EJ101+EI102-ER101,IF(A102&lt;'Données projet'!$A$192,$EG$205^A102,IF(A102='Données projet'!$A$192,'Données projet'!$B$192,EJ101+EI102-ER101)))</f>
        <v>328.58999999999946</v>
      </c>
      <c r="EK102" s="17">
        <f>EJ102*VLOOKUP('Données projet'!$B$15,Paramètres!$A$1:$I$89,3,0)*VLOOKUP('Données projet'!$B$15,Paramètres!$A$1:$I$89,5,0)</f>
        <v>153.78011999999976</v>
      </c>
      <c r="EL102" s="13">
        <f t="shared" si="99"/>
        <v>39.436383165095542</v>
      </c>
      <c r="EM102" s="20">
        <f t="shared" si="73"/>
        <v>336.51874301254099</v>
      </c>
      <c r="EN102" s="59">
        <f t="shared" si="74"/>
        <v>629.85207634587437</v>
      </c>
      <c r="EO102" s="59">
        <f ca="1">AVERAGE(OFFSET($EN$3,0,0,'Données projet'!$E$15+1,1))-AVERAGE(OFFSET($H$3,0,0,'Données projet'!$E$15+1,1))</f>
        <v>433.05041777893922</v>
      </c>
      <c r="EP102" s="59">
        <f t="shared" si="100"/>
        <v>591.24088611958996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236.44408746934982</v>
      </c>
      <c r="EW102" s="21">
        <f>EXP(-LN(2)/25)*EW101+(1-EXP(-LN(2)/25))/(LN(2)/25)*Calculateur!ER102*Calculateur!ET102*VLOOKUP('Données projet'!$B$15,Paramètres!$A$1:$I$89,3,0)*0.475*44/12</f>
        <v>72.1155985428734</v>
      </c>
      <c r="EX102" s="21">
        <f>EXP(-LN(2)/2)*EX101+(1-EXP(-LN(2)/2))/(LN(2)/2)*ER102*EU102*VLOOKUP('Données projet'!$B$15,Paramètres!$A$1:$I$89,3,0)*0.475*44/12</f>
        <v>9.1655508606360545</v>
      </c>
      <c r="EY102" s="22">
        <f t="shared" si="75"/>
        <v>317.72523687285928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-8.5265128291212022E-14</v>
      </c>
      <c r="FF102" s="17">
        <f>FE102*VLOOKUP('Données projet'!$B$16,Paramètres!$A$1:$I$89,3,0)*VLOOKUP('Données projet'!$B$16,Paramètres!$A$1:$I$89,5,0)</f>
        <v>-6.9167072069831198E-14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159.4660488566085</v>
      </c>
      <c r="FK102" s="59">
        <f t="shared" si="102"/>
        <v>135.33030558297088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12.606361653787571</v>
      </c>
      <c r="FS102" s="21">
        <f>EXP(-LN(2)/2)*FS101+(1-EXP(-LN(2)/2))/(LN(2)/2)*FM102*FP102*VLOOKUP('Données projet'!$B$16,Paramètres!$A$1:$I$89,3,0)*0.475*44/12</f>
        <v>1.1068460189458709</v>
      </c>
      <c r="FT102" s="22">
        <f t="shared" si="78"/>
        <v>13.713207672733443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8.9420000000000019</v>
      </c>
      <c r="N103" s="13">
        <f>IF('Données projet'!$A$36&gt;35,N102+M103-V102,IF(A103&lt;'Données projet'!$A$36,$K$205^A103,IF(A103='Données projet'!$A$36,'Données projet'!$B$36,N102+M103-V102)))</f>
        <v>366.43200000000053</v>
      </c>
      <c r="O103" s="13">
        <f>N103*VLOOKUP('Données projet'!$B$9,Paramètres!$A$1:$I$89,3,0)*VLOOKUP('Données projet'!$B$9,Paramètres!$A$1:$I$89,5,0)</f>
        <v>371.56204800000057</v>
      </c>
      <c r="P103" s="13">
        <f t="shared" si="87"/>
        <v>85.986795441367093</v>
      </c>
      <c r="Q103" s="20">
        <f t="shared" si="107"/>
        <v>796.89756899371525</v>
      </c>
      <c r="R103" s="59">
        <f t="shared" si="55"/>
        <v>1090.2309023270486</v>
      </c>
      <c r="S103" s="59">
        <f ca="1">AVERAGE(OFFSET($R$3,0,0,'Données projet'!$E$9+1,1))-AVERAGE(OFFSET($H$3,0,0,'Données projet'!$E$9+1,1))</f>
        <v>706.69239849991595</v>
      </c>
      <c r="T103" s="59">
        <f t="shared" si="88"/>
        <v>310.59887275116529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28.078583345362532</v>
      </c>
      <c r="AA103" s="21">
        <f>EXP(-LN(2)/25)*AA102+(1-EXP(-LN(2)/25))/(LN(2)/25)*Calculateur!V103*Calculateur!X103*VLOOKUP('Données projet'!$B$9,Paramètres!$A$1:$I$89,3,0)*0.475*44/12</f>
        <v>26.747688841644731</v>
      </c>
      <c r="AB103" s="21">
        <f>EXP(-LN(2)/2)*AB102+(1-EXP(-LN(2)/2))/(LN(2)/2)*V103*Y103*VLOOKUP('Données projet'!$B$9,Paramètres!$A$1:$I$89,3,0)*0.475*44/12</f>
        <v>0.8310194615137374</v>
      </c>
      <c r="AC103" s="22">
        <f t="shared" si="57"/>
        <v>55.657291648521003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142.94871794871796</v>
      </c>
      <c r="AG103" s="12">
        <f>VLOOKUP(A103,'Données projet'!$A$61:$I$81,9,0)</f>
        <v>1.9230769230769227</v>
      </c>
      <c r="AH103" s="12">
        <f t="array" ref="AH103">INDEX(AG:AG,MIN(IF(ISNUMBER(AG103:AG299),ROW(AG103:AG299),"")))</f>
        <v>1.9230769230769227</v>
      </c>
      <c r="AI103" s="13">
        <f>IF('Données projet'!$A$62&gt;35,AI102+AH103-AQ102,IF(A103&lt;'Données projet'!$A$62,$AF$205^A103,IF(A103='Données projet'!$A$62,'Données projet'!$B$62,AI102+AH103-AQ102)))</f>
        <v>142.94871794871796</v>
      </c>
      <c r="AJ103" s="13">
        <f>AI103*VLOOKUP('Données projet'!$B$10,Paramètres!$A$1:$I$89,3,0)*VLOOKUP('Données projet'!$B$10,Paramètres!$A$1:$I$89,5,0)</f>
        <v>149.41000000000003</v>
      </c>
      <c r="AK103" s="13">
        <f t="shared" si="89"/>
        <v>38.444475265192452</v>
      </c>
      <c r="AL103" s="20">
        <f t="shared" si="58"/>
        <v>327.17987775354362</v>
      </c>
      <c r="AM103" s="59">
        <f t="shared" si="59"/>
        <v>620.51321108687694</v>
      </c>
      <c r="AN103" s="59">
        <f ca="1">AVERAGE(OFFSET($AM$3,0,0,'Données projet'!$E$10+1,1))-AVERAGE(OFFSET($H$3,0,0,'Données projet'!$E$10+1,1))</f>
        <v>239.26156489359892</v>
      </c>
      <c r="AO103" s="59">
        <f t="shared" si="90"/>
        <v>213.97034450798111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142.94871794871796</v>
      </c>
      <c r="AR103" s="16">
        <f>IF(ISNA(VLOOKUP(A103,'Données projet'!$A$61:$I$81,5,0)),0%,VLOOKUP(A103,'Données projet'!$A$61:$I$81,5,0)*VLOOKUP('Données projet'!$B$10,Paramètres!$A$1:$I$89,7,0))</f>
        <v>4.3000000000000003E-2</v>
      </c>
      <c r="AS103" s="16">
        <f>IF(ISNA(VLOOKUP(A103,'Données projet'!$A$61:$I$81,6,0)),0%,VLOOKUP(A103,'Données projet'!$A$61:$I$81,6,0)*VLOOKUP('Données projet'!$B$10,Paramètres!$A$1:$I$89,7,0))</f>
        <v>0.215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8.8711555170545484</v>
      </c>
      <c r="AV103" s="21">
        <f>EXP(-LN(2)/25)*AV102+(1-EXP(-LN(2)/25))/(LN(2)/25)*Calculateur!AQ103*Calculateur!AS103*VLOOKUP('Données projet'!$B$10,Paramètres!$A$1:$I$89,3,0)*0.475*44/12</f>
        <v>48.399054166033999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57.270209683088545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-1.7053025658242404E-13</v>
      </c>
      <c r="BE103" s="13">
        <f>BD103*VLOOKUP('Données projet'!$B$11,Paramètres!$A$1:$I$89,3,0)*VLOOKUP('Données projet'!$B$11,Paramètres!$A$1:$I$89,5,0)</f>
        <v>-1.4897523215040567E-13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324.86930206492627</v>
      </c>
      <c r="BJ103" s="59">
        <f t="shared" si="92"/>
        <v>317.03005098025352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31.00652857497176</v>
      </c>
      <c r="BQ103" s="21">
        <f>EXP(-LN(2)/25)*BQ102+(1-EXP(-LN(2)/25))/(LN(2)/25)*Calculateur!BL103*Calculateur!BN103*VLOOKUP('Données projet'!$B$11,Paramètres!$A$1:$I$89,3,0)*0.475*44/12</f>
        <v>26.715977113530059</v>
      </c>
      <c r="BR103" s="21">
        <f>EXP(-LN(2)/2)*BR102+(1-EXP(-LN(2)/2))/(LN(2)/2)*BL103*BO103*VLOOKUP('Données projet'!$B$11,Paramètres!$A$1:$I$89,3,0)*0.475*44/12</f>
        <v>5.5738290057943451E-2</v>
      </c>
      <c r="BS103" s="22">
        <f t="shared" si="63"/>
        <v>57.778243978559765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6.7777777777777777</v>
      </c>
      <c r="BY103" s="12">
        <f>IF('Données projet'!$A$114&gt;35,BY102+BX103-CG102,IF(A103&lt;'Données projet'!$A$114,$BV$205^A103,IF(A103='Données projet'!$A$114,'Données projet'!$B$114,BY102+BX103-CG102)))</f>
        <v>244.25888888888875</v>
      </c>
      <c r="BZ103" s="13">
        <f>BY103*VLOOKUP('Données projet'!$B$12,Paramètres!$A$1:$I$89,3,0)*VLOOKUP('Données projet'!$B$12,Paramètres!$A$1:$I$89,5,0)</f>
        <v>278.16202266666653</v>
      </c>
      <c r="CA103" s="13">
        <f t="shared" si="93"/>
        <v>66.578442681509159</v>
      </c>
      <c r="CB103" s="20">
        <f t="shared" si="64"/>
        <v>600.42297714807262</v>
      </c>
      <c r="CC103" s="59">
        <f t="shared" si="65"/>
        <v>893.75631048140599</v>
      </c>
      <c r="CD103" s="59">
        <f ca="1">AVERAGE(OFFSET($CC$3,0,0,'Données projet'!$E$12+1,1))-AVERAGE(OFFSET($H$3,0,0,'Données projet'!$E$12+1,1))</f>
        <v>593.28343396240075</v>
      </c>
      <c r="CE103" s="59">
        <f t="shared" si="94"/>
        <v>289.66477662068695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12.631983400208593</v>
      </c>
      <c r="CL103" s="21">
        <f>EXP(-LN(2)/25)*CL102+(1-EXP(-LN(2)/25))/(LN(2)/25)*Calculateur!CG103*Calculateur!CI103*VLOOKUP('Données projet'!$B$12,Paramètres!$A$1:$I$89,3,0)*0.475*44/12</f>
        <v>32.52710915969368</v>
      </c>
      <c r="CM103" s="21">
        <f>EXP(-LN(2)/2)*CM102+(1-EXP(-LN(2)/2))/(LN(2)/2)*CG103*CJ103*VLOOKUP('Données projet'!$B$12,Paramètres!$A$1:$I$89,3,0)*0.475*44/12</f>
        <v>0.83580830741741829</v>
      </c>
      <c r="CN103" s="22">
        <f t="shared" si="66"/>
        <v>45.994900867319693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8.9420000000000019</v>
      </c>
      <c r="CT103" s="12">
        <f>IF('Données projet'!$A$140&gt;35,CT102+CS103-DB102,IF(A103&lt;'Données projet'!$A$140,$CQ$205^A103,IF(A103='Données projet'!$A$140,'Données projet'!$B$140,CT102+CS103-DB102)))</f>
        <v>366.43200000000053</v>
      </c>
      <c r="CU103" s="17">
        <f>CT103*VLOOKUP('Données projet'!$B$13,Paramètres!$A$1:$I$89,3,0)*VLOOKUP('Données projet'!$B$13,Paramètres!$A$1:$I$89,5,0)</f>
        <v>394.42740480000055</v>
      </c>
      <c r="CV103" s="13">
        <f t="shared" si="95"/>
        <v>90.645986257962804</v>
      </c>
      <c r="CW103" s="20">
        <f t="shared" si="67"/>
        <v>844.83615609261949</v>
      </c>
      <c r="CX103" s="59">
        <f t="shared" si="68"/>
        <v>1138.1694894259529</v>
      </c>
      <c r="CY103" s="59">
        <f ca="1">AVERAGE(OFFSET($CX$3,0,0,'Données projet'!$E$13+1,1))-AVERAGE(OFFSET($H$3,0,0,'Données projet'!$E$13+1,1))</f>
        <v>747.18304127457918</v>
      </c>
      <c r="CZ103" s="59">
        <f t="shared" si="96"/>
        <v>327.03701004966723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29.806496166615609</v>
      </c>
      <c r="DG103" s="21">
        <f>EXP(-LN(2)/25)*DG102+(1-EXP(-LN(2)/25))/(LN(2)/25)*Calculateur!DB103*Calculateur!DD103*VLOOKUP('Données projet'!$B$13,Paramètres!$A$1:$I$89,3,0)*0.475*44/12</f>
        <v>28.39370046266902</v>
      </c>
      <c r="DH103" s="21">
        <f>EXP(-LN(2)/2)*DH102+(1-EXP(-LN(2)/2))/(LN(2)/2)*DB103*DE103*VLOOKUP('Données projet'!$B$13,Paramètres!$A$1:$I$89,3,0)*0.475*44/12</f>
        <v>0.88215912068381341</v>
      </c>
      <c r="DI103" s="22">
        <f t="shared" si="69"/>
        <v>59.08235574996845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353.37479213497227</v>
      </c>
      <c r="DU103" s="59">
        <f t="shared" si="98"/>
        <v>345.4750813433123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34.98135119232964</v>
      </c>
      <c r="EB103" s="21">
        <f>EXP(-LN(2)/25)*EB102+(1-EXP(-LN(2)/25))/(LN(2)/25)*Calculateur!DW103*Calculateur!DY103*VLOOKUP('Données projet'!$B$14,Paramètres!$A$1:$I$89,3,0)*0.475*44/12</f>
        <v>29.477751785889087</v>
      </c>
      <c r="EC103" s="21">
        <f>EXP(-LN(2)/2)*EC102+(1-EXP(-LN(2)/2))/(LN(2)/2)*DW103*DZ103*VLOOKUP('Données projet'!$B$14,Paramètres!$A$1:$I$89,3,0)*0.475*44/12</f>
        <v>6.0958321488673022E-2</v>
      </c>
      <c r="ED103" s="22">
        <f t="shared" si="72"/>
        <v>64.520061299707393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13.919999999999996</v>
      </c>
      <c r="EJ103" s="12">
        <f>IF('Données projet'!$A$192&gt;35,EJ102+EI103-ER102,IF(A103&lt;'Données projet'!$A$192,$EG$205^A103,IF(A103='Données projet'!$A$192,'Données projet'!$B$192,EJ102+EI103-ER102)))</f>
        <v>342.50999999999948</v>
      </c>
      <c r="EK103" s="17">
        <f>EJ103*VLOOKUP('Données projet'!$B$15,Paramètres!$A$1:$I$89,3,0)*VLOOKUP('Données projet'!$B$15,Paramètres!$A$1:$I$89,5,0)</f>
        <v>160.29467999999974</v>
      </c>
      <c r="EL103" s="13">
        <f t="shared" si="99"/>
        <v>40.908974183654649</v>
      </c>
      <c r="EM103" s="20">
        <f t="shared" si="73"/>
        <v>350.42969770319809</v>
      </c>
      <c r="EN103" s="59">
        <f t="shared" si="74"/>
        <v>643.7630310365314</v>
      </c>
      <c r="EO103" s="59">
        <f ca="1">AVERAGE(OFFSET($EN$3,0,0,'Données projet'!$E$15+1,1))-AVERAGE(OFFSET($H$3,0,0,'Données projet'!$E$15+1,1))</f>
        <v>433.05041777893922</v>
      </c>
      <c r="EP103" s="59">
        <f t="shared" si="100"/>
        <v>591.24088611958996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231.80756313072902</v>
      </c>
      <c r="EW103" s="21">
        <f>EXP(-LN(2)/25)*EW102+(1-EXP(-LN(2)/25))/(LN(2)/25)*Calculateur!ER103*Calculateur!ET103*VLOOKUP('Données projet'!$B$15,Paramètres!$A$1:$I$89,3,0)*0.475*44/12</f>
        <v>70.143593708324019</v>
      </c>
      <c r="EX103" s="21">
        <f>EXP(-LN(2)/2)*EX102+(1-EXP(-LN(2)/2))/(LN(2)/2)*ER103*EU103*VLOOKUP('Données projet'!$B$15,Paramètres!$A$1:$I$89,3,0)*0.475*44/12</f>
        <v>6.4810231668659517</v>
      </c>
      <c r="EY103" s="22">
        <f t="shared" si="75"/>
        <v>308.43218000591901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-8.5265128291212022E-14</v>
      </c>
      <c r="FF103" s="17">
        <f>FE103*VLOOKUP('Données projet'!$B$16,Paramètres!$A$1:$I$89,3,0)*VLOOKUP('Données projet'!$B$16,Paramètres!$A$1:$I$89,5,0)</f>
        <v>-6.9167072069831198E-14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159.4660488566085</v>
      </c>
      <c r="FK103" s="59">
        <f t="shared" si="102"/>
        <v>135.33030558297088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12.261640031425003</v>
      </c>
      <c r="FS103" s="21">
        <f>EXP(-LN(2)/2)*FS102+(1-EXP(-LN(2)/2))/(LN(2)/2)*FM103*FP103*VLOOKUP('Données projet'!$B$16,Paramètres!$A$1:$I$89,3,0)*0.475*44/12</f>
        <v>0.78265832572595917</v>
      </c>
      <c r="FT103" s="22">
        <f t="shared" si="78"/>
        <v>13.044298357150963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8.9420000000000019</v>
      </c>
      <c r="N104" s="13">
        <f>IF('Données projet'!$A$36&gt;35,N103+M104-V103,IF(A104&lt;'Données projet'!$A$36,$K$205^A104,IF(A104='Données projet'!$A$36,'Données projet'!$B$36,N103+M104-V103)))</f>
        <v>375.37400000000054</v>
      </c>
      <c r="O104" s="13">
        <f>N104*VLOOKUP('Données projet'!$B$9,Paramètres!$A$1:$I$89,3,0)*VLOOKUP('Données projet'!$B$9,Paramètres!$A$1:$I$89,5,0)</f>
        <v>380.62923600000056</v>
      </c>
      <c r="P104" s="13">
        <f t="shared" si="87"/>
        <v>87.83826696657087</v>
      </c>
      <c r="Q104" s="20">
        <f t="shared" si="107"/>
        <v>815.91423433344517</v>
      </c>
      <c r="R104" s="59">
        <f t="shared" si="55"/>
        <v>1109.2475676667784</v>
      </c>
      <c r="S104" s="59">
        <f ca="1">AVERAGE(OFFSET($R$3,0,0,'Données projet'!$E$9+1,1))-AVERAGE(OFFSET($H$3,0,0,'Données projet'!$E$9+1,1))</f>
        <v>706.69239849991595</v>
      </c>
      <c r="T104" s="59">
        <f t="shared" si="88"/>
        <v>310.59887275116529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27.527979452204736</v>
      </c>
      <c r="AA104" s="21">
        <f>EXP(-LN(2)/25)*AA103+(1-EXP(-LN(2)/25))/(LN(2)/25)*Calculateur!V104*Calculateur!X104*VLOOKUP('Données projet'!$B$9,Paramètres!$A$1:$I$89,3,0)*0.475*44/12</f>
        <v>26.016271883670132</v>
      </c>
      <c r="AB104" s="21">
        <f>EXP(-LN(2)/2)*AB103+(1-EXP(-LN(2)/2))/(LN(2)/2)*V104*Y104*VLOOKUP('Données projet'!$B$9,Paramètres!$A$1:$I$89,3,0)*0.475*44/12</f>
        <v>0.58761949653435686</v>
      </c>
      <c r="AC104" s="22">
        <f t="shared" si="57"/>
        <v>54.131870832409227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239.26156489359892</v>
      </c>
      <c r="AO104" s="59">
        <f t="shared" si="90"/>
        <v>213.97034450798111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8.6971975682356959</v>
      </c>
      <c r="AV104" s="21">
        <f>EXP(-LN(2)/25)*AV103+(1-EXP(-LN(2)/25))/(LN(2)/25)*Calculateur!AQ104*Calculateur!AS104*VLOOKUP('Données projet'!$B$10,Paramètres!$A$1:$I$89,3,0)*0.475*44/12</f>
        <v>47.075579484668161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55.772777052903855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-1.7053025658242404E-13</v>
      </c>
      <c r="BE104" s="13">
        <f>BD104*VLOOKUP('Données projet'!$B$11,Paramètres!$A$1:$I$89,3,0)*VLOOKUP('Données projet'!$B$11,Paramètres!$A$1:$I$89,5,0)</f>
        <v>-1.4897523215040567E-13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324.86930206492627</v>
      </c>
      <c r="BJ104" s="59">
        <f t="shared" si="92"/>
        <v>317.03005098025352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30.398509461731578</v>
      </c>
      <c r="BQ104" s="21">
        <f>EXP(-LN(2)/25)*BQ103+(1-EXP(-LN(2)/25))/(LN(2)/25)*Calculateur!BL104*Calculateur!BN104*VLOOKUP('Données projet'!$B$11,Paramètres!$A$1:$I$89,3,0)*0.475*44/12</f>
        <v>25.985427314428403</v>
      </c>
      <c r="BR104" s="21">
        <f>EXP(-LN(2)/2)*BR103+(1-EXP(-LN(2)/2))/(LN(2)/2)*BL104*BO104*VLOOKUP('Données projet'!$B$11,Paramètres!$A$1:$I$89,3,0)*0.475*44/12</f>
        <v>3.9412922871714537E-2</v>
      </c>
      <c r="BS104" s="22">
        <f t="shared" si="63"/>
        <v>56.423349699031697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6.7777777777777777</v>
      </c>
      <c r="BY104" s="12">
        <f>IF('Données projet'!$A$114&gt;35,BY103+BX104-CG103,IF(A104&lt;'Données projet'!$A$114,$BV$205^A104,IF(A104='Données projet'!$A$114,'Données projet'!$B$114,BY103+BX104-CG103)))</f>
        <v>251.03666666666652</v>
      </c>
      <c r="BZ104" s="13">
        <f>BY104*VLOOKUP('Données projet'!$B$12,Paramètres!$A$1:$I$89,3,0)*VLOOKUP('Données projet'!$B$12,Paramètres!$A$1:$I$89,5,0)</f>
        <v>285.88055599999984</v>
      </c>
      <c r="CA104" s="13">
        <f t="shared" si="93"/>
        <v>68.208232142665835</v>
      </c>
      <c r="CB104" s="20">
        <f t="shared" si="64"/>
        <v>616.70463934847601</v>
      </c>
      <c r="CC104" s="59">
        <f t="shared" si="65"/>
        <v>910.03797268180938</v>
      </c>
      <c r="CD104" s="59">
        <f ca="1">AVERAGE(OFFSET($CC$3,0,0,'Données projet'!$E$12+1,1))-AVERAGE(OFFSET($H$3,0,0,'Données projet'!$E$12+1,1))</f>
        <v>593.28343396240075</v>
      </c>
      <c r="CE104" s="59">
        <f t="shared" si="94"/>
        <v>289.66477662068695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12.384277910479597</v>
      </c>
      <c r="CL104" s="21">
        <f>EXP(-LN(2)/25)*CL103+(1-EXP(-LN(2)/25))/(LN(2)/25)*Calculateur!CG104*Calculateur!CI104*VLOOKUP('Données projet'!$B$12,Paramètres!$A$1:$I$89,3,0)*0.475*44/12</f>
        <v>31.637653649195528</v>
      </c>
      <c r="CM104" s="21">
        <f>EXP(-LN(2)/2)*CM103+(1-EXP(-LN(2)/2))/(LN(2)/2)*CG104*CJ104*VLOOKUP('Données projet'!$B$12,Paramètres!$A$1:$I$89,3,0)*0.475*44/12</f>
        <v>0.59100572194690704</v>
      </c>
      <c r="CN104" s="22">
        <f t="shared" si="66"/>
        <v>44.612937281622031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8.9420000000000019</v>
      </c>
      <c r="CT104" s="12">
        <f>IF('Données projet'!$A$140&gt;35,CT103+CS104-DB103,IF(A104&lt;'Données projet'!$A$140,$CQ$205^A104,IF(A104='Données projet'!$A$140,'Données projet'!$B$140,CT103+CS104-DB103)))</f>
        <v>375.37400000000054</v>
      </c>
      <c r="CU104" s="17">
        <f>CT104*VLOOKUP('Données projet'!$B$13,Paramètres!$A$1:$I$89,3,0)*VLOOKUP('Données projet'!$B$13,Paramètres!$A$1:$I$89,5,0)</f>
        <v>404.05257360000053</v>
      </c>
      <c r="CV104" s="13">
        <f t="shared" si="95"/>
        <v>92.597779688211872</v>
      </c>
      <c r="CW104" s="20">
        <f t="shared" si="67"/>
        <v>864.99936531030323</v>
      </c>
      <c r="CX104" s="59">
        <f t="shared" si="68"/>
        <v>1158.3326986436366</v>
      </c>
      <c r="CY104" s="59">
        <f ca="1">AVERAGE(OFFSET($CX$3,0,0,'Données projet'!$E$13+1,1))-AVERAGE(OFFSET($H$3,0,0,'Données projet'!$E$13+1,1))</f>
        <v>747.18304127457918</v>
      </c>
      <c r="CZ104" s="59">
        <f t="shared" si="96"/>
        <v>327.03701004966723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29.222008956955797</v>
      </c>
      <c r="DG104" s="21">
        <f>EXP(-LN(2)/25)*DG103+(1-EXP(-LN(2)/25))/(LN(2)/25)*Calculateur!DB104*Calculateur!DD104*VLOOKUP('Données projet'!$B$13,Paramètres!$A$1:$I$89,3,0)*0.475*44/12</f>
        <v>27.617273230357522</v>
      </c>
      <c r="DH104" s="21">
        <f>EXP(-LN(2)/2)*DH103+(1-EXP(-LN(2)/2))/(LN(2)/2)*DB104*DE104*VLOOKUP('Données projet'!$B$13,Paramètres!$A$1:$I$89,3,0)*0.475*44/12</f>
        <v>0.62378069632108646</v>
      </c>
      <c r="DI104" s="22">
        <f t="shared" si="69"/>
        <v>57.4630628836344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353.37479213497227</v>
      </c>
      <c r="DU104" s="59">
        <f t="shared" si="98"/>
        <v>345.4750813433123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34.295388231965475</v>
      </c>
      <c r="EB104" s="21">
        <f>EXP(-LN(2)/25)*EB103+(1-EXP(-LN(2)/25))/(LN(2)/25)*Calculateur!DW104*Calculateur!DY104*VLOOKUP('Données projet'!$B$14,Paramètres!$A$1:$I$89,3,0)*0.475*44/12</f>
        <v>28.671681113136355</v>
      </c>
      <c r="EC104" s="21">
        <f>EXP(-LN(2)/2)*EC103+(1-EXP(-LN(2)/2))/(LN(2)/2)*DW104*DZ104*VLOOKUP('Données projet'!$B$14,Paramètres!$A$1:$I$89,3,0)*0.475*44/12</f>
        <v>4.3104042494390336E-2</v>
      </c>
      <c r="ED104" s="22">
        <f t="shared" si="72"/>
        <v>63.010173387596225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>
        <f>VLOOKUP(A104,'Données projet'!$A$191:$I$211,2,0)</f>
        <v>356.43</v>
      </c>
      <c r="EH104" s="12">
        <f>VLOOKUP(A104,'Données projet'!$A$191:$I$211,9,0)</f>
        <v>13.919999999999996</v>
      </c>
      <c r="EI104" s="12">
        <f t="array" ref="EI104">INDEX(EH:EH,MIN(IF(ISNUMBER(EH104:EH300),ROW(EH104:EH300),"")))</f>
        <v>13.919999999999996</v>
      </c>
      <c r="EJ104" s="12">
        <f>IF('Données projet'!$A$192&gt;35,EJ103+EI104-ER103,IF(A104&lt;'Données projet'!$A$192,$EG$205^A104,IF(A104='Données projet'!$A$192,'Données projet'!$B$192,EJ103+EI104-ER103)))</f>
        <v>356.4299999999995</v>
      </c>
      <c r="EK104" s="17">
        <f>EJ104*VLOOKUP('Données projet'!$B$15,Paramètres!$A$1:$I$89,3,0)*VLOOKUP('Données projet'!$B$15,Paramètres!$A$1:$I$89,5,0)</f>
        <v>166.80923999999976</v>
      </c>
      <c r="EL104" s="13">
        <f t="shared" si="99"/>
        <v>42.374613349678434</v>
      </c>
      <c r="EM104" s="20">
        <f t="shared" si="73"/>
        <v>364.32854458402284</v>
      </c>
      <c r="EN104" s="59">
        <f t="shared" si="74"/>
        <v>657.66187791735615</v>
      </c>
      <c r="EO104" s="59">
        <f ca="1">AVERAGE(OFFSET($EN$3,0,0,'Données projet'!$E$15+1,1))-AVERAGE(OFFSET($H$3,0,0,'Données projet'!$E$15+1,1))</f>
        <v>433.05041777893922</v>
      </c>
      <c r="EP104" s="59">
        <f t="shared" si="100"/>
        <v>591.24088611958996</v>
      </c>
      <c r="EQ104" s="15">
        <f>IF(ISNA(VLOOKUP(A104,'Données projet'!$A$191:$I$211,3,0)),0,VLOOKUP(A104,'Données projet'!$A$191:$I$211,3,0))</f>
        <v>8</v>
      </c>
      <c r="ER104" s="15">
        <f>IF(ISNA(VLOOKUP(A104,'Données projet'!$A$191:$I$211,4,0)),0,VLOOKUP(A104,'Données projet'!$A$191:$I$211,4,0))</f>
        <v>356.43</v>
      </c>
      <c r="ES104" s="16">
        <f>IF(ISNA(VLOOKUP(A104,'Données projet'!$A$191:$I$211,5,0)),0%,VLOOKUP(A104,'Données projet'!$A$191:$I$211,5,0)*VLOOKUP('Données projet'!$B$15,Paramètres!$A$1:$I$89,7,0))</f>
        <v>0.33</v>
      </c>
      <c r="ET104" s="16">
        <f>IF(ISNA(VLOOKUP(A104,'Données projet'!$A$191:$I$211,6,0)),0%,VLOOKUP(A104,'Données projet'!$A$191:$I$211,6,0)*VLOOKUP('Données projet'!$B$15,Paramètres!$A$1:$I$89,7,0))</f>
        <v>0.11000000000000001</v>
      </c>
      <c r="EU104" s="16">
        <f>IF(ISNA(VLOOKUP(A104,'Données projet'!$A$191:$I$211,7,0)),0%,VLOOKUP(A104,'Données projet'!$A$191:$I$211,7,0))</f>
        <v>0.2</v>
      </c>
      <c r="EV104" s="21">
        <f>EXP(-LN(2)/35)*EV103+(1-EXP(-LN(2)/35))/(LN(2)/35)*ER104*ES104*VLOOKUP('Données projet'!$B$15,Paramètres!$A$1:$I$89,3,0)*0.475*44/12</f>
        <v>300.28541705193953</v>
      </c>
      <c r="EW104" s="21">
        <f>EXP(-LN(2)/25)*EW103+(1-EXP(-LN(2)/25))/(LN(2)/25)*Calculateur!ER104*Calculateur!ET104*VLOOKUP('Données projet'!$B$15,Paramètres!$A$1:$I$89,3,0)*0.475*44/12</f>
        <v>92.470826004331101</v>
      </c>
      <c r="EX104" s="21">
        <f>EXP(-LN(2)/2)*EX103+(1-EXP(-LN(2)/2))/(LN(2)/2)*ER104*EU104*VLOOKUP('Données projet'!$B$15,Paramètres!$A$1:$I$89,3,0)*0.475*44/12</f>
        <v>42.356137241086763</v>
      </c>
      <c r="EY104" s="22">
        <f t="shared" si="75"/>
        <v>435.11238029735739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-8.5265128291212022E-14</v>
      </c>
      <c r="FF104" s="17">
        <f>FE104*VLOOKUP('Données projet'!$B$16,Paramètres!$A$1:$I$89,3,0)*VLOOKUP('Données projet'!$B$16,Paramètres!$A$1:$I$89,5,0)</f>
        <v>-6.9167072069831198E-14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159.4660488566085</v>
      </c>
      <c r="FK104" s="59">
        <f t="shared" si="102"/>
        <v>135.33030558297088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11.926344839954062</v>
      </c>
      <c r="FS104" s="21">
        <f>EXP(-LN(2)/2)*FS103+(1-EXP(-LN(2)/2))/(LN(2)/2)*FM104*FP104*VLOOKUP('Données projet'!$B$16,Paramètres!$A$1:$I$89,3,0)*0.475*44/12</f>
        <v>0.55342300947293543</v>
      </c>
      <c r="FT104" s="22">
        <f t="shared" si="78"/>
        <v>12.479767849426997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8.9420000000000019</v>
      </c>
      <c r="N105" s="13">
        <f>IF('Données projet'!$A$36&gt;35,N104+M105-V104,IF(A105&lt;'Données projet'!$A$36,$K$205^A105,IF(A105='Données projet'!$A$36,'Données projet'!$B$36,N104+M105-V104)))</f>
        <v>384.31600000000054</v>
      </c>
      <c r="O105" s="13">
        <f>N105*VLOOKUP('Données projet'!$B$9,Paramètres!$A$1:$I$89,3,0)*VLOOKUP('Données projet'!$B$9,Paramètres!$A$1:$I$89,5,0)</f>
        <v>389.6964240000006</v>
      </c>
      <c r="P105" s="13">
        <f t="shared" si="87"/>
        <v>89.684611271990661</v>
      </c>
      <c r="Q105" s="20">
        <f t="shared" si="107"/>
        <v>834.9219697653848</v>
      </c>
      <c r="R105" s="59">
        <f t="shared" si="55"/>
        <v>1128.2553030987181</v>
      </c>
      <c r="S105" s="59">
        <f ca="1">AVERAGE(OFFSET($R$3,0,0,'Données projet'!$E$9+1,1))-AVERAGE(OFFSET($H$3,0,0,'Données projet'!$E$9+1,1))</f>
        <v>706.69239849991595</v>
      </c>
      <c r="T105" s="59">
        <f t="shared" si="88"/>
        <v>310.59887275116529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26.988172565556553</v>
      </c>
      <c r="AA105" s="21">
        <f>EXP(-LN(2)/25)*AA104+(1-EXP(-LN(2)/25))/(LN(2)/25)*Calculateur!V105*Calculateur!X105*VLOOKUP('Données projet'!$B$9,Paramètres!$A$1:$I$89,3,0)*0.475*44/12</f>
        <v>25.304855560874895</v>
      </c>
      <c r="AB105" s="21">
        <f>EXP(-LN(2)/2)*AB104+(1-EXP(-LN(2)/2))/(LN(2)/2)*V105*Y105*VLOOKUP('Données projet'!$B$9,Paramètres!$A$1:$I$89,3,0)*0.475*44/12</f>
        <v>0.4155097307568687</v>
      </c>
      <c r="AC105" s="22">
        <f t="shared" si="57"/>
        <v>52.708537857188318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239.26156489359892</v>
      </c>
      <c r="AO105" s="59">
        <f t="shared" si="90"/>
        <v>213.97034450798111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8.5266508286893075</v>
      </c>
      <c r="AV105" s="21">
        <f>EXP(-LN(2)/25)*AV104+(1-EXP(-LN(2)/25))/(LN(2)/25)*Calculateur!AQ105*Calculateur!AS105*VLOOKUP('Données projet'!$B$10,Paramètres!$A$1:$I$89,3,0)*0.475*44/12</f>
        <v>45.788295288062777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54.314946116752083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-1.7053025658242404E-13</v>
      </c>
      <c r="BE105" s="13">
        <f>BD105*VLOOKUP('Données projet'!$B$11,Paramètres!$A$1:$I$89,3,0)*VLOOKUP('Données projet'!$B$11,Paramètres!$A$1:$I$89,5,0)</f>
        <v>-1.4897523215040567E-13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324.86930206492627</v>
      </c>
      <c r="BJ105" s="59">
        <f t="shared" si="92"/>
        <v>317.03005098025352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29.802413232446995</v>
      </c>
      <c r="BQ105" s="21">
        <f>EXP(-LN(2)/25)*BQ104+(1-EXP(-LN(2)/25))/(LN(2)/25)*Calculateur!BL105*Calculateur!BN105*VLOOKUP('Données projet'!$B$11,Paramètres!$A$1:$I$89,3,0)*0.475*44/12</f>
        <v>25.274854438001125</v>
      </c>
      <c r="BR105" s="21">
        <f>EXP(-LN(2)/2)*BR104+(1-EXP(-LN(2)/2))/(LN(2)/2)*BL105*BO105*VLOOKUP('Données projet'!$B$11,Paramètres!$A$1:$I$89,3,0)*0.475*44/12</f>
        <v>2.7869145028971726E-2</v>
      </c>
      <c r="BS105" s="22">
        <f t="shared" si="63"/>
        <v>55.105136815477096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6.7777777777777777</v>
      </c>
      <c r="BY105" s="12">
        <f>IF('Données projet'!$A$114&gt;35,BY104+BX105-CG104,IF(A105&lt;'Données projet'!$A$114,$BV$205^A105,IF(A105='Données projet'!$A$114,'Données projet'!$B$114,BY104+BX105-CG104)))</f>
        <v>257.81444444444429</v>
      </c>
      <c r="BZ105" s="13">
        <f>BY105*VLOOKUP('Données projet'!$B$12,Paramètres!$A$1:$I$89,3,0)*VLOOKUP('Données projet'!$B$12,Paramètres!$A$1:$I$89,5,0)</f>
        <v>293.59908933333315</v>
      </c>
      <c r="CA105" s="13">
        <f t="shared" si="93"/>
        <v>69.832907045194901</v>
      </c>
      <c r="CB105" s="20">
        <f t="shared" si="64"/>
        <v>632.97739369260296</v>
      </c>
      <c r="CC105" s="59">
        <f t="shared" si="65"/>
        <v>926.31072702593633</v>
      </c>
      <c r="CD105" s="59">
        <f ca="1">AVERAGE(OFFSET($CC$3,0,0,'Données projet'!$E$12+1,1))-AVERAGE(OFFSET($H$3,0,0,'Données projet'!$E$12+1,1))</f>
        <v>593.28343396240075</v>
      </c>
      <c r="CE105" s="59">
        <f t="shared" si="94"/>
        <v>289.66477662068695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12.141429774318755</v>
      </c>
      <c r="CL105" s="21">
        <f>EXP(-LN(2)/25)*CL104+(1-EXP(-LN(2)/25))/(LN(2)/25)*Calculateur!CG105*Calculateur!CI105*VLOOKUP('Données projet'!$B$12,Paramètres!$A$1:$I$89,3,0)*0.475*44/12</f>
        <v>30.772520346406381</v>
      </c>
      <c r="CM105" s="21">
        <f>EXP(-LN(2)/2)*CM104+(1-EXP(-LN(2)/2))/(LN(2)/2)*CG105*CJ105*VLOOKUP('Données projet'!$B$12,Paramètres!$A$1:$I$89,3,0)*0.475*44/12</f>
        <v>0.41790415370870915</v>
      </c>
      <c r="CN105" s="22">
        <f t="shared" si="66"/>
        <v>43.331854274433844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8.9420000000000019</v>
      </c>
      <c r="CT105" s="12">
        <f>IF('Données projet'!$A$140&gt;35,CT104+CS105-DB104,IF(A105&lt;'Données projet'!$A$140,$CQ$205^A105,IF(A105='Données projet'!$A$140,'Données projet'!$B$140,CT104+CS105-DB104)))</f>
        <v>384.31600000000054</v>
      </c>
      <c r="CU105" s="17">
        <f>CT105*VLOOKUP('Données projet'!$B$13,Paramètres!$A$1:$I$89,3,0)*VLOOKUP('Données projet'!$B$13,Paramètres!$A$1:$I$89,5,0)</f>
        <v>413.67774240000057</v>
      </c>
      <c r="CV105" s="13">
        <f t="shared" si="95"/>
        <v>94.54416808049325</v>
      </c>
      <c r="CW105" s="20">
        <f t="shared" si="67"/>
        <v>885.15316075352678</v>
      </c>
      <c r="CX105" s="59">
        <f t="shared" si="68"/>
        <v>1178.4864940868601</v>
      </c>
      <c r="CY105" s="59">
        <f ca="1">AVERAGE(OFFSET($CX$3,0,0,'Données projet'!$E$13+1,1))-AVERAGE(OFFSET($H$3,0,0,'Données projet'!$E$13+1,1))</f>
        <v>747.18304127457918</v>
      </c>
      <c r="CZ105" s="59">
        <f t="shared" si="96"/>
        <v>327.03701004966723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28.648983184975418</v>
      </c>
      <c r="DG105" s="21">
        <f>EXP(-LN(2)/25)*DG104+(1-EXP(-LN(2)/25))/(LN(2)/25)*Calculateur!DB105*Calculateur!DD105*VLOOKUP('Données projet'!$B$13,Paramètres!$A$1:$I$89,3,0)*0.475*44/12</f>
        <v>26.862077441544116</v>
      </c>
      <c r="DH105" s="21">
        <f>EXP(-LN(2)/2)*DH104+(1-EXP(-LN(2)/2))/(LN(2)/2)*DB105*DE105*VLOOKUP('Données projet'!$B$13,Paramètres!$A$1:$I$89,3,0)*0.475*44/12</f>
        <v>0.44107956034190676</v>
      </c>
      <c r="DI105" s="22">
        <f t="shared" si="69"/>
        <v>55.952140186861442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353.37479213497227</v>
      </c>
      <c r="DU105" s="59">
        <f t="shared" si="98"/>
        <v>345.4750813433123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33.622876586857963</v>
      </c>
      <c r="EB105" s="21">
        <f>EXP(-LN(2)/25)*EB104+(1-EXP(-LN(2)/25))/(LN(2)/25)*Calculateur!DW105*Calculateur!DY105*VLOOKUP('Données projet'!$B$14,Paramètres!$A$1:$I$89,3,0)*0.475*44/12</f>
        <v>27.88765248531946</v>
      </c>
      <c r="EC105" s="21">
        <f>EXP(-LN(2)/2)*EC104+(1-EXP(-LN(2)/2))/(LN(2)/2)*DW105*DZ105*VLOOKUP('Données projet'!$B$14,Paramètres!$A$1:$I$89,3,0)*0.475*44/12</f>
        <v>3.0479160744336514E-2</v>
      </c>
      <c r="ED105" s="22">
        <f t="shared" si="72"/>
        <v>61.541008232921754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90.364999999999995</v>
      </c>
      <c r="EJ105" s="12">
        <f>IF('Données projet'!$A$192&gt;35,EJ104+EI105-ER104,IF(A105&lt;'Données projet'!$A$192,$EG$205^A105,IF(A105='Données projet'!$A$192,'Données projet'!$B$192,EJ104+EI105-ER104)))</f>
        <v>90.364999999999498</v>
      </c>
      <c r="EK105" s="17">
        <f>EJ105*VLOOKUP('Données projet'!$B$15,Paramètres!$A$1:$I$89,3,0)*VLOOKUP('Données projet'!$B$15,Paramètres!$A$1:$I$89,5,0)</f>
        <v>42.290819999999769</v>
      </c>
      <c r="EL105" s="13">
        <f t="shared" si="99"/>
        <v>12.603847045460533</v>
      </c>
      <c r="EM105" s="20">
        <f t="shared" si="73"/>
        <v>95.608211770843354</v>
      </c>
      <c r="EN105" s="59">
        <f t="shared" si="74"/>
        <v>388.94154510417667</v>
      </c>
      <c r="EO105" s="59">
        <f ca="1">AVERAGE(OFFSET($EN$3,0,0,'Données projet'!$E$15+1,1))-AVERAGE(OFFSET($H$3,0,0,'Données projet'!$E$15+1,1))</f>
        <v>433.05041777893922</v>
      </c>
      <c r="EP105" s="59">
        <f t="shared" si="100"/>
        <v>591.24088611958996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294.39700317957022</v>
      </c>
      <c r="EW105" s="21">
        <f>EXP(-LN(2)/25)*EW104+(1-EXP(-LN(2)/25))/(LN(2)/25)*Calculateur!ER105*Calculateur!ET105*VLOOKUP('Données projet'!$B$15,Paramètres!$A$1:$I$89,3,0)*0.475*44/12</f>
        <v>89.94220640441327</v>
      </c>
      <c r="EX105" s="21">
        <f>EXP(-LN(2)/2)*EX104+(1-EXP(-LN(2)/2))/(LN(2)/2)*ER105*EU105*VLOOKUP('Données projet'!$B$15,Paramètres!$A$1:$I$89,3,0)*0.475*44/12</f>
        <v>29.950311868040515</v>
      </c>
      <c r="EY105" s="22">
        <f t="shared" si="75"/>
        <v>414.28952145202396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-8.5265128291212022E-14</v>
      </c>
      <c r="FF105" s="17">
        <f>FE105*VLOOKUP('Données projet'!$B$16,Paramètres!$A$1:$I$89,3,0)*VLOOKUP('Données projet'!$B$16,Paramètres!$A$1:$I$89,5,0)</f>
        <v>-6.9167072069831198E-14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159.4660488566085</v>
      </c>
      <c r="FK105" s="59">
        <f t="shared" si="102"/>
        <v>135.33030558297088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11.600218313126302</v>
      </c>
      <c r="FS105" s="21">
        <f>EXP(-LN(2)/2)*FS104+(1-EXP(-LN(2)/2))/(LN(2)/2)*FM105*FP105*VLOOKUP('Données projet'!$B$16,Paramètres!$A$1:$I$89,3,0)*0.475*44/12</f>
        <v>0.39132916286297958</v>
      </c>
      <c r="FT105" s="22">
        <f t="shared" si="78"/>
        <v>11.991547475989281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8.9420000000000019</v>
      </c>
      <c r="N106" s="13">
        <f>IF('Données projet'!$A$36&gt;35,N105+M106-V105,IF(A106&lt;'Données projet'!$A$36,$K$205^A106,IF(A106='Données projet'!$A$36,'Données projet'!$B$36,N105+M106-V105)))</f>
        <v>393.25800000000055</v>
      </c>
      <c r="O106" s="13">
        <f>N106*VLOOKUP('Données projet'!$B$9,Paramètres!$A$1:$I$89,3,0)*VLOOKUP('Données projet'!$B$9,Paramètres!$A$1:$I$89,5,0)</f>
        <v>398.76361200000059</v>
      </c>
      <c r="P106" s="13">
        <f t="shared" si="87"/>
        <v>91.525961384445637</v>
      </c>
      <c r="Q106" s="20">
        <f t="shared" si="107"/>
        <v>853.92100697791045</v>
      </c>
      <c r="R106" s="59">
        <f t="shared" si="55"/>
        <v>1147.2543403112438</v>
      </c>
      <c r="S106" s="59">
        <f ca="1">AVERAGE(OFFSET($R$3,0,0,'Données projet'!$E$9+1,1))-AVERAGE(OFFSET($H$3,0,0,'Données projet'!$E$9+1,1))</f>
        <v>706.69239849991595</v>
      </c>
      <c r="T106" s="59">
        <f t="shared" si="88"/>
        <v>310.59887275116529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26.458950962705849</v>
      </c>
      <c r="AA106" s="21">
        <f>EXP(-LN(2)/25)*AA105+(1-EXP(-LN(2)/25))/(LN(2)/25)*Calculateur!V106*Calculateur!X106*VLOOKUP('Données projet'!$B$9,Paramètres!$A$1:$I$89,3,0)*0.475*44/12</f>
        <v>24.612892954838252</v>
      </c>
      <c r="AB106" s="21">
        <f>EXP(-LN(2)/2)*AB105+(1-EXP(-LN(2)/2))/(LN(2)/2)*V106*Y106*VLOOKUP('Données projet'!$B$9,Paramètres!$A$1:$I$89,3,0)*0.475*44/12</f>
        <v>0.29380974826717843</v>
      </c>
      <c r="AC106" s="22">
        <f t="shared" si="57"/>
        <v>51.36565366581128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239.26156489359892</v>
      </c>
      <c r="AO106" s="59">
        <f t="shared" si="90"/>
        <v>213.97034450798111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8.3594484066821853</v>
      </c>
      <c r="AV106" s="21">
        <f>EXP(-LN(2)/25)*AV105+(1-EXP(-LN(2)/25))/(LN(2)/25)*Calculateur!AQ106*Calculateur!AS106*VLOOKUP('Données projet'!$B$10,Paramètres!$A$1:$I$89,3,0)*0.475*44/12</f>
        <v>44.536211945508903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52.895660352191086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-1.7053025658242404E-13</v>
      </c>
      <c r="BE106" s="13">
        <f>BD106*VLOOKUP('Données projet'!$B$11,Paramètres!$A$1:$I$89,3,0)*VLOOKUP('Données projet'!$B$11,Paramètres!$A$1:$I$89,5,0)</f>
        <v>-1.4897523215040567E-13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324.86930206492627</v>
      </c>
      <c r="BJ106" s="59">
        <f t="shared" si="92"/>
        <v>317.03005098025352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29.218006086635885</v>
      </c>
      <c r="BQ106" s="21">
        <f>EXP(-LN(2)/25)*BQ105+(1-EXP(-LN(2)/25))/(LN(2)/25)*Calculateur!BL106*Calculateur!BN106*VLOOKUP('Données projet'!$B$11,Paramètres!$A$1:$I$89,3,0)*0.475*44/12</f>
        <v>24.583712214247157</v>
      </c>
      <c r="BR106" s="21">
        <f>EXP(-LN(2)/2)*BR105+(1-EXP(-LN(2)/2))/(LN(2)/2)*BL106*BO106*VLOOKUP('Données projet'!$B$11,Paramètres!$A$1:$I$89,3,0)*0.475*44/12</f>
        <v>1.9706461435857268E-2</v>
      </c>
      <c r="BS106" s="22">
        <f t="shared" si="63"/>
        <v>53.821424762318898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6.7777777777777777</v>
      </c>
      <c r="BY106" s="12">
        <f>IF('Données projet'!$A$114&gt;35,BY105+BX106-CG105,IF(A106&lt;'Données projet'!$A$114,$BV$205^A106,IF(A106='Données projet'!$A$114,'Données projet'!$B$114,BY105+BX106-CG105)))</f>
        <v>264.59222222222206</v>
      </c>
      <c r="BZ106" s="13">
        <f>BY106*VLOOKUP('Données projet'!$B$12,Paramètres!$A$1:$I$89,3,0)*VLOOKUP('Données projet'!$B$12,Paramètres!$A$1:$I$89,5,0)</f>
        <v>301.31762266666647</v>
      </c>
      <c r="CA106" s="13">
        <f t="shared" si="93"/>
        <v>71.452617304074849</v>
      </c>
      <c r="CB106" s="20">
        <f t="shared" si="64"/>
        <v>649.24150128237454</v>
      </c>
      <c r="CC106" s="59">
        <f t="shared" si="65"/>
        <v>942.57483461570791</v>
      </c>
      <c r="CD106" s="59">
        <f ca="1">AVERAGE(OFFSET($CC$3,0,0,'Données projet'!$E$12+1,1))-AVERAGE(OFFSET($H$3,0,0,'Données projet'!$E$12+1,1))</f>
        <v>593.28343396240075</v>
      </c>
      <c r="CE106" s="59">
        <f t="shared" si="94"/>
        <v>289.66477662068695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11.903343741985291</v>
      </c>
      <c r="CL106" s="21">
        <f>EXP(-LN(2)/25)*CL105+(1-EXP(-LN(2)/25))/(LN(2)/25)*Calculateur!CG106*Calculateur!CI106*VLOOKUP('Données projet'!$B$12,Paramètres!$A$1:$I$89,3,0)*0.475*44/12</f>
        <v>29.931044159277384</v>
      </c>
      <c r="CM106" s="21">
        <f>EXP(-LN(2)/2)*CM105+(1-EXP(-LN(2)/2))/(LN(2)/2)*CG106*CJ106*VLOOKUP('Données projet'!$B$12,Paramètres!$A$1:$I$89,3,0)*0.475*44/12</f>
        <v>0.29550286097345352</v>
      </c>
      <c r="CN106" s="22">
        <f t="shared" si="66"/>
        <v>42.12989076223613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8.9420000000000019</v>
      </c>
      <c r="CT106" s="12">
        <f>IF('Données projet'!$A$140&gt;35,CT105+CS106-DB105,IF(A106&lt;'Données projet'!$A$140,$CQ$205^A106,IF(A106='Données projet'!$A$140,'Données projet'!$B$140,CT105+CS106-DB105)))</f>
        <v>393.25800000000055</v>
      </c>
      <c r="CU106" s="17">
        <f>CT106*VLOOKUP('Données projet'!$B$13,Paramètres!$A$1:$I$89,3,0)*VLOOKUP('Données projet'!$B$13,Paramètres!$A$1:$I$89,5,0)</f>
        <v>423.30291120000055</v>
      </c>
      <c r="CV106" s="13">
        <f t="shared" si="95"/>
        <v>96.485291669678588</v>
      </c>
      <c r="CW106" s="20">
        <f t="shared" si="67"/>
        <v>905.2977866646911</v>
      </c>
      <c r="CX106" s="59">
        <f t="shared" si="68"/>
        <v>1198.6311199980244</v>
      </c>
      <c r="CY106" s="59">
        <f ca="1">AVERAGE(OFFSET($CX$3,0,0,'Données projet'!$E$13+1,1))-AVERAGE(OFFSET($H$3,0,0,'Données projet'!$E$13+1,1))</f>
        <v>747.18304127457918</v>
      </c>
      <c r="CZ106" s="59">
        <f t="shared" si="96"/>
        <v>327.03701004966723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28.087194098872363</v>
      </c>
      <c r="DG106" s="21">
        <f>EXP(-LN(2)/25)*DG105+(1-EXP(-LN(2)/25))/(LN(2)/25)*Calculateur!DB106*Calculateur!DD106*VLOOKUP('Données projet'!$B$13,Paramètres!$A$1:$I$89,3,0)*0.475*44/12</f>
        <v>26.127532521289833</v>
      </c>
      <c r="DH106" s="21">
        <f>EXP(-LN(2)/2)*DH105+(1-EXP(-LN(2)/2))/(LN(2)/2)*DB106*DE106*VLOOKUP('Données projet'!$B$13,Paramètres!$A$1:$I$89,3,0)*0.475*44/12</f>
        <v>0.31189034816054328</v>
      </c>
      <c r="DI106" s="22">
        <f t="shared" si="69"/>
        <v>54.526616968322742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353.37479213497227</v>
      </c>
      <c r="DU106" s="59">
        <f t="shared" si="98"/>
        <v>345.4750813433123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32.963552484919404</v>
      </c>
      <c r="EB106" s="21">
        <f>EXP(-LN(2)/25)*EB105+(1-EXP(-LN(2)/25))/(LN(2)/25)*Calculateur!DW106*Calculateur!DY106*VLOOKUP('Données projet'!$B$14,Paramètres!$A$1:$I$89,3,0)*0.475*44/12</f>
        <v>27.125063161560494</v>
      </c>
      <c r="EC106" s="21">
        <f>EXP(-LN(2)/2)*EC105+(1-EXP(-LN(2)/2))/(LN(2)/2)*DW106*DZ106*VLOOKUP('Données projet'!$B$14,Paramètres!$A$1:$I$89,3,0)*0.475*44/12</f>
        <v>2.1552021247195172E-2</v>
      </c>
      <c r="ED106" s="22">
        <f t="shared" si="72"/>
        <v>60.11016766772709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90.364999999999995</v>
      </c>
      <c r="EJ106" s="12">
        <f>IF('Données projet'!$A$192&gt;35,EJ105+EI106-ER105,IF(A106&lt;'Données projet'!$A$192,$EG$205^A106,IF(A106='Données projet'!$A$192,'Données projet'!$B$192,EJ105+EI106-ER105)))</f>
        <v>180.72999999999951</v>
      </c>
      <c r="EK106" s="17">
        <f>EJ106*VLOOKUP('Données projet'!$B$15,Paramètres!$A$1:$I$89,3,0)*VLOOKUP('Données projet'!$B$15,Paramètres!$A$1:$I$89,5,0)</f>
        <v>84.58163999999978</v>
      </c>
      <c r="EL106" s="13">
        <f t="shared" si="99"/>
        <v>23.253762273738186</v>
      </c>
      <c r="EM106" s="20">
        <f t="shared" si="73"/>
        <v>187.81332562676027</v>
      </c>
      <c r="EN106" s="59">
        <f t="shared" si="74"/>
        <v>481.14665896009359</v>
      </c>
      <c r="EO106" s="59">
        <f ca="1">AVERAGE(OFFSET($EN$3,0,0,'Données projet'!$E$15+1,1))-AVERAGE(OFFSET($H$3,0,0,'Données projet'!$E$15+1,1))</f>
        <v>433.05041777893922</v>
      </c>
      <c r="EP106" s="59">
        <f t="shared" si="100"/>
        <v>591.24088611958996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288.62405751166028</v>
      </c>
      <c r="EW106" s="21">
        <f>EXP(-LN(2)/25)*EW105+(1-EXP(-LN(2)/25))/(LN(2)/25)*Calculateur!ER106*Calculateur!ET106*VLOOKUP('Données projet'!$B$15,Paramètres!$A$1:$I$89,3,0)*0.475*44/12</f>
        <v>87.482732040429525</v>
      </c>
      <c r="EX106" s="21">
        <f>EXP(-LN(2)/2)*EX105+(1-EXP(-LN(2)/2))/(LN(2)/2)*ER106*EU106*VLOOKUP('Données projet'!$B$15,Paramètres!$A$1:$I$89,3,0)*0.475*44/12</f>
        <v>21.178068620543382</v>
      </c>
      <c r="EY106" s="22">
        <f t="shared" si="75"/>
        <v>397.28485817263322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-8.5265128291212022E-14</v>
      </c>
      <c r="FF106" s="17">
        <f>FE106*VLOOKUP('Données projet'!$B$16,Paramètres!$A$1:$I$89,3,0)*VLOOKUP('Données projet'!$B$16,Paramètres!$A$1:$I$89,5,0)</f>
        <v>-6.9167072069831198E-14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159.4660488566085</v>
      </c>
      <c r="FK106" s="59">
        <f t="shared" si="102"/>
        <v>135.33030558297088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11.283009733324894</v>
      </c>
      <c r="FS106" s="21">
        <f>EXP(-LN(2)/2)*FS105+(1-EXP(-LN(2)/2))/(LN(2)/2)*FM106*FP106*VLOOKUP('Données projet'!$B$16,Paramètres!$A$1:$I$89,3,0)*0.475*44/12</f>
        <v>0.27671150473646772</v>
      </c>
      <c r="FT106" s="22">
        <f t="shared" si="78"/>
        <v>11.559721238061362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402.2</v>
      </c>
      <c r="L107" s="12">
        <f>VLOOKUP(A107,'Données projet'!$A$35:$I$55,9,0)</f>
        <v>8.9420000000000019</v>
      </c>
      <c r="M107" s="12">
        <f t="array" ref="M107">INDEX(L:L,MIN(IF(ISNUMBER(L107:L303),ROW(L107:L303),"")))</f>
        <v>8.9420000000000019</v>
      </c>
      <c r="N107" s="13">
        <f>IF('Données projet'!$A$36&gt;35,N106+M107-V106,IF(A107&lt;'Données projet'!$A$36,$K$205^A107,IF(A107='Données projet'!$A$36,'Données projet'!$B$36,N106+M107-V106)))</f>
        <v>402.20000000000056</v>
      </c>
      <c r="O107" s="13">
        <f>N107*VLOOKUP('Données projet'!$B$9,Paramètres!$A$1:$I$89,3,0)*VLOOKUP('Données projet'!$B$9,Paramètres!$A$1:$I$89,5,0)</f>
        <v>407.83080000000058</v>
      </c>
      <c r="P107" s="13">
        <f t="shared" si="87"/>
        <v>93.362443935880506</v>
      </c>
      <c r="Q107" s="20">
        <f t="shared" si="107"/>
        <v>872.91156652165955</v>
      </c>
      <c r="R107" s="59">
        <f t="shared" si="55"/>
        <v>1166.2448998549928</v>
      </c>
      <c r="S107" s="59">
        <f ca="1">AVERAGE(OFFSET($R$3,0,0,'Données projet'!$E$9+1,1))-AVERAGE(OFFSET($H$3,0,0,'Données projet'!$E$9+1,1))</f>
        <v>706.69239849991595</v>
      </c>
      <c r="T107" s="59">
        <f t="shared" si="88"/>
        <v>310.59887275116529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66.089999999999975</v>
      </c>
      <c r="W107" s="16">
        <f>IF(ISNA(VLOOKUP(A107,'Données projet'!$A$35:$I$55,5,0)),0%,VLOOKUP(A107,'Données projet'!$A$35:$I$55,5,0)*VLOOKUP('Données projet'!$B$9,Paramètres!$A$1:$I$89,7,0))</f>
        <v>0.15049999999999999</v>
      </c>
      <c r="X107" s="16">
        <f>IF(ISNA(VLOOKUP(A107,'Données projet'!$A$35:$I$55,6,0)),0%,VLOOKUP(A107,'Données projet'!$A$35:$I$55,6,0)*VLOOKUP('Données projet'!$B$9,Paramètres!$A$1:$I$89,7,0))</f>
        <v>8.6000000000000007E-2</v>
      </c>
      <c r="Y107" s="16">
        <f>IF(ISNA(VLOOKUP(A107,'Données projet'!$A$35:$I$55,7,0)),0%,VLOOKUP(A107,'Données projet'!$A$35:$I$55,7,0))</f>
        <v>0.1</v>
      </c>
      <c r="Z107" s="21">
        <f>EXP(-LN(2)/35)*Z106+(1-EXP(-LN(2)/35))/(LN(2)/35)*V107*W107*VLOOKUP('Données projet'!$B$9,Paramètres!$A$1:$I$89,3,0)*0.475*44/12</f>
        <v>37.089656501151985</v>
      </c>
      <c r="AA107" s="21">
        <f>EXP(-LN(2)/25)*AA106+(1-EXP(-LN(2)/25))/(LN(2)/25)*Calculateur!V107*Calculateur!X107*VLOOKUP('Données projet'!$B$9,Paramètres!$A$1:$I$89,3,0)*0.475*44/12</f>
        <v>30.285937476393563</v>
      </c>
      <c r="AB107" s="21">
        <f>EXP(-LN(2)/2)*AB106+(1-EXP(-LN(2)/2))/(LN(2)/2)*V107*Y107*VLOOKUP('Données projet'!$B$9,Paramètres!$A$1:$I$89,3,0)*0.475*44/12</f>
        <v>6.5308250153062213</v>
      </c>
      <c r="AC107" s="22">
        <f t="shared" si="57"/>
        <v>73.906418992851769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239.26156489359892</v>
      </c>
      <c r="AO107" s="59">
        <f t="shared" si="90"/>
        <v>213.97034450798111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8.1955247221872156</v>
      </c>
      <c r="AV107" s="21">
        <f>EXP(-LN(2)/25)*AV106+(1-EXP(-LN(2)/25))/(LN(2)/25)*Calculateur!AQ107*Calculateur!AS107*VLOOKUP('Données projet'!$B$10,Paramètres!$A$1:$I$89,3,0)*0.475*44/12</f>
        <v>43.318366887801368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51.513891609988583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-1.7053025658242404E-13</v>
      </c>
      <c r="BE107" s="13">
        <f>BD107*VLOOKUP('Données projet'!$B$11,Paramètres!$A$1:$I$89,3,0)*VLOOKUP('Données projet'!$B$11,Paramètres!$A$1:$I$89,5,0)</f>
        <v>-1.4897523215040567E-13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324.86930206492627</v>
      </c>
      <c r="BJ107" s="59">
        <f t="shared" si="92"/>
        <v>317.03005098025352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28.64505880850097</v>
      </c>
      <c r="BQ107" s="21">
        <f>EXP(-LN(2)/25)*BQ106+(1-EXP(-LN(2)/25))/(LN(2)/25)*Calculateur!BL107*Calculateur!BN107*VLOOKUP('Données projet'!$B$11,Paramètres!$A$1:$I$89,3,0)*0.475*44/12</f>
        <v>23.911469310947329</v>
      </c>
      <c r="BR107" s="21">
        <f>EXP(-LN(2)/2)*BR106+(1-EXP(-LN(2)/2))/(LN(2)/2)*BL107*BO107*VLOOKUP('Données projet'!$B$11,Paramètres!$A$1:$I$89,3,0)*0.475*44/12</f>
        <v>1.3934572514485863E-2</v>
      </c>
      <c r="BS107" s="22">
        <f t="shared" si="63"/>
        <v>52.570462691962788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271.37</v>
      </c>
      <c r="BW107" s="12">
        <f>VLOOKUP(A107,'Données projet'!$A$113:$I$133,9,0)</f>
        <v>6.7777777777777777</v>
      </c>
      <c r="BX107" s="12">
        <f t="array" ref="BX107">INDEX(BW:BW,MIN(IF(ISNUMBER(BW107:BW303),ROW(BW107:BW303),"")))</f>
        <v>6.7777777777777777</v>
      </c>
      <c r="BY107" s="12">
        <f>IF('Données projet'!$A$114&gt;35,BY106+BX107-CG106,IF(A107&lt;'Données projet'!$A$114,$BV$205^A107,IF(A107='Données projet'!$A$114,'Données projet'!$B$114,BY106+BX107-CG106)))</f>
        <v>271.36999999999983</v>
      </c>
      <c r="BZ107" s="13">
        <f>BY107*VLOOKUP('Données projet'!$B$12,Paramètres!$A$1:$I$89,3,0)*VLOOKUP('Données projet'!$B$12,Paramètres!$A$1:$I$89,5,0)</f>
        <v>309.03615599999983</v>
      </c>
      <c r="CA107" s="13">
        <f t="shared" si="93"/>
        <v>73.067504716284731</v>
      </c>
      <c r="CB107" s="20">
        <f t="shared" si="64"/>
        <v>665.49720908086226</v>
      </c>
      <c r="CC107" s="59">
        <f t="shared" si="65"/>
        <v>958.83054241419563</v>
      </c>
      <c r="CD107" s="59">
        <f ca="1">AVERAGE(OFFSET($CC$3,0,0,'Données projet'!$E$12+1,1))-AVERAGE(OFFSET($H$3,0,0,'Données projet'!$E$12+1,1))</f>
        <v>593.28343396240075</v>
      </c>
      <c r="CE107" s="59">
        <f t="shared" si="94"/>
        <v>289.66477662068695</v>
      </c>
      <c r="CF107" s="15">
        <f>IF(ISNA(VLOOKUP(A107,'Données projet'!$A$113:$I$133,3,0)),0,VLOOKUP(A107,'Données projet'!$A$113:$I$133,3,0))</f>
        <v>6</v>
      </c>
      <c r="CG107" s="15">
        <f>IF(ISNA(VLOOKUP(A107,'Données projet'!$A$113:$I$133,4,0)),0,VLOOKUP(A107,'Données projet'!$A$113:$I$133,4,0))</f>
        <v>39.400000000000006</v>
      </c>
      <c r="CH107" s="16">
        <f>IF(ISNA(VLOOKUP(A107,'Données projet'!$A$113:$I$133,5,0)),0%,VLOOKUP(A107,'Données projet'!$A$113:$I$133,5,0)*VLOOKUP('Données projet'!$B$12,Paramètres!$A$1:$I$89,7,0))</f>
        <v>0.15049999999999999</v>
      </c>
      <c r="CI107" s="16">
        <f>IF(ISNA(VLOOKUP(A107,'Données projet'!$A$113:$I$133,6,0)),0%,VLOOKUP(A107,'Données projet'!$A$113:$I$133,6,0)*VLOOKUP('Données projet'!$B$12,Paramètres!$A$1:$I$89,7,0))</f>
        <v>8.6000000000000007E-2</v>
      </c>
      <c r="CJ107" s="16">
        <f>IF(ISNA(VLOOKUP(A107,'Données projet'!$A$113:$I$133,7,0)),0%,VLOOKUP(A107,'Données projet'!$A$113:$I$133,7,0))</f>
        <v>0.1</v>
      </c>
      <c r="CK107" s="21">
        <f>EXP(-LN(2)/35)*CK106+(1-EXP(-LN(2)/35))/(LN(2)/35)*CG107*CH107*VLOOKUP('Données projet'!$B$12,Paramètres!$A$1:$I$89,3,0)*0.475*44/12</f>
        <v>19.134883091125175</v>
      </c>
      <c r="CL107" s="21">
        <f>EXP(-LN(2)/25)*CL106+(1-EXP(-LN(2)/25))/(LN(2)/25)*Calculateur!CG107*Calculateur!CI107*VLOOKUP('Données projet'!$B$12,Paramètres!$A$1:$I$89,3,0)*0.475*44/12</f>
        <v>33.361472057512231</v>
      </c>
      <c r="CM107" s="21">
        <f>EXP(-LN(2)/2)*CM106+(1-EXP(-LN(2)/2))/(LN(2)/2)*CG107*CJ107*VLOOKUP('Données projet'!$B$12,Paramètres!$A$1:$I$89,3,0)*0.475*44/12</f>
        <v>4.4424365712436629</v>
      </c>
      <c r="CN107" s="22">
        <f t="shared" si="66"/>
        <v>56.938791719881067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402.2</v>
      </c>
      <c r="CR107" s="12">
        <f>VLOOKUP(A107,'Données projet'!$A$139:$I$159,9,0)</f>
        <v>8.9420000000000019</v>
      </c>
      <c r="CS107" s="12">
        <f t="array" ref="CS107">INDEX(CR:CR,MIN(IF(ISNUMBER(CR107:CR303),ROW(CR107:CR303),"")))</f>
        <v>8.9420000000000019</v>
      </c>
      <c r="CT107" s="12">
        <f>IF('Données projet'!$A$140&gt;35,CT106+CS107-DB106,IF(A107&lt;'Données projet'!$A$140,$CQ$205^A107,IF(A107='Données projet'!$A$140,'Données projet'!$B$140,CT106+CS107-DB106)))</f>
        <v>402.20000000000056</v>
      </c>
      <c r="CU107" s="17">
        <f>CT107*VLOOKUP('Données projet'!$B$13,Paramètres!$A$1:$I$89,3,0)*VLOOKUP('Données projet'!$B$13,Paramètres!$A$1:$I$89,5,0)</f>
        <v>432.92808000000059</v>
      </c>
      <c r="CV107" s="13">
        <f t="shared" si="95"/>
        <v>98.421283949259092</v>
      </c>
      <c r="CW107" s="20">
        <f t="shared" si="67"/>
        <v>925.43347554496052</v>
      </c>
      <c r="CX107" s="59">
        <f t="shared" si="68"/>
        <v>1218.7668088782939</v>
      </c>
      <c r="CY107" s="59">
        <f ca="1">AVERAGE(OFFSET($CX$3,0,0,'Données projet'!$E$13+1,1))-AVERAGE(OFFSET($H$3,0,0,'Données projet'!$E$13+1,1))</f>
        <v>747.18304127457918</v>
      </c>
      <c r="CZ107" s="59">
        <f t="shared" si="96"/>
        <v>327.03701004966723</v>
      </c>
      <c r="DA107" s="15">
        <f>IF(ISNA(VLOOKUP(A107,'Données projet'!$A$139:$I$159,3,0)),0,VLOOKUP(A107,'Données projet'!$A$139:$I$159,3,0))</f>
        <v>8</v>
      </c>
      <c r="DB107" s="15">
        <f>IF(ISNA(VLOOKUP(A107,'Données projet'!$A$139:$I$159,4,0)),0,VLOOKUP(A107,'Données projet'!$A$139:$I$159,4,0))</f>
        <v>66.089999999999975</v>
      </c>
      <c r="DC107" s="16">
        <f>IF(ISNA(VLOOKUP(A107,'Données projet'!$A$139:$I$159,5,0)),0%,VLOOKUP(A107,'Données projet'!$A$139:$I$159,5,0)*VLOOKUP('Données projet'!$B$13,Paramètres!$A$1:$I$89,7,0))</f>
        <v>0.15049999999999999</v>
      </c>
      <c r="DD107" s="16">
        <f>IF(ISNA(VLOOKUP(A107,'Données projet'!$A$139:$I$159,6,0)),0%,VLOOKUP(A107,'Données projet'!$A$139:$I$159,6,0)*VLOOKUP('Données projet'!$B$13,Paramètres!$A$1:$I$89,7,0))</f>
        <v>8.6000000000000007E-2</v>
      </c>
      <c r="DE107" s="16">
        <f>IF(ISNA(VLOOKUP(A107,'Données projet'!$A$139:$I$159,7,0)),0%,VLOOKUP(A107,'Données projet'!$A$139:$I$159,7,0))</f>
        <v>0.1</v>
      </c>
      <c r="DF107" s="21">
        <f>EXP(-LN(2)/35)*DF106+(1-EXP(-LN(2)/35))/(LN(2)/35)*DB107*DC107*VLOOKUP('Données projet'!$B$13,Paramètres!$A$1:$I$89,3,0)*0.475*44/12</f>
        <v>39.372096901222882</v>
      </c>
      <c r="DG107" s="21">
        <f>EXP(-LN(2)/25)*DG106+(1-EXP(-LN(2)/25))/(LN(2)/25)*Calculateur!DB107*Calculateur!DD107*VLOOKUP('Données projet'!$B$13,Paramètres!$A$1:$I$89,3,0)*0.475*44/12</f>
        <v>32.149687474940855</v>
      </c>
      <c r="DH107" s="21">
        <f>EXP(-LN(2)/2)*DH106+(1-EXP(-LN(2)/2))/(LN(2)/2)*DB107*DE107*VLOOKUP('Données projet'!$B$13,Paramètres!$A$1:$I$89,3,0)*0.475*44/12</f>
        <v>6.9327219393250648</v>
      </c>
      <c r="DI107" s="22">
        <f t="shared" si="69"/>
        <v>78.4545063154888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353.37479213497227</v>
      </c>
      <c r="DU107" s="59">
        <f t="shared" si="98"/>
        <v>345.4750813433123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32.317157326471872</v>
      </c>
      <c r="EB107" s="21">
        <f>EXP(-LN(2)/25)*EB106+(1-EXP(-LN(2)/25))/(LN(2)/25)*Calculateur!DW107*Calculateur!DY107*VLOOKUP('Données projet'!$B$14,Paramètres!$A$1:$I$89,3,0)*0.475*44/12</f>
        <v>26.383326882962546</v>
      </c>
      <c r="EC107" s="21">
        <f>EXP(-LN(2)/2)*EC106+(1-EXP(-LN(2)/2))/(LN(2)/2)*DW107*DZ107*VLOOKUP('Données projet'!$B$14,Paramètres!$A$1:$I$89,3,0)*0.475*44/12</f>
        <v>1.5239580372168261E-2</v>
      </c>
      <c r="ED107" s="22">
        <f t="shared" si="72"/>
        <v>58.715723789806589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90.364999999999995</v>
      </c>
      <c r="EJ107" s="12">
        <f>IF('Données projet'!$A$192&gt;35,EJ106+EI107-ER106,IF(A107&lt;'Données projet'!$A$192,$EG$205^A107,IF(A107='Données projet'!$A$192,'Données projet'!$B$192,EJ106+EI107-ER106)))</f>
        <v>271.09499999999952</v>
      </c>
      <c r="EK107" s="17">
        <f>EJ107*VLOOKUP('Données projet'!$B$15,Paramètres!$A$1:$I$89,3,0)*VLOOKUP('Données projet'!$B$15,Paramètres!$A$1:$I$89,5,0)</f>
        <v>126.87245999999976</v>
      </c>
      <c r="EL107" s="13">
        <f t="shared" si="99"/>
        <v>33.272655606307389</v>
      </c>
      <c r="EM107" s="20">
        <f t="shared" si="73"/>
        <v>278.91940968098493</v>
      </c>
      <c r="EN107" s="59">
        <f t="shared" si="74"/>
        <v>572.25274301431818</v>
      </c>
      <c r="EO107" s="59">
        <f ca="1">AVERAGE(OFFSET($EN$3,0,0,'Données projet'!$E$15+1,1))-AVERAGE(OFFSET($H$3,0,0,'Données projet'!$E$15+1,1))</f>
        <v>433.05041777893922</v>
      </c>
      <c r="EP107" s="59">
        <f t="shared" si="100"/>
        <v>591.24088611958996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282.96431578714885</v>
      </c>
      <c r="EW107" s="21">
        <f>EXP(-LN(2)/25)*EW106+(1-EXP(-LN(2)/25))/(LN(2)/25)*Calculateur!ER107*Calculateur!ET107*VLOOKUP('Données projet'!$B$15,Paramètres!$A$1:$I$89,3,0)*0.475*44/12</f>
        <v>85.090512132267051</v>
      </c>
      <c r="EX107" s="21">
        <f>EXP(-LN(2)/2)*EX106+(1-EXP(-LN(2)/2))/(LN(2)/2)*ER107*EU107*VLOOKUP('Données projet'!$B$15,Paramètres!$A$1:$I$89,3,0)*0.475*44/12</f>
        <v>14.975155934020258</v>
      </c>
      <c r="EY107" s="22">
        <f t="shared" si="75"/>
        <v>383.02998385343619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-8.5265128291212022E-14</v>
      </c>
      <c r="FF107" s="17">
        <f>FE107*VLOOKUP('Données projet'!$B$16,Paramètres!$A$1:$I$89,3,0)*VLOOKUP('Données projet'!$B$16,Paramètres!$A$1:$I$89,5,0)</f>
        <v>-6.9167072069831198E-14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159.4660488566085</v>
      </c>
      <c r="FK107" s="59">
        <f t="shared" si="102"/>
        <v>135.33030558297088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10.97447523881943</v>
      </c>
      <c r="FS107" s="21">
        <f>EXP(-LN(2)/2)*FS106+(1-EXP(-LN(2)/2))/(LN(2)/2)*FM107*FP107*VLOOKUP('Données projet'!$B$16,Paramètres!$A$1:$I$89,3,0)*0.475*44/12</f>
        <v>0.19566458143148979</v>
      </c>
      <c r="FT107" s="22">
        <f t="shared" si="78"/>
        <v>11.17013982025092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8.8449999999999989</v>
      </c>
      <c r="N108" s="13">
        <f>IF('Données projet'!$A$36&gt;35,N107+M108-V107,IF(A108&lt;'Données projet'!$A$36,$K$205^A108,IF(A108='Données projet'!$A$36,'Données projet'!$B$36,N107+M108-V107)))</f>
        <v>344.95500000000055</v>
      </c>
      <c r="O108" s="13">
        <f>N108*VLOOKUP('Données projet'!$B$9,Paramètres!$A$1:$I$89,3,0)*VLOOKUP('Données projet'!$B$9,Paramètres!$A$1:$I$89,5,0)</f>
        <v>349.78437000000059</v>
      </c>
      <c r="P108" s="13">
        <f t="shared" si="87"/>
        <v>81.518109189230415</v>
      </c>
      <c r="Q108" s="20">
        <f t="shared" si="107"/>
        <v>751.18515125457725</v>
      </c>
      <c r="R108" s="59">
        <f t="shared" si="55"/>
        <v>1044.5184845879105</v>
      </c>
      <c r="S108" s="59">
        <f ca="1">AVERAGE(OFFSET($R$3,0,0,'Données projet'!$E$9+1,1))-AVERAGE(OFFSET($H$3,0,0,'Données projet'!$E$9+1,1))</f>
        <v>706.69239849991595</v>
      </c>
      <c r="T108" s="59">
        <f t="shared" si="88"/>
        <v>310.59887275116529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36.362350959621075</v>
      </c>
      <c r="AA108" s="21">
        <f>EXP(-LN(2)/25)*AA107+(1-EXP(-LN(2)/25))/(LN(2)/25)*Calculateur!V108*Calculateur!X108*VLOOKUP('Données projet'!$B$9,Paramètres!$A$1:$I$89,3,0)*0.475*44/12</f>
        <v>29.457766923433351</v>
      </c>
      <c r="AB108" s="21">
        <f>EXP(-LN(2)/2)*AB107+(1-EXP(-LN(2)/2))/(LN(2)/2)*V108*Y108*VLOOKUP('Données projet'!$B$9,Paramètres!$A$1:$I$89,3,0)*0.475*44/12</f>
        <v>4.6179906550657677</v>
      </c>
      <c r="AC108" s="22">
        <f t="shared" si="57"/>
        <v>70.43810853812019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239.26156489359892</v>
      </c>
      <c r="AO108" s="59">
        <f t="shared" si="90"/>
        <v>213.97034450798111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8.0348154811616173</v>
      </c>
      <c r="AV108" s="21">
        <f>EXP(-LN(2)/25)*AV107+(1-EXP(-LN(2)/25))/(LN(2)/25)*Calculateur!AQ108*Calculateur!AS108*VLOOKUP('Données projet'!$B$10,Paramètres!$A$1:$I$89,3,0)*0.475*44/12</f>
        <v>42.13382386724053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50.168639348402145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-1.7053025658242404E-13</v>
      </c>
      <c r="BE108" s="13">
        <f>BD108*VLOOKUP('Données projet'!$B$11,Paramètres!$A$1:$I$89,3,0)*VLOOKUP('Données projet'!$B$11,Paramètres!$A$1:$I$89,5,0)</f>
        <v>-1.4897523215040567E-13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324.86930206492627</v>
      </c>
      <c r="BJ108" s="59">
        <f t="shared" si="92"/>
        <v>317.03005098025352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28.083346677026945</v>
      </c>
      <c r="BQ108" s="21">
        <f>EXP(-LN(2)/25)*BQ107+(1-EXP(-LN(2)/25))/(LN(2)/25)*Calculateur!BL108*Calculateur!BN108*VLOOKUP('Données projet'!$B$11,Paramètres!$A$1:$I$89,3,0)*0.475*44/12</f>
        <v>23.257608925189952</v>
      </c>
      <c r="BR108" s="21">
        <f>EXP(-LN(2)/2)*BR107+(1-EXP(-LN(2)/2))/(LN(2)/2)*BL108*BO108*VLOOKUP('Données projet'!$B$11,Paramètres!$A$1:$I$89,3,0)*0.475*44/12</f>
        <v>9.8532307179286342E-3</v>
      </c>
      <c r="BS108" s="22">
        <f t="shared" si="63"/>
        <v>51.350808832934824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6.8811111111111085</v>
      </c>
      <c r="BY108" s="12">
        <f>IF('Données projet'!$A$114&gt;35,BY107+BX108-CG107,IF(A108&lt;'Données projet'!$A$114,$BV$205^A108,IF(A108='Données projet'!$A$114,'Données projet'!$B$114,BY107+BX108-CG107)))</f>
        <v>238.85111111111095</v>
      </c>
      <c r="BZ108" s="13">
        <f>BY108*VLOOKUP('Données projet'!$B$12,Paramètres!$A$1:$I$89,3,0)*VLOOKUP('Données projet'!$B$12,Paramètres!$A$1:$I$89,5,0)</f>
        <v>272.00364533333311</v>
      </c>
      <c r="CA108" s="13">
        <f t="shared" si="93"/>
        <v>65.274310248407801</v>
      </c>
      <c r="CB108" s="20">
        <f t="shared" si="64"/>
        <v>587.42577263819874</v>
      </c>
      <c r="CC108" s="59">
        <f t="shared" si="65"/>
        <v>880.75910597153211</v>
      </c>
      <c r="CD108" s="59">
        <f ca="1">AVERAGE(OFFSET($CC$3,0,0,'Données projet'!$E$12+1,1))-AVERAGE(OFFSET($H$3,0,0,'Données projet'!$E$12+1,1))</f>
        <v>593.28343396240075</v>
      </c>
      <c r="CE108" s="59">
        <f t="shared" si="94"/>
        <v>289.66477662068695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18.759659704834469</v>
      </c>
      <c r="CL108" s="21">
        <f>EXP(-LN(2)/25)*CL107+(1-EXP(-LN(2)/25))/(LN(2)/25)*Calculateur!CG108*Calculateur!CI108*VLOOKUP('Données projet'!$B$12,Paramètres!$A$1:$I$89,3,0)*0.475*44/12</f>
        <v>32.449200849695991</v>
      </c>
      <c r="CM108" s="21">
        <f>EXP(-LN(2)/2)*CM107+(1-EXP(-LN(2)/2))/(LN(2)/2)*CG108*CJ108*VLOOKUP('Données projet'!$B$12,Paramètres!$A$1:$I$89,3,0)*0.475*44/12</f>
        <v>3.1412770245175095</v>
      </c>
      <c r="CN108" s="22">
        <f t="shared" si="66"/>
        <v>54.350137579047967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8.8449999999999989</v>
      </c>
      <c r="CT108" s="12">
        <f>IF('Données projet'!$A$140&gt;35,CT107+CS108-DB107,IF(A108&lt;'Données projet'!$A$140,$CQ$205^A108,IF(A108='Données projet'!$A$140,'Données projet'!$B$140,CT107+CS108-DB107)))</f>
        <v>344.95500000000055</v>
      </c>
      <c r="CU108" s="17">
        <f>CT108*VLOOKUP('Données projet'!$B$13,Paramètres!$A$1:$I$89,3,0)*VLOOKUP('Données projet'!$B$13,Paramètres!$A$1:$I$89,5,0)</f>
        <v>371.3095620000006</v>
      </c>
      <c r="CV108" s="13">
        <f t="shared" si="95"/>
        <v>85.935164433249753</v>
      </c>
      <c r="CW108" s="20">
        <f t="shared" si="67"/>
        <v>796.36789853791095</v>
      </c>
      <c r="CX108" s="59">
        <f t="shared" si="68"/>
        <v>1089.7012318712443</v>
      </c>
      <c r="CY108" s="59">
        <f ca="1">AVERAGE(OFFSET($CX$3,0,0,'Données projet'!$E$13+1,1))-AVERAGE(OFFSET($H$3,0,0,'Données projet'!$E$13+1,1))</f>
        <v>747.18304127457918</v>
      </c>
      <c r="CZ108" s="59">
        <f t="shared" si="96"/>
        <v>327.03701004966723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38.600034095597763</v>
      </c>
      <c r="DG108" s="21">
        <f>EXP(-LN(2)/25)*DG107+(1-EXP(-LN(2)/25))/(LN(2)/25)*Calculateur!DB108*Calculateur!DD108*VLOOKUP('Données projet'!$B$13,Paramètres!$A$1:$I$89,3,0)*0.475*44/12</f>
        <v>31.270552580260013</v>
      </c>
      <c r="DH108" s="21">
        <f>EXP(-LN(2)/2)*DH107+(1-EXP(-LN(2)/2))/(LN(2)/2)*DB108*DE108*VLOOKUP('Données projet'!$B$13,Paramètres!$A$1:$I$89,3,0)*0.475*44/12</f>
        <v>4.9021746953775063</v>
      </c>
      <c r="DI108" s="22">
        <f t="shared" si="69"/>
        <v>74.772761371235291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353.37479213497227</v>
      </c>
      <c r="DU108" s="59">
        <f t="shared" si="98"/>
        <v>345.4750813433123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31.683437582819376</v>
      </c>
      <c r="EB108" s="21">
        <f>EXP(-LN(2)/25)*EB107+(1-EXP(-LN(2)/25))/(LN(2)/25)*Calculateur!DW108*Calculateur!DY108*VLOOKUP('Données projet'!$B$14,Paramètres!$A$1:$I$89,3,0)*0.475*44/12</f>
        <v>25.661873421909075</v>
      </c>
      <c r="EC108" s="21">
        <f>EXP(-LN(2)/2)*EC107+(1-EXP(-LN(2)/2))/(LN(2)/2)*DW108*DZ108*VLOOKUP('Données projet'!$B$14,Paramètres!$A$1:$I$89,3,0)*0.475*44/12</f>
        <v>1.0776010623597588E-2</v>
      </c>
      <c r="ED108" s="22">
        <f t="shared" si="72"/>
        <v>57.356087015352045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>
        <f>VLOOKUP(A108,'Données projet'!$A$191:$I$211,2,0)</f>
        <v>361.46</v>
      </c>
      <c r="EH108" s="12">
        <f>VLOOKUP(A108,'Données projet'!$A$191:$I$211,9,0)</f>
        <v>90.364999999999995</v>
      </c>
      <c r="EI108" s="12">
        <f t="array" ref="EI108">INDEX(EH:EH,MIN(IF(ISNUMBER(EH108:EH304),ROW(EH108:EH304),"")))</f>
        <v>90.364999999999995</v>
      </c>
      <c r="EJ108" s="12">
        <f>IF('Données projet'!$A$192&gt;35,EJ107+EI108-ER107,IF(A108&lt;'Données projet'!$A$192,$EG$205^A108,IF(A108='Données projet'!$A$192,'Données projet'!$B$192,EJ107+EI108-ER107)))</f>
        <v>361.45999999999952</v>
      </c>
      <c r="EK108" s="17">
        <f>EJ108*VLOOKUP('Données projet'!$B$15,Paramètres!$A$1:$I$89,3,0)*VLOOKUP('Données projet'!$B$15,Paramètres!$A$1:$I$89,5,0)</f>
        <v>169.16327999999979</v>
      </c>
      <c r="EL108" s="13">
        <f t="shared" si="99"/>
        <v>42.902572360101992</v>
      </c>
      <c r="EM108" s="20">
        <f t="shared" si="73"/>
        <v>369.34802619384391</v>
      </c>
      <c r="EN108" s="59">
        <f t="shared" si="74"/>
        <v>662.68135952717716</v>
      </c>
      <c r="EO108" s="59">
        <f ca="1">AVERAGE(OFFSET($EN$3,0,0,'Données projet'!$E$15+1,1))-AVERAGE(OFFSET($H$3,0,0,'Données projet'!$E$15+1,1))</f>
        <v>433.05041777893922</v>
      </c>
      <c r="EP108" s="59">
        <f t="shared" si="100"/>
        <v>591.24088611958996</v>
      </c>
      <c r="EQ108" s="15">
        <f>IF(ISNA(VLOOKUP(A108,'Données projet'!$A$191:$I$211,3,0)),0,VLOOKUP(A108,'Données projet'!$A$191:$I$211,3,0))</f>
        <v>9</v>
      </c>
      <c r="ER108" s="15">
        <f>IF(ISNA(VLOOKUP(A108,'Données projet'!$A$191:$I$211,4,0)),0,VLOOKUP(A108,'Données projet'!$A$191:$I$211,4,0))</f>
        <v>361.46</v>
      </c>
      <c r="ES108" s="16">
        <f>IF(ISNA(VLOOKUP(A108,'Données projet'!$A$191:$I$211,5,0)),0%,VLOOKUP(A108,'Données projet'!$A$191:$I$211,5,0)*VLOOKUP('Données projet'!$B$15,Paramètres!$A$1:$I$89,7,0))</f>
        <v>0.33</v>
      </c>
      <c r="ET108" s="16">
        <f>IF(ISNA(VLOOKUP(A108,'Données projet'!$A$191:$I$211,6,0)),0%,VLOOKUP(A108,'Données projet'!$A$191:$I$211,6,0)*VLOOKUP('Données projet'!$B$15,Paramètres!$A$1:$I$89,7,0))</f>
        <v>0.11000000000000001</v>
      </c>
      <c r="EU108" s="16">
        <f>IF(ISNA(VLOOKUP(A108,'Données projet'!$A$191:$I$211,7,0)),0%,VLOOKUP(A108,'Données projet'!$A$191:$I$211,7,0))</f>
        <v>0.2</v>
      </c>
      <c r="EV108" s="21">
        <f>EXP(-LN(2)/35)*EV107+(1-EXP(-LN(2)/35))/(LN(2)/35)*ER108*ES108*VLOOKUP('Données projet'!$B$15,Paramètres!$A$1:$I$89,3,0)*0.475*44/12</f>
        <v>351.46953630223049</v>
      </c>
      <c r="EW108" s="21">
        <f>EXP(-LN(2)/25)*EW107+(1-EXP(-LN(2)/25))/(LN(2)/25)*Calculateur!ER108*Calculateur!ET108*VLOOKUP('Données projet'!$B$15,Paramètres!$A$1:$I$89,3,0)*0.475*44/12</f>
        <v>107.35117407919367</v>
      </c>
      <c r="EX108" s="21">
        <f>EXP(-LN(2)/2)*EX107+(1-EXP(-LN(2)/2))/(LN(2)/2)*ER108*EU108*VLOOKUP('Données projet'!$B$15,Paramètres!$A$1:$I$89,3,0)*0.475*44/12</f>
        <v>48.895460144574258</v>
      </c>
      <c r="EY108" s="22">
        <f t="shared" si="75"/>
        <v>507.71617052599845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-8.5265128291212022E-14</v>
      </c>
      <c r="FF108" s="17">
        <f>FE108*VLOOKUP('Données projet'!$B$16,Paramètres!$A$1:$I$89,3,0)*VLOOKUP('Données projet'!$B$16,Paramètres!$A$1:$I$89,5,0)</f>
        <v>-6.9167072069831198E-14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159.4660488566085</v>
      </c>
      <c r="FK108" s="59">
        <f t="shared" si="102"/>
        <v>135.33030558297088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10.674377636291343</v>
      </c>
      <c r="FS108" s="21">
        <f>EXP(-LN(2)/2)*FS107+(1-EXP(-LN(2)/2))/(LN(2)/2)*FM108*FP108*VLOOKUP('Données projet'!$B$16,Paramètres!$A$1:$I$89,3,0)*0.475*44/12</f>
        <v>0.13835575236823386</v>
      </c>
      <c r="FT108" s="22">
        <f t="shared" si="78"/>
        <v>10.812733388659577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8.8449999999999989</v>
      </c>
      <c r="N109" s="13">
        <f>IF('Données projet'!$A$36&gt;35,N108+M109-V108,IF(A109&lt;'Données projet'!$A$36,$K$205^A109,IF(A109='Données projet'!$A$36,'Données projet'!$B$36,N108+M109-V108)))</f>
        <v>353.80000000000052</v>
      </c>
      <c r="O109" s="13">
        <f>N109*VLOOKUP('Données projet'!$B$9,Paramètres!$A$1:$I$89,3,0)*VLOOKUP('Données projet'!$B$9,Paramètres!$A$1:$I$89,5,0)</f>
        <v>358.75320000000056</v>
      </c>
      <c r="P109" s="13">
        <f t="shared" si="87"/>
        <v>83.362286707455894</v>
      </c>
      <c r="Q109" s="20">
        <f t="shared" si="107"/>
        <v>770.01780601548671</v>
      </c>
      <c r="R109" s="59">
        <f t="shared" si="55"/>
        <v>1063.35113934882</v>
      </c>
      <c r="S109" s="59">
        <f ca="1">AVERAGE(OFFSET($R$3,0,0,'Données projet'!$E$9+1,1))-AVERAGE(OFFSET($H$3,0,0,'Données projet'!$E$9+1,1))</f>
        <v>706.69239849991595</v>
      </c>
      <c r="T109" s="59">
        <f t="shared" si="88"/>
        <v>310.59887275116529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35.649307436147012</v>
      </c>
      <c r="AA109" s="21">
        <f>EXP(-LN(2)/25)*AA108+(1-EXP(-LN(2)/25))/(LN(2)/25)*Calculateur!V109*Calculateur!X109*VLOOKUP('Données projet'!$B$9,Paramètres!$A$1:$I$89,3,0)*0.475*44/12</f>
        <v>28.652242737795429</v>
      </c>
      <c r="AB109" s="21">
        <f>EXP(-LN(2)/2)*AB108+(1-EXP(-LN(2)/2))/(LN(2)/2)*V109*Y109*VLOOKUP('Données projet'!$B$9,Paramètres!$A$1:$I$89,3,0)*0.475*44/12</f>
        <v>3.2654125076531111</v>
      </c>
      <c r="AC109" s="22">
        <f t="shared" si="57"/>
        <v>67.566962681595555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239.26156489359892</v>
      </c>
      <c r="AO109" s="59">
        <f t="shared" si="90"/>
        <v>213.97034450798111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7.8772576503295726</v>
      </c>
      <c r="AV109" s="21">
        <f>EXP(-LN(2)/25)*AV108+(1-EXP(-LN(2)/25))/(LN(2)/25)*Calculateur!AQ109*Calculateur!AS109*VLOOKUP('Données projet'!$B$10,Paramètres!$A$1:$I$89,3,0)*0.475*44/12</f>
        <v>40.98167223786934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48.858929888198915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-1.7053025658242404E-13</v>
      </c>
      <c r="BE109" s="13">
        <f>BD109*VLOOKUP('Données projet'!$B$11,Paramètres!$A$1:$I$89,3,0)*VLOOKUP('Données projet'!$B$11,Paramètres!$A$1:$I$89,5,0)</f>
        <v>-1.4897523215040567E-13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324.86930206492627</v>
      </c>
      <c r="BJ109" s="59">
        <f t="shared" si="92"/>
        <v>317.03005098025352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27.532649377840556</v>
      </c>
      <c r="BQ109" s="21">
        <f>EXP(-LN(2)/25)*BQ108+(1-EXP(-LN(2)/25))/(LN(2)/25)*Calculateur!BL109*Calculateur!BN109*VLOOKUP('Données projet'!$B$11,Paramètres!$A$1:$I$89,3,0)*0.475*44/12</f>
        <v>22.621628386066135</v>
      </c>
      <c r="BR109" s="21">
        <f>EXP(-LN(2)/2)*BR108+(1-EXP(-LN(2)/2))/(LN(2)/2)*BL109*BO109*VLOOKUP('Données projet'!$B$11,Paramètres!$A$1:$I$89,3,0)*0.475*44/12</f>
        <v>6.9672862572429314E-3</v>
      </c>
      <c r="BS109" s="22">
        <f t="shared" si="63"/>
        <v>50.161245050163934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6.8811111111111085</v>
      </c>
      <c r="BY109" s="12">
        <f>IF('Données projet'!$A$114&gt;35,BY108+BX109-CG108,IF(A109&lt;'Données projet'!$A$114,$BV$205^A109,IF(A109='Données projet'!$A$114,'Données projet'!$B$114,BY108+BX109-CG108)))</f>
        <v>245.73222222222205</v>
      </c>
      <c r="BZ109" s="13">
        <f>BY109*VLOOKUP('Données projet'!$B$12,Paramètres!$A$1:$I$89,3,0)*VLOOKUP('Données projet'!$B$12,Paramètres!$A$1:$I$89,5,0)</f>
        <v>279.8398546666665</v>
      </c>
      <c r="CA109" s="13">
        <f t="shared" si="93"/>
        <v>66.933164441747081</v>
      </c>
      <c r="CB109" s="20">
        <f t="shared" si="64"/>
        <v>603.96300828048697</v>
      </c>
      <c r="CC109" s="59">
        <f t="shared" si="65"/>
        <v>897.29634161382023</v>
      </c>
      <c r="CD109" s="59">
        <f ca="1">AVERAGE(OFFSET($CC$3,0,0,'Données projet'!$E$12+1,1))-AVERAGE(OFFSET($H$3,0,0,'Données projet'!$E$12+1,1))</f>
        <v>593.28343396240075</v>
      </c>
      <c r="CE109" s="59">
        <f t="shared" si="94"/>
        <v>289.66477662068695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18.391794220285256</v>
      </c>
      <c r="CL109" s="21">
        <f>EXP(-LN(2)/25)*CL108+(1-EXP(-LN(2)/25))/(LN(2)/25)*Calculateur!CG109*Calculateur!CI109*VLOOKUP('Données projet'!$B$12,Paramètres!$A$1:$I$89,3,0)*0.475*44/12</f>
        <v>31.561875746031745</v>
      </c>
      <c r="CM109" s="21">
        <f>EXP(-LN(2)/2)*CM108+(1-EXP(-LN(2)/2))/(LN(2)/2)*CG109*CJ109*VLOOKUP('Données projet'!$B$12,Paramètres!$A$1:$I$89,3,0)*0.475*44/12</f>
        <v>2.2212182856218319</v>
      </c>
      <c r="CN109" s="22">
        <f t="shared" si="66"/>
        <v>52.174888251938832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8.8449999999999989</v>
      </c>
      <c r="CT109" s="12">
        <f>IF('Données projet'!$A$140&gt;35,CT108+CS109-DB108,IF(A109&lt;'Données projet'!$A$140,$CQ$205^A109,IF(A109='Données projet'!$A$140,'Données projet'!$B$140,CT108+CS109-DB108)))</f>
        <v>353.80000000000052</v>
      </c>
      <c r="CU109" s="17">
        <f>CT109*VLOOKUP('Données projet'!$B$13,Paramètres!$A$1:$I$89,3,0)*VLOOKUP('Données projet'!$B$13,Paramètres!$A$1:$I$89,5,0)</f>
        <v>380.83032000000054</v>
      </c>
      <c r="CV109" s="13">
        <f t="shared" si="95"/>
        <v>87.879268631065798</v>
      </c>
      <c r="CW109" s="20">
        <f t="shared" si="67"/>
        <v>816.33586686577382</v>
      </c>
      <c r="CX109" s="59">
        <f t="shared" si="68"/>
        <v>1109.6692001991071</v>
      </c>
      <c r="CY109" s="59">
        <f ca="1">AVERAGE(OFFSET($CX$3,0,0,'Données projet'!$E$13+1,1))-AVERAGE(OFFSET($H$3,0,0,'Données projet'!$E$13+1,1))</f>
        <v>747.18304127457918</v>
      </c>
      <c r="CZ109" s="59">
        <f t="shared" si="96"/>
        <v>327.03701004966723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37.843110970679142</v>
      </c>
      <c r="DG109" s="21">
        <f>EXP(-LN(2)/25)*DG108+(1-EXP(-LN(2)/25))/(LN(2)/25)*Calculateur!DB109*Calculateur!DD109*VLOOKUP('Données projet'!$B$13,Paramètres!$A$1:$I$89,3,0)*0.475*44/12</f>
        <v>30.415457675505913</v>
      </c>
      <c r="DH109" s="21">
        <f>EXP(-LN(2)/2)*DH108+(1-EXP(-LN(2)/2))/(LN(2)/2)*DB109*DE109*VLOOKUP('Données projet'!$B$13,Paramètres!$A$1:$I$89,3,0)*0.475*44/12</f>
        <v>3.4663609696625328</v>
      </c>
      <c r="DI109" s="22">
        <f t="shared" si="69"/>
        <v>71.724929615847586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353.37479213497227</v>
      </c>
      <c r="DU109" s="59">
        <f t="shared" si="98"/>
        <v>345.4750813433123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31.062144696809028</v>
      </c>
      <c r="EB109" s="21">
        <f>EXP(-LN(2)/25)*EB108+(1-EXP(-LN(2)/25))/(LN(2)/25)*Calculateur!DW109*Calculateur!DY109*VLOOKUP('Données projet'!$B$14,Paramètres!$A$1:$I$89,3,0)*0.475*44/12</f>
        <v>24.9601481436877</v>
      </c>
      <c r="EC109" s="21">
        <f>EXP(-LN(2)/2)*EC108+(1-EXP(-LN(2)/2))/(LN(2)/2)*DW109*DZ109*VLOOKUP('Données projet'!$B$14,Paramètres!$A$1:$I$89,3,0)*0.475*44/12</f>
        <v>7.6197901860841312E-3</v>
      </c>
      <c r="ED109" s="22">
        <f t="shared" si="72"/>
        <v>56.029912630682816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-4.5474735088646412E-13</v>
      </c>
      <c r="EK109" s="17">
        <f>EJ109*VLOOKUP('Données projet'!$B$15,Paramètres!$A$1:$I$89,3,0)*VLOOKUP('Données projet'!$B$15,Paramètres!$A$1:$I$89,5,0)</f>
        <v>-2.1282176021486519E-13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433.05041777893922</v>
      </c>
      <c r="EP109" s="59">
        <f t="shared" si="100"/>
        <v>591.24088611958996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344.57743307059309</v>
      </c>
      <c r="EW109" s="21">
        <f>EXP(-LN(2)/25)*EW108+(1-EXP(-LN(2)/25))/(LN(2)/25)*Calculateur!ER109*Calculateur!ET109*VLOOKUP('Données projet'!$B$15,Paramètres!$A$1:$I$89,3,0)*0.475*44/12</f>
        <v>104.41565057864523</v>
      </c>
      <c r="EX109" s="21">
        <f>EXP(-LN(2)/2)*EX108+(1-EXP(-LN(2)/2))/(LN(2)/2)*ER109*EU109*VLOOKUP('Données projet'!$B$15,Paramètres!$A$1:$I$89,3,0)*0.475*44/12</f>
        <v>34.574311437465028</v>
      </c>
      <c r="EY109" s="22">
        <f t="shared" si="75"/>
        <v>483.56739508670336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-8.5265128291212022E-14</v>
      </c>
      <c r="FF109" s="17">
        <f>FE109*VLOOKUP('Données projet'!$B$16,Paramètres!$A$1:$I$89,3,0)*VLOOKUP('Données projet'!$B$16,Paramètres!$A$1:$I$89,5,0)</f>
        <v>-6.9167072069831198E-14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159.4660488566085</v>
      </c>
      <c r="FK109" s="59">
        <f t="shared" si="102"/>
        <v>135.33030558297088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10.382486218485832</v>
      </c>
      <c r="FS109" s="21">
        <f>EXP(-LN(2)/2)*FS108+(1-EXP(-LN(2)/2))/(LN(2)/2)*FM109*FP109*VLOOKUP('Données projet'!$B$16,Paramètres!$A$1:$I$89,3,0)*0.475*44/12</f>
        <v>9.7832290715744896E-2</v>
      </c>
      <c r="FT109" s="22">
        <f t="shared" si="78"/>
        <v>10.480318509201577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8.8449999999999989</v>
      </c>
      <c r="N110" s="13">
        <f>IF('Données projet'!$A$36&gt;35,N109+M110-V109,IF(A110&lt;'Données projet'!$A$36,$K$205^A110,IF(A110='Données projet'!$A$36,'Données projet'!$B$36,N109+M110-V109)))</f>
        <v>362.64500000000055</v>
      </c>
      <c r="O110" s="13">
        <f>N110*VLOOKUP('Données projet'!$B$9,Paramètres!$A$1:$I$89,3,0)*VLOOKUP('Données projet'!$B$9,Paramètres!$A$1:$I$89,5,0)</f>
        <v>367.72203000000059</v>
      </c>
      <c r="P110" s="13">
        <f t="shared" si="87"/>
        <v>85.201104879888135</v>
      </c>
      <c r="Q110" s="20">
        <f t="shared" si="107"/>
        <v>788.84112658247284</v>
      </c>
      <c r="R110" s="59">
        <f t="shared" si="55"/>
        <v>1082.1744599158062</v>
      </c>
      <c r="S110" s="59">
        <f ca="1">AVERAGE(OFFSET($R$3,0,0,'Données projet'!$E$9+1,1))-AVERAGE(OFFSET($H$3,0,0,'Données projet'!$E$9+1,1))</f>
        <v>706.69239849991595</v>
      </c>
      <c r="T110" s="59">
        <f t="shared" si="88"/>
        <v>310.59887275116529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34.950246261254669</v>
      </c>
      <c r="AA110" s="21">
        <f>EXP(-LN(2)/25)*AA109+(1-EXP(-LN(2)/25))/(LN(2)/25)*Calculateur!V110*Calculateur!X110*VLOOKUP('Données projet'!$B$9,Paramètres!$A$1:$I$89,3,0)*0.475*44/12</f>
        <v>27.868745653374454</v>
      </c>
      <c r="AB110" s="21">
        <f>EXP(-LN(2)/2)*AB109+(1-EXP(-LN(2)/2))/(LN(2)/2)*V110*Y110*VLOOKUP('Données projet'!$B$9,Paramètres!$A$1:$I$89,3,0)*0.475*44/12</f>
        <v>2.3089953275328838</v>
      </c>
      <c r="AC110" s="22">
        <f t="shared" si="57"/>
        <v>65.127987242162007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239.26156489359892</v>
      </c>
      <c r="AO110" s="59">
        <f t="shared" si="90"/>
        <v>213.97034450798111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7.722789432459356</v>
      </c>
      <c r="AV110" s="21">
        <f>EXP(-LN(2)/25)*AV109+(1-EXP(-LN(2)/25))/(LN(2)/25)*Calculateur!AQ110*Calculateur!AS110*VLOOKUP('Données projet'!$B$10,Paramètres!$A$1:$I$89,3,0)*0.475*44/12</f>
        <v>39.861026255392325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47.583815687851683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-1.7053025658242404E-13</v>
      </c>
      <c r="BE110" s="13">
        <f>BD110*VLOOKUP('Données projet'!$B$11,Paramètres!$A$1:$I$89,3,0)*VLOOKUP('Données projet'!$B$11,Paramètres!$A$1:$I$89,5,0)</f>
        <v>-1.4897523215040567E-13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324.86930206492627</v>
      </c>
      <c r="BJ110" s="59">
        <f t="shared" si="92"/>
        <v>317.03005098025352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26.992750916799029</v>
      </c>
      <c r="BQ110" s="21">
        <f>EXP(-LN(2)/25)*BQ109+(1-EXP(-LN(2)/25))/(LN(2)/25)*Calculateur!BL110*Calculateur!BN110*VLOOKUP('Données projet'!$B$11,Paramètres!$A$1:$I$89,3,0)*0.475*44/12</f>
        <v>22.003038768229423</v>
      </c>
      <c r="BR110" s="21">
        <f>EXP(-LN(2)/2)*BR109+(1-EXP(-LN(2)/2))/(LN(2)/2)*BL110*BO110*VLOOKUP('Données projet'!$B$11,Paramètres!$A$1:$I$89,3,0)*0.475*44/12</f>
        <v>4.9266153589643171E-3</v>
      </c>
      <c r="BS110" s="22">
        <f t="shared" si="63"/>
        <v>49.000716300387417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6.8811111111111085</v>
      </c>
      <c r="BY110" s="12">
        <f>IF('Données projet'!$A$114&gt;35,BY109+BX110-CG109,IF(A110&lt;'Données projet'!$A$114,$BV$205^A110,IF(A110='Données projet'!$A$114,'Données projet'!$B$114,BY109+BX110-CG109)))</f>
        <v>252.61333333333314</v>
      </c>
      <c r="BZ110" s="13">
        <f>BY110*VLOOKUP('Données projet'!$B$12,Paramètres!$A$1:$I$89,3,0)*VLOOKUP('Données projet'!$B$12,Paramètres!$A$1:$I$89,5,0)</f>
        <v>287.67606399999983</v>
      </c>
      <c r="CA110" s="13">
        <f t="shared" si="93"/>
        <v>68.586619675955717</v>
      </c>
      <c r="CB110" s="20">
        <f t="shared" si="64"/>
        <v>620.49084073562256</v>
      </c>
      <c r="CC110" s="59">
        <f t="shared" si="65"/>
        <v>913.82417406895593</v>
      </c>
      <c r="CD110" s="59">
        <f ca="1">AVERAGE(OFFSET($CC$3,0,0,'Données projet'!$E$12+1,1))-AVERAGE(OFFSET($H$3,0,0,'Données projet'!$E$12+1,1))</f>
        <v>593.28343396240075</v>
      </c>
      <c r="CE110" s="59">
        <f t="shared" si="94"/>
        <v>289.66477662068695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18.031142353512262</v>
      </c>
      <c r="CL110" s="21">
        <f>EXP(-LN(2)/25)*CL109+(1-EXP(-LN(2)/25))/(LN(2)/25)*Calculateur!CG110*Calculateur!CI110*VLOOKUP('Données projet'!$B$12,Paramètres!$A$1:$I$89,3,0)*0.475*44/12</f>
        <v>30.698814593989596</v>
      </c>
      <c r="CM110" s="21">
        <f>EXP(-LN(2)/2)*CM109+(1-EXP(-LN(2)/2))/(LN(2)/2)*CG110*CJ110*VLOOKUP('Données projet'!$B$12,Paramètres!$A$1:$I$89,3,0)*0.475*44/12</f>
        <v>1.5706385122587549</v>
      </c>
      <c r="CN110" s="22">
        <f t="shared" si="66"/>
        <v>50.300595459760615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8.8449999999999989</v>
      </c>
      <c r="CT110" s="12">
        <f>IF('Données projet'!$A$140&gt;35,CT109+CS110-DB109,IF(A110&lt;'Données projet'!$A$140,$CQ$205^A110,IF(A110='Données projet'!$A$140,'Données projet'!$B$140,CT109+CS110-DB109)))</f>
        <v>362.64500000000055</v>
      </c>
      <c r="CU110" s="17">
        <f>CT110*VLOOKUP('Données projet'!$B$13,Paramètres!$A$1:$I$89,3,0)*VLOOKUP('Données projet'!$B$13,Paramètres!$A$1:$I$89,5,0)</f>
        <v>390.35107800000054</v>
      </c>
      <c r="CV110" s="13">
        <f t="shared" si="95"/>
        <v>89.817723087167053</v>
      </c>
      <c r="CW110" s="20">
        <f t="shared" si="67"/>
        <v>836.29399522681695</v>
      </c>
      <c r="CX110" s="59">
        <f t="shared" si="68"/>
        <v>1129.6273285601503</v>
      </c>
      <c r="CY110" s="59">
        <f ca="1">AVERAGE(OFFSET($CX$3,0,0,'Données projet'!$E$13+1,1))-AVERAGE(OFFSET($H$3,0,0,'Données projet'!$E$13+1,1))</f>
        <v>747.18304127457918</v>
      </c>
      <c r="CZ110" s="59">
        <f t="shared" si="96"/>
        <v>327.03701004966723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37.101030646562656</v>
      </c>
      <c r="DG110" s="21">
        <f>EXP(-LN(2)/25)*DG109+(1-EXP(-LN(2)/25))/(LN(2)/25)*Calculateur!DB110*Calculateur!DD110*VLOOKUP('Données projet'!$B$13,Paramètres!$A$1:$I$89,3,0)*0.475*44/12</f>
        <v>29.583745385889799</v>
      </c>
      <c r="DH110" s="21">
        <f>EXP(-LN(2)/2)*DH109+(1-EXP(-LN(2)/2))/(LN(2)/2)*DB110*DE110*VLOOKUP('Données projet'!$B$13,Paramètres!$A$1:$I$89,3,0)*0.475*44/12</f>
        <v>2.4510873476887536</v>
      </c>
      <c r="DI110" s="22">
        <f t="shared" si="69"/>
        <v>69.135863380141203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353.37479213497227</v>
      </c>
      <c r="DU110" s="59">
        <f t="shared" si="98"/>
        <v>345.4750813433123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30.453034985342104</v>
      </c>
      <c r="EB110" s="21">
        <f>EXP(-LN(2)/25)*EB109+(1-EXP(-LN(2)/25))/(LN(2)/25)*Calculateur!DW110*Calculateur!DY110*VLOOKUP('Données projet'!$B$14,Paramètres!$A$1:$I$89,3,0)*0.475*44/12</f>
        <v>24.277611580101418</v>
      </c>
      <c r="EC110" s="21">
        <f>EXP(-LN(2)/2)*EC109+(1-EXP(-LN(2)/2))/(LN(2)/2)*DW110*DZ110*VLOOKUP('Données projet'!$B$14,Paramètres!$A$1:$I$89,3,0)*0.475*44/12</f>
        <v>5.3880053117987946E-3</v>
      </c>
      <c r="ED110" s="22">
        <f t="shared" si="72"/>
        <v>54.736034570755322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-4.5474735088646412E-13</v>
      </c>
      <c r="EK110" s="17">
        <f>EJ110*VLOOKUP('Données projet'!$B$15,Paramètres!$A$1:$I$89,3,0)*VLOOKUP('Données projet'!$B$15,Paramètres!$A$1:$I$89,5,0)</f>
        <v>-2.1282176021486519E-13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433.05041777893922</v>
      </c>
      <c r="EP110" s="59">
        <f t="shared" si="100"/>
        <v>591.24088611958996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337.82047977956023</v>
      </c>
      <c r="EW110" s="21">
        <f>EXP(-LN(2)/25)*EW109+(1-EXP(-LN(2)/25))/(LN(2)/25)*Calculateur!ER110*Calculateur!ET110*VLOOKUP('Données projet'!$B$15,Paramètres!$A$1:$I$89,3,0)*0.475*44/12</f>
        <v>101.56039912259176</v>
      </c>
      <c r="EX110" s="21">
        <f>EXP(-LN(2)/2)*EX109+(1-EXP(-LN(2)/2))/(LN(2)/2)*ER110*EU110*VLOOKUP('Données projet'!$B$15,Paramètres!$A$1:$I$89,3,0)*0.475*44/12</f>
        <v>24.447730072287133</v>
      </c>
      <c r="EY110" s="22">
        <f t="shared" si="75"/>
        <v>463.82860897443913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-8.5265128291212022E-14</v>
      </c>
      <c r="FF110" s="17">
        <f>FE110*VLOOKUP('Données projet'!$B$16,Paramètres!$A$1:$I$89,3,0)*VLOOKUP('Données projet'!$B$16,Paramètres!$A$1:$I$89,5,0)</f>
        <v>-6.9167072069831198E-14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159.4660488566085</v>
      </c>
      <c r="FK110" s="59">
        <f t="shared" si="102"/>
        <v>135.33030558297088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10.098576586850116</v>
      </c>
      <c r="FS110" s="21">
        <f>EXP(-LN(2)/2)*FS109+(1-EXP(-LN(2)/2))/(LN(2)/2)*FM110*FP110*VLOOKUP('Données projet'!$B$16,Paramètres!$A$1:$I$89,3,0)*0.475*44/12</f>
        <v>6.9177876184116929E-2</v>
      </c>
      <c r="FT110" s="22">
        <f t="shared" si="78"/>
        <v>10.167754463034234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8.8449999999999989</v>
      </c>
      <c r="N111" s="13">
        <f>IF('Données projet'!$A$36&gt;35,N110+M111-V110,IF(A111&lt;'Données projet'!$A$36,$K$205^A111,IF(A111='Données projet'!$A$36,'Données projet'!$B$36,N110+M111-V110)))</f>
        <v>371.49000000000058</v>
      </c>
      <c r="O111" s="13">
        <f>N111*VLOOKUP('Données projet'!$B$9,Paramètres!$A$1:$I$89,3,0)*VLOOKUP('Données projet'!$B$9,Paramètres!$A$1:$I$89,5,0)</f>
        <v>376.69086000000061</v>
      </c>
      <c r="P111" s="13">
        <f t="shared" si="87"/>
        <v>87.034709459862782</v>
      </c>
      <c r="Q111" s="20">
        <f t="shared" si="107"/>
        <v>807.65536680926198</v>
      </c>
      <c r="R111" s="59">
        <f t="shared" si="55"/>
        <v>1100.9887001425952</v>
      </c>
      <c r="S111" s="59">
        <f ca="1">AVERAGE(OFFSET($R$3,0,0,'Données projet'!$E$9+1,1))-AVERAGE(OFFSET($H$3,0,0,'Données projet'!$E$9+1,1))</f>
        <v>706.69239849991595</v>
      </c>
      <c r="T111" s="59">
        <f t="shared" si="88"/>
        <v>310.59887275116529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34.264893249616755</v>
      </c>
      <c r="AA111" s="21">
        <f>EXP(-LN(2)/25)*AA110+(1-EXP(-LN(2)/25))/(LN(2)/25)*Calculateur!V111*Calculateur!X111*VLOOKUP('Données projet'!$B$9,Paramètres!$A$1:$I$89,3,0)*0.475*44/12</f>
        <v>27.106673337929291</v>
      </c>
      <c r="AB111" s="21">
        <f>EXP(-LN(2)/2)*AB110+(1-EXP(-LN(2)/2))/(LN(2)/2)*V111*Y111*VLOOKUP('Données projet'!$B$9,Paramètres!$A$1:$I$89,3,0)*0.475*44/12</f>
        <v>1.6327062538265555</v>
      </c>
      <c r="AC111" s="22">
        <f t="shared" si="57"/>
        <v>63.004272841372597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239.26156489359892</v>
      </c>
      <c r="AO111" s="59">
        <f t="shared" si="90"/>
        <v>213.97034450798111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7.5713502421252645</v>
      </c>
      <c r="AV111" s="21">
        <f>EXP(-LN(2)/25)*AV110+(1-EXP(-LN(2)/25))/(LN(2)/25)*Calculateur!AQ111*Calculateur!AS111*VLOOKUP('Données projet'!$B$10,Paramètres!$A$1:$I$89,3,0)*0.475*44/12</f>
        <v>38.771024396238353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46.342374638363616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-1.7053025658242404E-13</v>
      </c>
      <c r="BE111" s="13">
        <f>BD111*VLOOKUP('Données projet'!$B$11,Paramètres!$A$1:$I$89,3,0)*VLOOKUP('Données projet'!$B$11,Paramètres!$A$1:$I$89,5,0)</f>
        <v>-1.4897523215040567E-13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324.86930206492627</v>
      </c>
      <c r="BJ111" s="59">
        <f t="shared" si="92"/>
        <v>317.03005098025352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26.463439535272979</v>
      </c>
      <c r="BQ111" s="21">
        <f>EXP(-LN(2)/25)*BQ110+(1-EXP(-LN(2)/25))/(LN(2)/25)*Calculateur!BL111*Calculateur!BN111*VLOOKUP('Données projet'!$B$11,Paramètres!$A$1:$I$89,3,0)*0.475*44/12</f>
        <v>21.401364516022671</v>
      </c>
      <c r="BR111" s="21">
        <f>EXP(-LN(2)/2)*BR110+(1-EXP(-LN(2)/2))/(LN(2)/2)*BL111*BO111*VLOOKUP('Données projet'!$B$11,Paramètres!$A$1:$I$89,3,0)*0.475*44/12</f>
        <v>3.4836431286214657E-3</v>
      </c>
      <c r="BS111" s="22">
        <f t="shared" si="63"/>
        <v>47.868287694424268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6.8811111111111085</v>
      </c>
      <c r="BY111" s="12">
        <f>IF('Données projet'!$A$114&gt;35,BY110+BX111-CG110,IF(A111&lt;'Données projet'!$A$114,$BV$205^A111,IF(A111='Données projet'!$A$114,'Données projet'!$B$114,BY110+BX111-CG110)))</f>
        <v>259.49444444444424</v>
      </c>
      <c r="BZ111" s="13">
        <f>BY111*VLOOKUP('Données projet'!$B$12,Paramètres!$A$1:$I$89,3,0)*VLOOKUP('Données projet'!$B$12,Paramètres!$A$1:$I$89,5,0)</f>
        <v>295.5122733333331</v>
      </c>
      <c r="CA111" s="13">
        <f t="shared" si="93"/>
        <v>70.234839916588783</v>
      </c>
      <c r="CB111" s="20">
        <f t="shared" si="64"/>
        <v>637.00955557694726</v>
      </c>
      <c r="CC111" s="59">
        <f t="shared" si="65"/>
        <v>930.34288891028064</v>
      </c>
      <c r="CD111" s="59">
        <f ca="1">AVERAGE(OFFSET($CC$3,0,0,'Données projet'!$E$12+1,1))-AVERAGE(OFFSET($H$3,0,0,'Données projet'!$E$12+1,1))</f>
        <v>593.28343396240075</v>
      </c>
      <c r="CE111" s="59">
        <f t="shared" si="94"/>
        <v>289.66477662068695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17.677562649870769</v>
      </c>
      <c r="CL111" s="21">
        <f>EXP(-LN(2)/25)*CL110+(1-EXP(-LN(2)/25))/(LN(2)/25)*Calculateur!CG111*Calculateur!CI111*VLOOKUP('Données projet'!$B$12,Paramètres!$A$1:$I$89,3,0)*0.475*44/12</f>
        <v>29.859353894536454</v>
      </c>
      <c r="CM111" s="21">
        <f>EXP(-LN(2)/2)*CM110+(1-EXP(-LN(2)/2))/(LN(2)/2)*CG111*CJ111*VLOOKUP('Données projet'!$B$12,Paramètres!$A$1:$I$89,3,0)*0.475*44/12</f>
        <v>1.1106091428109162</v>
      </c>
      <c r="CN111" s="22">
        <f t="shared" si="66"/>
        <v>48.647525687218135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8.8449999999999989</v>
      </c>
      <c r="CT111" s="12">
        <f>IF('Données projet'!$A$140&gt;35,CT110+CS111-DB110,IF(A111&lt;'Données projet'!$A$140,$CQ$205^A111,IF(A111='Données projet'!$A$140,'Données projet'!$B$140,CT110+CS111-DB110)))</f>
        <v>371.49000000000058</v>
      </c>
      <c r="CU111" s="17">
        <f>CT111*VLOOKUP('Données projet'!$B$13,Paramètres!$A$1:$I$89,3,0)*VLOOKUP('Données projet'!$B$13,Paramètres!$A$1:$I$89,5,0)</f>
        <v>399.87183600000066</v>
      </c>
      <c r="CV111" s="13">
        <f t="shared" si="95"/>
        <v>91.750681452527473</v>
      </c>
      <c r="CW111" s="20">
        <f t="shared" si="67"/>
        <v>856.2425512298197</v>
      </c>
      <c r="CX111" s="59">
        <f t="shared" si="68"/>
        <v>1149.5758845631531</v>
      </c>
      <c r="CY111" s="59">
        <f ca="1">AVERAGE(OFFSET($CX$3,0,0,'Données projet'!$E$13+1,1))-AVERAGE(OFFSET($H$3,0,0,'Données projet'!$E$13+1,1))</f>
        <v>747.18304127457918</v>
      </c>
      <c r="CZ111" s="59">
        <f t="shared" si="96"/>
        <v>327.03701004966723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36.373502064977792</v>
      </c>
      <c r="DG111" s="21">
        <f>EXP(-LN(2)/25)*DG110+(1-EXP(-LN(2)/25))/(LN(2)/25)*Calculateur!DB111*Calculateur!DD111*VLOOKUP('Données projet'!$B$13,Paramètres!$A$1:$I$89,3,0)*0.475*44/12</f>
        <v>28.774776312571088</v>
      </c>
      <c r="DH111" s="21">
        <f>EXP(-LN(2)/2)*DH110+(1-EXP(-LN(2)/2))/(LN(2)/2)*DB111*DE111*VLOOKUP('Données projet'!$B$13,Paramètres!$A$1:$I$89,3,0)*0.475*44/12</f>
        <v>1.7331804848312666</v>
      </c>
      <c r="DI111" s="22">
        <f t="shared" si="69"/>
        <v>66.881458862380143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353.37479213497227</v>
      </c>
      <c r="DU111" s="59">
        <f t="shared" si="98"/>
        <v>345.4750813433123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29.855869543796803</v>
      </c>
      <c r="EB111" s="21">
        <f>EXP(-LN(2)/25)*EB110+(1-EXP(-LN(2)/25))/(LN(2)/25)*Calculateur!DW111*Calculateur!DY111*VLOOKUP('Données projet'!$B$14,Paramètres!$A$1:$I$89,3,0)*0.475*44/12</f>
        <v>23.613739014739437</v>
      </c>
      <c r="EC111" s="21">
        <f>EXP(-LN(2)/2)*EC110+(1-EXP(-LN(2)/2))/(LN(2)/2)*DW111*DZ111*VLOOKUP('Données projet'!$B$14,Paramètres!$A$1:$I$89,3,0)*0.475*44/12</f>
        <v>3.8098950930420664E-3</v>
      </c>
      <c r="ED111" s="22">
        <f t="shared" si="72"/>
        <v>53.473418453629279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-4.5474735088646412E-13</v>
      </c>
      <c r="EK111" s="17">
        <f>EJ111*VLOOKUP('Données projet'!$B$15,Paramètres!$A$1:$I$89,3,0)*VLOOKUP('Données projet'!$B$15,Paramètres!$A$1:$I$89,5,0)</f>
        <v>-2.1282176021486519E-13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433.05041777893922</v>
      </c>
      <c r="EP111" s="59">
        <f t="shared" si="100"/>
        <v>591.24088611958996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331.19602622122994</v>
      </c>
      <c r="EW111" s="21">
        <f>EXP(-LN(2)/25)*EW110+(1-EXP(-LN(2)/25))/(LN(2)/25)*Calculateur!ER111*Calculateur!ET111*VLOOKUP('Données projet'!$B$15,Paramètres!$A$1:$I$89,3,0)*0.475*44/12</f>
        <v>98.783224667755221</v>
      </c>
      <c r="EX111" s="21">
        <f>EXP(-LN(2)/2)*EX110+(1-EXP(-LN(2)/2))/(LN(2)/2)*ER111*EU111*VLOOKUP('Données projet'!$B$15,Paramètres!$A$1:$I$89,3,0)*0.475*44/12</f>
        <v>17.287155718732517</v>
      </c>
      <c r="EY111" s="22">
        <f t="shared" si="75"/>
        <v>447.26640660771767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-8.5265128291212022E-14</v>
      </c>
      <c r="FF111" s="17">
        <f>FE111*VLOOKUP('Données projet'!$B$16,Paramètres!$A$1:$I$89,3,0)*VLOOKUP('Données projet'!$B$16,Paramètres!$A$1:$I$89,5,0)</f>
        <v>-6.9167072069831198E-14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159.4660488566085</v>
      </c>
      <c r="FK111" s="59">
        <f t="shared" si="102"/>
        <v>135.33030558297088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9.8224304790216372</v>
      </c>
      <c r="FS111" s="21">
        <f>EXP(-LN(2)/2)*FS110+(1-EXP(-LN(2)/2))/(LN(2)/2)*FM111*FP111*VLOOKUP('Données projet'!$B$16,Paramètres!$A$1:$I$89,3,0)*0.475*44/12</f>
        <v>4.8916145357872448E-2</v>
      </c>
      <c r="FT111" s="22">
        <f t="shared" si="78"/>
        <v>9.8713466243795089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8.8449999999999989</v>
      </c>
      <c r="N112" s="13">
        <f>IF('Données projet'!$A$36&gt;35,N111+M112-V111,IF(A112&lt;'Données projet'!$A$36,$K$205^A112,IF(A112='Données projet'!$A$36,'Données projet'!$B$36,N111+M112-V111)))</f>
        <v>380.3350000000006</v>
      </c>
      <c r="O112" s="13">
        <f>N112*VLOOKUP('Données projet'!$B$9,Paramètres!$A$1:$I$89,3,0)*VLOOKUP('Données projet'!$B$9,Paramètres!$A$1:$I$89,5,0)</f>
        <v>385.65969000000064</v>
      </c>
      <c r="P112" s="13">
        <f t="shared" si="87"/>
        <v>88.86323886421664</v>
      </c>
      <c r="Q112" s="20">
        <f t="shared" si="107"/>
        <v>826.4607677718451</v>
      </c>
      <c r="R112" s="59">
        <f t="shared" si="55"/>
        <v>1119.7941011051785</v>
      </c>
      <c r="S112" s="59">
        <f ca="1">AVERAGE(OFFSET($R$3,0,0,'Données projet'!$E$9+1,1))-AVERAGE(OFFSET($H$3,0,0,'Données projet'!$E$9+1,1))</f>
        <v>706.69239849991595</v>
      </c>
      <c r="T112" s="59">
        <f t="shared" si="88"/>
        <v>310.59887275116529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33.592979592512997</v>
      </c>
      <c r="AA112" s="21">
        <f>EXP(-LN(2)/25)*AA111+(1-EXP(-LN(2)/25))/(LN(2)/25)*Calculateur!V112*Calculateur!X112*VLOOKUP('Données projet'!$B$9,Paramètres!$A$1:$I$89,3,0)*0.475*44/12</f>
        <v>26.365439930025616</v>
      </c>
      <c r="AB112" s="21">
        <f>EXP(-LN(2)/2)*AB111+(1-EXP(-LN(2)/2))/(LN(2)/2)*V112*Y112*VLOOKUP('Données projet'!$B$9,Paramètres!$A$1:$I$89,3,0)*0.475*44/12</f>
        <v>1.1544976637664419</v>
      </c>
      <c r="AC112" s="22">
        <f t="shared" si="57"/>
        <v>61.112917186305054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239.26156489359892</v>
      </c>
      <c r="AO112" s="59">
        <f t="shared" si="90"/>
        <v>213.97034450798111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7.4228806819448394</v>
      </c>
      <c r="AV112" s="21">
        <f>EXP(-LN(2)/25)*AV111+(1-EXP(-LN(2)/25))/(LN(2)/25)*Calculateur!AQ112*Calculateur!AS112*VLOOKUP('Données projet'!$B$10,Paramètres!$A$1:$I$89,3,0)*0.475*44/12</f>
        <v>37.710828695243656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45.133709377188495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-1.7053025658242404E-13</v>
      </c>
      <c r="BE112" s="13">
        <f>BD112*VLOOKUP('Données projet'!$B$11,Paramètres!$A$1:$I$89,3,0)*VLOOKUP('Données projet'!$B$11,Paramètres!$A$1:$I$89,5,0)</f>
        <v>-1.4897523215040567E-13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324.86930206492627</v>
      </c>
      <c r="BJ112" s="59">
        <f t="shared" si="92"/>
        <v>317.03005098025352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25.944507627090591</v>
      </c>
      <c r="BQ112" s="21">
        <f>EXP(-LN(2)/25)*BQ111+(1-EXP(-LN(2)/25))/(LN(2)/25)*Calculateur!BL112*Calculateur!BN112*VLOOKUP('Données projet'!$B$11,Paramètres!$A$1:$I$89,3,0)*0.475*44/12</f>
        <v>20.816143077883183</v>
      </c>
      <c r="BR112" s="21">
        <f>EXP(-LN(2)/2)*BR111+(1-EXP(-LN(2)/2))/(LN(2)/2)*BL112*BO112*VLOOKUP('Données projet'!$B$11,Paramètres!$A$1:$I$89,3,0)*0.475*44/12</f>
        <v>2.4633076794821586E-3</v>
      </c>
      <c r="BS112" s="22">
        <f t="shared" si="63"/>
        <v>46.763114012653254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6.8811111111111085</v>
      </c>
      <c r="BY112" s="12">
        <f>IF('Données projet'!$A$114&gt;35,BY111+BX112-CG111,IF(A112&lt;'Données projet'!$A$114,$BV$205^A112,IF(A112='Données projet'!$A$114,'Données projet'!$B$114,BY111+BX112-CG111)))</f>
        <v>266.37555555555537</v>
      </c>
      <c r="BZ112" s="13">
        <f>BY112*VLOOKUP('Données projet'!$B$12,Paramètres!$A$1:$I$89,3,0)*VLOOKUP('Données projet'!$B$12,Paramètres!$A$1:$I$89,5,0)</f>
        <v>303.34848266666648</v>
      </c>
      <c r="CA112" s="13">
        <f t="shared" si="93"/>
        <v>71.877979938164458</v>
      </c>
      <c r="CB112" s="20">
        <f t="shared" si="64"/>
        <v>653.51942237008052</v>
      </c>
      <c r="CC112" s="59">
        <f t="shared" si="65"/>
        <v>946.85275570341378</v>
      </c>
      <c r="CD112" s="59">
        <f ca="1">AVERAGE(OFFSET($CC$3,0,0,'Données projet'!$E$12+1,1))-AVERAGE(OFFSET($H$3,0,0,'Données projet'!$E$12+1,1))</f>
        <v>593.28343396240075</v>
      </c>
      <c r="CE112" s="59">
        <f t="shared" si="94"/>
        <v>289.66477662068695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17.330916428555362</v>
      </c>
      <c r="CL112" s="21">
        <f>EXP(-LN(2)/25)*CL111+(1-EXP(-LN(2)/25))/(LN(2)/25)*Calculateur!CG112*Calculateur!CI112*VLOOKUP('Données projet'!$B$12,Paramètres!$A$1:$I$89,3,0)*0.475*44/12</f>
        <v>29.042848292055179</v>
      </c>
      <c r="CM112" s="21">
        <f>EXP(-LN(2)/2)*CM111+(1-EXP(-LN(2)/2))/(LN(2)/2)*CG112*CJ112*VLOOKUP('Données projet'!$B$12,Paramètres!$A$1:$I$89,3,0)*0.475*44/12</f>
        <v>0.7853192561293777</v>
      </c>
      <c r="CN112" s="22">
        <f t="shared" si="66"/>
        <v>47.159083976739915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8.8449999999999989</v>
      </c>
      <c r="CT112" s="12">
        <f>IF('Données projet'!$A$140&gt;35,CT111+CS112-DB111,IF(A112&lt;'Données projet'!$A$140,$CQ$205^A112,IF(A112='Données projet'!$A$140,'Données projet'!$B$140,CT111+CS112-DB111)))</f>
        <v>380.3350000000006</v>
      </c>
      <c r="CU112" s="17">
        <f>CT112*VLOOKUP('Données projet'!$B$13,Paramètres!$A$1:$I$89,3,0)*VLOOKUP('Données projet'!$B$13,Paramètres!$A$1:$I$89,5,0)</f>
        <v>409.39259400000066</v>
      </c>
      <c r="CV112" s="13">
        <f t="shared" si="95"/>
        <v>93.678289644093994</v>
      </c>
      <c r="CW112" s="20">
        <f t="shared" si="67"/>
        <v>876.18178901346482</v>
      </c>
      <c r="CX112" s="59">
        <f t="shared" si="68"/>
        <v>1169.5151223467981</v>
      </c>
      <c r="CY112" s="59">
        <f ca="1">AVERAGE(OFFSET($CX$3,0,0,'Données projet'!$E$13+1,1))-AVERAGE(OFFSET($H$3,0,0,'Données projet'!$E$13+1,1))</f>
        <v>747.18304127457918</v>
      </c>
      <c r="CZ112" s="59">
        <f t="shared" si="96"/>
        <v>327.03701004966723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35.660239875129186</v>
      </c>
      <c r="DG112" s="21">
        <f>EXP(-LN(2)/25)*DG111+(1-EXP(-LN(2)/25))/(LN(2)/25)*Calculateur!DB112*Calculateur!DD112*VLOOKUP('Données projet'!$B$13,Paramètres!$A$1:$I$89,3,0)*0.475*44/12</f>
        <v>27.987928541104111</v>
      </c>
      <c r="DH112" s="21">
        <f>EXP(-LN(2)/2)*DH111+(1-EXP(-LN(2)/2))/(LN(2)/2)*DB112*DE112*VLOOKUP('Données projet'!$B$13,Paramètres!$A$1:$I$89,3,0)*0.475*44/12</f>
        <v>1.2255436738443768</v>
      </c>
      <c r="DI112" s="22">
        <f t="shared" si="69"/>
        <v>64.873712090077674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353.37479213497227</v>
      </c>
      <c r="DU112" s="59">
        <f t="shared" si="98"/>
        <v>345.4750813433123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29.270414152325255</v>
      </c>
      <c r="EB112" s="21">
        <f>EXP(-LN(2)/25)*EB111+(1-EXP(-LN(2)/25))/(LN(2)/25)*Calculateur!DW112*Calculateur!DY112*VLOOKUP('Données projet'!$B$14,Paramètres!$A$1:$I$89,3,0)*0.475*44/12</f>
        <v>22.968020079588822</v>
      </c>
      <c r="EC112" s="21">
        <f>EXP(-LN(2)/2)*EC111+(1-EXP(-LN(2)/2))/(LN(2)/2)*DW112*DZ112*VLOOKUP('Données projet'!$B$14,Paramètres!$A$1:$I$89,3,0)*0.475*44/12</f>
        <v>2.6940026558993978E-3</v>
      </c>
      <c r="ED112" s="22">
        <f t="shared" si="72"/>
        <v>52.241128234569977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-4.5474735088646412E-13</v>
      </c>
      <c r="EK112" s="17">
        <f>EJ112*VLOOKUP('Données projet'!$B$15,Paramètres!$A$1:$I$89,3,0)*VLOOKUP('Données projet'!$B$15,Paramètres!$A$1:$I$89,5,0)</f>
        <v>-2.1282176021486519E-13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433.05041777893922</v>
      </c>
      <c r="EP112" s="59">
        <f t="shared" si="100"/>
        <v>591.24088611958996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324.70147415666082</v>
      </c>
      <c r="EW112" s="21">
        <f>EXP(-LN(2)/25)*EW111+(1-EXP(-LN(2)/25))/(LN(2)/25)*Calculateur!ER112*Calculateur!ET112*VLOOKUP('Données projet'!$B$15,Paramètres!$A$1:$I$89,3,0)*0.475*44/12</f>
        <v>96.081992194431436</v>
      </c>
      <c r="EX112" s="21">
        <f>EXP(-LN(2)/2)*EX111+(1-EXP(-LN(2)/2))/(LN(2)/2)*ER112*EU112*VLOOKUP('Données projet'!$B$15,Paramètres!$A$1:$I$89,3,0)*0.475*44/12</f>
        <v>12.223865036143568</v>
      </c>
      <c r="EY112" s="22">
        <f t="shared" si="75"/>
        <v>433.00733138723587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-8.5265128291212022E-14</v>
      </c>
      <c r="FF112" s="17">
        <f>FE112*VLOOKUP('Données projet'!$B$16,Paramètres!$A$1:$I$89,3,0)*VLOOKUP('Données projet'!$B$16,Paramètres!$A$1:$I$89,5,0)</f>
        <v>-6.9167072069831198E-14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159.4660488566085</v>
      </c>
      <c r="FK112" s="59">
        <f t="shared" si="102"/>
        <v>135.33030558297088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9.5538356010336205</v>
      </c>
      <c r="FS112" s="21">
        <f>EXP(-LN(2)/2)*FS111+(1-EXP(-LN(2)/2))/(LN(2)/2)*FM112*FP112*VLOOKUP('Données projet'!$B$16,Paramètres!$A$1:$I$89,3,0)*0.475*44/12</f>
        <v>3.4588938092058465E-2</v>
      </c>
      <c r="FT112" s="22">
        <f t="shared" si="78"/>
        <v>9.588424539125679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8.8449999999999989</v>
      </c>
      <c r="N113" s="13">
        <f>IF('Données projet'!$A$36&gt;35,N112+M113-V112,IF(A113&lt;'Données projet'!$A$36,$K$205^A113,IF(A113='Données projet'!$A$36,'Données projet'!$B$36,N112+M113-V112)))</f>
        <v>389.18000000000063</v>
      </c>
      <c r="O113" s="13">
        <f>N113*VLOOKUP('Données projet'!$B$9,Paramètres!$A$1:$I$89,3,0)*VLOOKUP('Données projet'!$B$9,Paramètres!$A$1:$I$89,5,0)</f>
        <v>394.62852000000066</v>
      </c>
      <c r="P113" s="13">
        <f t="shared" si="87"/>
        <v>90.686824704469188</v>
      </c>
      <c r="Q113" s="20">
        <f t="shared" si="107"/>
        <v>845.25755869361831</v>
      </c>
      <c r="R113" s="59">
        <f t="shared" si="55"/>
        <v>1138.5908920269517</v>
      </c>
      <c r="S113" s="59">
        <f ca="1">AVERAGE(OFFSET($R$3,0,0,'Données projet'!$E$9+1,1))-AVERAGE(OFFSET($H$3,0,0,'Données projet'!$E$9+1,1))</f>
        <v>706.69239849991595</v>
      </c>
      <c r="T113" s="59">
        <f t="shared" si="88"/>
        <v>310.59887275116529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32.934241752398179</v>
      </c>
      <c r="AA113" s="21">
        <f>EXP(-LN(2)/25)*AA112+(1-EXP(-LN(2)/25))/(LN(2)/25)*Calculateur!V113*Calculateur!X113*VLOOKUP('Données projet'!$B$9,Paramètres!$A$1:$I$89,3,0)*0.475*44/12</f>
        <v>25.644475588640837</v>
      </c>
      <c r="AB113" s="21">
        <f>EXP(-LN(2)/2)*AB112+(1-EXP(-LN(2)/2))/(LN(2)/2)*V113*Y113*VLOOKUP('Données projet'!$B$9,Paramètres!$A$1:$I$89,3,0)*0.475*44/12</f>
        <v>0.81635312691327777</v>
      </c>
      <c r="AC113" s="22">
        <f t="shared" si="57"/>
        <v>59.395070467952294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239.26156489359892</v>
      </c>
      <c r="AO113" s="59">
        <f t="shared" si="90"/>
        <v>213.97034450798111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7.2773225192820625</v>
      </c>
      <c r="AV113" s="21">
        <f>EXP(-LN(2)/25)*AV112+(1-EXP(-LN(2)/25))/(LN(2)/25)*Calculateur!AQ113*Calculateur!AS113*VLOOKUP('Données projet'!$B$10,Paramètres!$A$1:$I$89,3,0)*0.475*44/12</f>
        <v>36.679624101445924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43.95694662072799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-1.7053025658242404E-13</v>
      </c>
      <c r="BE113" s="13">
        <f>BD113*VLOOKUP('Données projet'!$B$11,Paramètres!$A$1:$I$89,3,0)*VLOOKUP('Données projet'!$B$11,Paramètres!$A$1:$I$89,5,0)</f>
        <v>-1.4897523215040567E-13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324.86930206492627</v>
      </c>
      <c r="BJ113" s="59">
        <f t="shared" si="92"/>
        <v>317.03005098025352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25.435751657110448</v>
      </c>
      <c r="BQ113" s="21">
        <f>EXP(-LN(2)/25)*BQ112+(1-EXP(-LN(2)/25))/(LN(2)/25)*Calculateur!BL113*Calculateur!BN113*VLOOKUP('Données projet'!$B$11,Paramètres!$A$1:$I$89,3,0)*0.475*44/12</f>
        <v>20.246924550745078</v>
      </c>
      <c r="BR113" s="21">
        <f>EXP(-LN(2)/2)*BR112+(1-EXP(-LN(2)/2))/(LN(2)/2)*BL113*BO113*VLOOKUP('Données projet'!$B$11,Paramètres!$A$1:$I$89,3,0)*0.475*44/12</f>
        <v>1.7418215643107329E-3</v>
      </c>
      <c r="BS113" s="22">
        <f t="shared" si="63"/>
        <v>45.684418029419831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6.8811111111111085</v>
      </c>
      <c r="BY113" s="12">
        <f>IF('Données projet'!$A$114&gt;35,BY112+BX113-CG112,IF(A113&lt;'Données projet'!$A$114,$BV$205^A113,IF(A113='Données projet'!$A$114,'Données projet'!$B$114,BY112+BX113-CG112)))</f>
        <v>273.25666666666649</v>
      </c>
      <c r="BZ113" s="13">
        <f>BY113*VLOOKUP('Données projet'!$B$12,Paramètres!$A$1:$I$89,3,0)*VLOOKUP('Données projet'!$B$12,Paramètres!$A$1:$I$89,5,0)</f>
        <v>311.18469199999981</v>
      </c>
      <c r="CA113" s="13">
        <f t="shared" si="93"/>
        <v>73.51618606329977</v>
      </c>
      <c r="CB113" s="20">
        <f t="shared" si="64"/>
        <v>670.02069596024683</v>
      </c>
      <c r="CC113" s="59">
        <f t="shared" si="65"/>
        <v>963.3540292935802</v>
      </c>
      <c r="CD113" s="59">
        <f ca="1">AVERAGE(OFFSET($CC$3,0,0,'Données projet'!$E$12+1,1))-AVERAGE(OFFSET($H$3,0,0,'Données projet'!$E$12+1,1))</f>
        <v>593.28343396240075</v>
      </c>
      <c r="CE113" s="59">
        <f t="shared" si="94"/>
        <v>289.66477662068695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16.99106772820663</v>
      </c>
      <c r="CL113" s="21">
        <f>EXP(-LN(2)/25)*CL112+(1-EXP(-LN(2)/25))/(LN(2)/25)*Calculateur!CG113*Calculateur!CI113*VLOOKUP('Données projet'!$B$12,Paramètres!$A$1:$I$89,3,0)*0.475*44/12</f>
        <v>28.248670078211916</v>
      </c>
      <c r="CM113" s="21">
        <f>EXP(-LN(2)/2)*CM112+(1-EXP(-LN(2)/2))/(LN(2)/2)*CG113*CJ113*VLOOKUP('Données projet'!$B$12,Paramètres!$A$1:$I$89,3,0)*0.475*44/12</f>
        <v>0.55530457140545819</v>
      </c>
      <c r="CN113" s="22">
        <f t="shared" si="66"/>
        <v>45.795042377824004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8.8449999999999989</v>
      </c>
      <c r="CT113" s="12">
        <f>IF('Données projet'!$A$140&gt;35,CT112+CS113-DB112,IF(A113&lt;'Données projet'!$A$140,$CQ$205^A113,IF(A113='Données projet'!$A$140,'Données projet'!$B$140,CT112+CS113-DB112)))</f>
        <v>389.18000000000063</v>
      </c>
      <c r="CU113" s="17">
        <f>CT113*VLOOKUP('Données projet'!$B$13,Paramètres!$A$1:$I$89,3,0)*VLOOKUP('Données projet'!$B$13,Paramètres!$A$1:$I$89,5,0)</f>
        <v>418.91335200000066</v>
      </c>
      <c r="CV113" s="13">
        <f t="shared" si="95"/>
        <v>95.60068640475086</v>
      </c>
      <c r="CW113" s="20">
        <f t="shared" si="67"/>
        <v>896.11195022160882</v>
      </c>
      <c r="CX113" s="59">
        <f t="shared" si="68"/>
        <v>1189.4452835549421</v>
      </c>
      <c r="CY113" s="59">
        <f ca="1">AVERAGE(OFFSET($CX$3,0,0,'Données projet'!$E$13+1,1))-AVERAGE(OFFSET($H$3,0,0,'Données projet'!$E$13+1,1))</f>
        <v>747.18304127457918</v>
      </c>
      <c r="CZ113" s="59">
        <f t="shared" si="96"/>
        <v>327.03701004966723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34.96096432177653</v>
      </c>
      <c r="DG113" s="21">
        <f>EXP(-LN(2)/25)*DG112+(1-EXP(-LN(2)/25))/(LN(2)/25)*Calculateur!DB113*Calculateur!DD113*VLOOKUP('Données projet'!$B$13,Paramètres!$A$1:$I$89,3,0)*0.475*44/12</f>
        <v>27.222597163326423</v>
      </c>
      <c r="DH113" s="21">
        <f>EXP(-LN(2)/2)*DH112+(1-EXP(-LN(2)/2))/(LN(2)/2)*DB113*DE113*VLOOKUP('Données projet'!$B$13,Paramètres!$A$1:$I$89,3,0)*0.475*44/12</f>
        <v>0.86659024241563332</v>
      </c>
      <c r="DI113" s="22">
        <f t="shared" si="69"/>
        <v>63.050151727518589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353.37479213497227</v>
      </c>
      <c r="DU113" s="59">
        <f t="shared" si="98"/>
        <v>345.4750813433123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28.696439183987934</v>
      </c>
      <c r="EB113" s="21">
        <f>EXP(-LN(2)/25)*EB112+(1-EXP(-LN(2)/25))/(LN(2)/25)*Calculateur!DW113*Calculateur!DY113*VLOOKUP('Données projet'!$B$14,Paramètres!$A$1:$I$89,3,0)*0.475*44/12</f>
        <v>22.339958362676782</v>
      </c>
      <c r="EC113" s="21">
        <f>EXP(-LN(2)/2)*EC112+(1-EXP(-LN(2)/2))/(LN(2)/2)*DW113*DZ113*VLOOKUP('Données projet'!$B$14,Paramètres!$A$1:$I$89,3,0)*0.475*44/12</f>
        <v>1.9049475465210334E-3</v>
      </c>
      <c r="ED113" s="22">
        <f t="shared" si="72"/>
        <v>51.038302494211237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-4.5474735088646412E-13</v>
      </c>
      <c r="EK113" s="17">
        <f>EJ113*VLOOKUP('Données projet'!$B$15,Paramètres!$A$1:$I$89,3,0)*VLOOKUP('Données projet'!$B$15,Paramètres!$A$1:$I$89,5,0)</f>
        <v>-2.1282176021486519E-13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433.05041777893922</v>
      </c>
      <c r="EP113" s="59">
        <f t="shared" si="100"/>
        <v>591.24088611958996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318.33427629679227</v>
      </c>
      <c r="EW113" s="21">
        <f>EXP(-LN(2)/25)*EW112+(1-EXP(-LN(2)/25))/(LN(2)/25)*Calculateur!ER113*Calculateur!ET113*VLOOKUP('Données projet'!$B$15,Paramètres!$A$1:$I$89,3,0)*0.475*44/12</f>
        <v>93.454625065142338</v>
      </c>
      <c r="EX113" s="21">
        <f>EXP(-LN(2)/2)*EX112+(1-EXP(-LN(2)/2))/(LN(2)/2)*ER113*EU113*VLOOKUP('Données projet'!$B$15,Paramètres!$A$1:$I$89,3,0)*0.475*44/12</f>
        <v>8.6435778593662587</v>
      </c>
      <c r="EY113" s="22">
        <f t="shared" si="75"/>
        <v>420.43247922130087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-8.5265128291212022E-14</v>
      </c>
      <c r="FF113" s="17">
        <f>FE113*VLOOKUP('Données projet'!$B$16,Paramètres!$A$1:$I$89,3,0)*VLOOKUP('Données projet'!$B$16,Paramètres!$A$1:$I$89,5,0)</f>
        <v>-6.9167072069831198E-14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159.4660488566085</v>
      </c>
      <c r="FK113" s="59">
        <f t="shared" si="102"/>
        <v>135.33030558297088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9.2925854641089778</v>
      </c>
      <c r="FS113" s="21">
        <f>EXP(-LN(2)/2)*FS112+(1-EXP(-LN(2)/2))/(LN(2)/2)*FM113*FP113*VLOOKUP('Données projet'!$B$16,Paramètres!$A$1:$I$89,3,0)*0.475*44/12</f>
        <v>2.4458072678936224E-2</v>
      </c>
      <c r="FT113" s="22">
        <f t="shared" si="78"/>
        <v>9.3170435367879136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8.8449999999999989</v>
      </c>
      <c r="N114" s="13">
        <f>IF('Données projet'!$A$36&gt;35,N113+M114-V113,IF(A114&lt;'Données projet'!$A$36,$K$205^A114,IF(A114='Données projet'!$A$36,'Données projet'!$B$36,N113+M114-V113)))</f>
        <v>398.02500000000066</v>
      </c>
      <c r="O114" s="13">
        <f>N114*VLOOKUP('Données projet'!$B$9,Paramètres!$A$1:$I$89,3,0)*VLOOKUP('Données projet'!$B$9,Paramètres!$A$1:$I$89,5,0)</f>
        <v>403.59735000000074</v>
      </c>
      <c r="P114" s="13">
        <f t="shared" si="87"/>
        <v>92.505592268354718</v>
      </c>
      <c r="Q114" s="20">
        <f t="shared" si="107"/>
        <v>864.04595778405246</v>
      </c>
      <c r="R114" s="59">
        <f t="shared" si="55"/>
        <v>1157.3792911173857</v>
      </c>
      <c r="S114" s="59">
        <f ca="1">AVERAGE(OFFSET($R$3,0,0,'Données projet'!$E$9+1,1))-AVERAGE(OFFSET($H$3,0,0,'Données projet'!$E$9+1,1))</f>
        <v>706.69239849991595</v>
      </c>
      <c r="T114" s="59">
        <f t="shared" si="88"/>
        <v>310.59887275116529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32.288421359537601</v>
      </c>
      <c r="AA114" s="21">
        <f>EXP(-LN(2)/25)*AA113+(1-EXP(-LN(2)/25))/(LN(2)/25)*Calculateur!V114*Calculateur!X114*VLOOKUP('Données projet'!$B$9,Paramètres!$A$1:$I$89,3,0)*0.475*44/12</f>
        <v>24.943226055085095</v>
      </c>
      <c r="AB114" s="21">
        <f>EXP(-LN(2)/2)*AB113+(1-EXP(-LN(2)/2))/(LN(2)/2)*V114*Y114*VLOOKUP('Données projet'!$B$9,Paramètres!$A$1:$I$89,3,0)*0.475*44/12</f>
        <v>0.57724883188322096</v>
      </c>
      <c r="AC114" s="22">
        <f t="shared" si="57"/>
        <v>57.808896246505924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239.26156489359892</v>
      </c>
      <c r="AO114" s="59">
        <f t="shared" si="90"/>
        <v>213.97034450798111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7.13461866340739</v>
      </c>
      <c r="AV114" s="21">
        <f>EXP(-LN(2)/25)*AV113+(1-EXP(-LN(2)/25))/(LN(2)/25)*Calculateur!AQ114*Calculateur!AS114*VLOOKUP('Données projet'!$B$10,Paramètres!$A$1:$I$89,3,0)*0.475*44/12</f>
        <v>35.676617851494285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42.811236514901672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-1.7053025658242404E-13</v>
      </c>
      <c r="BE114" s="13">
        <f>BD114*VLOOKUP('Données projet'!$B$11,Paramètres!$A$1:$I$89,3,0)*VLOOKUP('Données projet'!$B$11,Paramètres!$A$1:$I$89,5,0)</f>
        <v>-1.4897523215040567E-13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324.86930206492627</v>
      </c>
      <c r="BJ114" s="59">
        <f t="shared" si="92"/>
        <v>317.03005098025352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24.936972081391115</v>
      </c>
      <c r="BQ114" s="21">
        <f>EXP(-LN(2)/25)*BQ113+(1-EXP(-LN(2)/25))/(LN(2)/25)*Calculateur!BL114*Calculateur!BN114*VLOOKUP('Données projet'!$B$11,Paramètres!$A$1:$I$89,3,0)*0.475*44/12</f>
        <v>19.693271334165466</v>
      </c>
      <c r="BR114" s="21">
        <f>EXP(-LN(2)/2)*BR113+(1-EXP(-LN(2)/2))/(LN(2)/2)*BL114*BO114*VLOOKUP('Données projet'!$B$11,Paramètres!$A$1:$I$89,3,0)*0.475*44/12</f>
        <v>1.2316538397410793E-3</v>
      </c>
      <c r="BS114" s="22">
        <f t="shared" si="63"/>
        <v>44.631475069396316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6.8811111111111085</v>
      </c>
      <c r="BY114" s="12">
        <f>IF('Données projet'!$A$114&gt;35,BY113+BX114-CG113,IF(A114&lt;'Données projet'!$A$114,$BV$205^A114,IF(A114='Données projet'!$A$114,'Données projet'!$B$114,BY113+BX114-CG113)))</f>
        <v>280.13777777777761</v>
      </c>
      <c r="BZ114" s="13">
        <f>BY114*VLOOKUP('Données projet'!$B$12,Paramètres!$A$1:$I$89,3,0)*VLOOKUP('Données projet'!$B$12,Paramètres!$A$1:$I$89,5,0)</f>
        <v>319.02090133333314</v>
      </c>
      <c r="CA114" s="13">
        <f t="shared" si="93"/>
        <v>75.149596825299852</v>
      </c>
      <c r="CB114" s="20">
        <f t="shared" si="64"/>
        <v>686.51361762628574</v>
      </c>
      <c r="CC114" s="59">
        <f t="shared" si="65"/>
        <v>979.84695095961911</v>
      </c>
      <c r="CD114" s="59">
        <f ca="1">AVERAGE(OFFSET($CC$3,0,0,'Données projet'!$E$12+1,1))-AVERAGE(OFFSET($H$3,0,0,'Données projet'!$E$12+1,1))</f>
        <v>593.28343396240075</v>
      </c>
      <c r="CE114" s="59">
        <f t="shared" si="94"/>
        <v>289.66477662068695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16.657883253584497</v>
      </c>
      <c r="CL114" s="21">
        <f>EXP(-LN(2)/25)*CL113+(1-EXP(-LN(2)/25))/(LN(2)/25)*Calculateur!CG114*Calculateur!CI114*VLOOKUP('Données projet'!$B$12,Paramètres!$A$1:$I$89,3,0)*0.475*44/12</f>
        <v>27.476208709390214</v>
      </c>
      <c r="CM114" s="21">
        <f>EXP(-LN(2)/2)*CM113+(1-EXP(-LN(2)/2))/(LN(2)/2)*CG114*CJ114*VLOOKUP('Données projet'!$B$12,Paramètres!$A$1:$I$89,3,0)*0.475*44/12</f>
        <v>0.3926596280646889</v>
      </c>
      <c r="CN114" s="22">
        <f t="shared" si="66"/>
        <v>44.5267515910394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8.8449999999999989</v>
      </c>
      <c r="CT114" s="12">
        <f>IF('Données projet'!$A$140&gt;35,CT113+CS114-DB113,IF(A114&lt;'Données projet'!$A$140,$CQ$205^A114,IF(A114='Données projet'!$A$140,'Données projet'!$B$140,CT113+CS114-DB113)))</f>
        <v>398.02500000000066</v>
      </c>
      <c r="CU114" s="17">
        <f>CT114*VLOOKUP('Données projet'!$B$13,Paramètres!$A$1:$I$89,3,0)*VLOOKUP('Données projet'!$B$13,Paramètres!$A$1:$I$89,5,0)</f>
        <v>428.43411000000071</v>
      </c>
      <c r="CV114" s="13">
        <f t="shared" si="95"/>
        <v>97.518003810942758</v>
      </c>
      <c r="CW114" s="20">
        <f t="shared" si="67"/>
        <v>916.03326488739322</v>
      </c>
      <c r="CX114" s="59">
        <f t="shared" si="68"/>
        <v>1209.3665982207265</v>
      </c>
      <c r="CY114" s="59">
        <f ca="1">AVERAGE(OFFSET($CX$3,0,0,'Données projet'!$E$13+1,1))-AVERAGE(OFFSET($H$3,0,0,'Données projet'!$E$13+1,1))</f>
        <v>747.18304127457918</v>
      </c>
      <c r="CZ114" s="59">
        <f t="shared" si="96"/>
        <v>327.03701004966723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34.275401135509149</v>
      </c>
      <c r="DG114" s="21">
        <f>EXP(-LN(2)/25)*DG113+(1-EXP(-LN(2)/25))/(LN(2)/25)*Calculateur!DB114*Calculateur!DD114*VLOOKUP('Données projet'!$B$13,Paramètres!$A$1:$I$89,3,0)*0.475*44/12</f>
        <v>26.478193812321095</v>
      </c>
      <c r="DH114" s="21">
        <f>EXP(-LN(2)/2)*DH113+(1-EXP(-LN(2)/2))/(LN(2)/2)*DB114*DE114*VLOOKUP('Données projet'!$B$13,Paramètres!$A$1:$I$89,3,0)*0.475*44/12</f>
        <v>0.6127718369221884</v>
      </c>
      <c r="DI114" s="22">
        <f t="shared" si="69"/>
        <v>61.366366784752429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353.37479213497227</v>
      </c>
      <c r="DU114" s="59">
        <f t="shared" si="98"/>
        <v>345.4750813433123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28.133719514689545</v>
      </c>
      <c r="EB114" s="21">
        <f>EXP(-LN(2)/25)*EB113+(1-EXP(-LN(2)/25))/(LN(2)/25)*Calculateur!DW114*Calculateur!DY114*VLOOKUP('Données projet'!$B$14,Paramètres!$A$1:$I$89,3,0)*0.475*44/12</f>
        <v>21.729071026442035</v>
      </c>
      <c r="EC114" s="21">
        <f>EXP(-LN(2)/2)*EC113+(1-EXP(-LN(2)/2))/(LN(2)/2)*DW114*DZ114*VLOOKUP('Données projet'!$B$14,Paramètres!$A$1:$I$89,3,0)*0.475*44/12</f>
        <v>1.3470013279496991E-3</v>
      </c>
      <c r="ED114" s="22">
        <f t="shared" si="72"/>
        <v>49.864137542459531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-4.5474735088646412E-13</v>
      </c>
      <c r="EK114" s="17">
        <f>EJ114*VLOOKUP('Données projet'!$B$15,Paramètres!$A$1:$I$89,3,0)*VLOOKUP('Données projet'!$B$15,Paramètres!$A$1:$I$89,5,0)</f>
        <v>-2.1282176021486519E-13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433.05041777893922</v>
      </c>
      <c r="EP114" s="59">
        <f t="shared" si="100"/>
        <v>591.24088611958996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312.09193530334852</v>
      </c>
      <c r="EW114" s="21">
        <f>EXP(-LN(2)/25)*EW113+(1-EXP(-LN(2)/25))/(LN(2)/25)*Calculateur!ER114*Calculateur!ET114*VLOOKUP('Données projet'!$B$15,Paramètres!$A$1:$I$89,3,0)*0.475*44/12</f>
        <v>90.899103428170875</v>
      </c>
      <c r="EX114" s="21">
        <f>EXP(-LN(2)/2)*EX113+(1-EXP(-LN(2)/2))/(LN(2)/2)*ER114*EU114*VLOOKUP('Données projet'!$B$15,Paramètres!$A$1:$I$89,3,0)*0.475*44/12</f>
        <v>6.1119325180717841</v>
      </c>
      <c r="EY114" s="22">
        <f t="shared" si="75"/>
        <v>409.10297124959118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-8.5265128291212022E-14</v>
      </c>
      <c r="FF114" s="17">
        <f>FE114*VLOOKUP('Données projet'!$B$16,Paramètres!$A$1:$I$89,3,0)*VLOOKUP('Données projet'!$B$16,Paramètres!$A$1:$I$89,5,0)</f>
        <v>-6.9167072069831198E-14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159.4660488566085</v>
      </c>
      <c r="FK114" s="59">
        <f t="shared" si="102"/>
        <v>135.33030558297088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9.0384792259170865</v>
      </c>
      <c r="FS114" s="21">
        <f>EXP(-LN(2)/2)*FS113+(1-EXP(-LN(2)/2))/(LN(2)/2)*FM114*FP114*VLOOKUP('Données projet'!$B$16,Paramètres!$A$1:$I$89,3,0)*0.475*44/12</f>
        <v>1.7294469046029232E-2</v>
      </c>
      <c r="FT114" s="22">
        <f t="shared" si="78"/>
        <v>9.0557736949631149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8.8449999999999989</v>
      </c>
      <c r="N115" s="13">
        <f>IF('Données projet'!$A$36&gt;35,N114+M115-V114,IF(A115&lt;'Données projet'!$A$36,$K$205^A115,IF(A115='Données projet'!$A$36,'Données projet'!$B$36,N114+M115-V114)))</f>
        <v>406.87000000000069</v>
      </c>
      <c r="O115" s="13">
        <f>N115*VLOOKUP('Données projet'!$B$9,Paramètres!$A$1:$I$89,3,0)*VLOOKUP('Données projet'!$B$9,Paramètres!$A$1:$I$89,5,0)</f>
        <v>412.56618000000077</v>
      </c>
      <c r="P115" s="13">
        <f t="shared" si="87"/>
        <v>94.319660957344354</v>
      </c>
      <c r="Q115" s="20">
        <f t="shared" si="107"/>
        <v>882.82617300070933</v>
      </c>
      <c r="R115" s="59">
        <f t="shared" si="55"/>
        <v>1176.1595063340426</v>
      </c>
      <c r="S115" s="59">
        <f ca="1">AVERAGE(OFFSET($R$3,0,0,'Données projet'!$E$9+1,1))-AVERAGE(OFFSET($H$3,0,0,'Données projet'!$E$9+1,1))</f>
        <v>706.69239849991595</v>
      </c>
      <c r="T115" s="59">
        <f t="shared" si="88"/>
        <v>310.59887275116529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31.655265110669479</v>
      </c>
      <c r="AA115" s="21">
        <f>EXP(-LN(2)/25)*AA114+(1-EXP(-LN(2)/25))/(LN(2)/25)*Calculateur!V115*Calculateur!X115*VLOOKUP('Données projet'!$B$9,Paramètres!$A$1:$I$89,3,0)*0.475*44/12</f>
        <v>24.261152226901544</v>
      </c>
      <c r="AB115" s="21">
        <f>EXP(-LN(2)/2)*AB114+(1-EXP(-LN(2)/2))/(LN(2)/2)*V115*Y115*VLOOKUP('Données projet'!$B$9,Paramètres!$A$1:$I$89,3,0)*0.475*44/12</f>
        <v>0.40817656345663889</v>
      </c>
      <c r="AC115" s="22">
        <f t="shared" si="57"/>
        <v>56.324593901027662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239.26156489359892</v>
      </c>
      <c r="AO115" s="59">
        <f t="shared" si="90"/>
        <v>213.97034450798111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6.9947131431056624</v>
      </c>
      <c r="AV115" s="21">
        <f>EXP(-LN(2)/25)*AV114+(1-EXP(-LN(2)/25))/(LN(2)/25)*Calculateur!AQ115*Calculateur!AS115*VLOOKUP('Données projet'!$B$10,Paramètres!$A$1:$I$89,3,0)*0.475*44/12</f>
        <v>34.701038860193378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41.695752003299042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-1.7053025658242404E-13</v>
      </c>
      <c r="BE115" s="13">
        <f>BD115*VLOOKUP('Données projet'!$B$11,Paramètres!$A$1:$I$89,3,0)*VLOOKUP('Données projet'!$B$11,Paramètres!$A$1:$I$89,5,0)</f>
        <v>-1.4897523215040567E-13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324.86930206492627</v>
      </c>
      <c r="BJ115" s="59">
        <f t="shared" si="92"/>
        <v>317.03005098025352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24.447973268926138</v>
      </c>
      <c r="BQ115" s="21">
        <f>EXP(-LN(2)/25)*BQ114+(1-EXP(-LN(2)/25))/(LN(2)/25)*Calculateur!BL115*Calculateur!BN115*VLOOKUP('Données projet'!$B$11,Paramètres!$A$1:$I$89,3,0)*0.475*44/12</f>
        <v>19.154757793908583</v>
      </c>
      <c r="BR115" s="21">
        <f>EXP(-LN(2)/2)*BR114+(1-EXP(-LN(2)/2))/(LN(2)/2)*BL115*BO115*VLOOKUP('Données projet'!$B$11,Paramètres!$A$1:$I$89,3,0)*0.475*44/12</f>
        <v>8.7091078215536643E-4</v>
      </c>
      <c r="BS115" s="22">
        <f t="shared" si="63"/>
        <v>43.603601973616875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6.8811111111111085</v>
      </c>
      <c r="BY115" s="12">
        <f>IF('Données projet'!$A$114&gt;35,BY114+BX115-CG114,IF(A115&lt;'Données projet'!$A$114,$BV$205^A115,IF(A115='Données projet'!$A$114,'Données projet'!$B$114,BY114+BX115-CG114)))</f>
        <v>287.01888888888874</v>
      </c>
      <c r="BZ115" s="13">
        <f>BY115*VLOOKUP('Données projet'!$B$12,Paramètres!$A$1:$I$89,3,0)*VLOOKUP('Données projet'!$B$12,Paramètres!$A$1:$I$89,5,0)</f>
        <v>326.85711066666653</v>
      </c>
      <c r="CA115" s="13">
        <f t="shared" si="93"/>
        <v>76.778343563812527</v>
      </c>
      <c r="CB115" s="20">
        <f t="shared" si="64"/>
        <v>702.99841611808426</v>
      </c>
      <c r="CC115" s="59">
        <f t="shared" si="65"/>
        <v>996.33174945141764</v>
      </c>
      <c r="CD115" s="59">
        <f ca="1">AVERAGE(OFFSET($CC$3,0,0,'Données projet'!$E$12+1,1))-AVERAGE(OFFSET($H$3,0,0,'Données projet'!$E$12+1,1))</f>
        <v>593.28343396240075</v>
      </c>
      <c r="CE115" s="59">
        <f t="shared" si="94"/>
        <v>289.66477662068695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16.331232323287242</v>
      </c>
      <c r="CL115" s="21">
        <f>EXP(-LN(2)/25)*CL114+(1-EXP(-LN(2)/25))/(LN(2)/25)*Calculateur!CG115*Calculateur!CI115*VLOOKUP('Données projet'!$B$12,Paramètres!$A$1:$I$89,3,0)*0.475*44/12</f>
        <v>26.724870337320919</v>
      </c>
      <c r="CM115" s="21">
        <f>EXP(-LN(2)/2)*CM114+(1-EXP(-LN(2)/2))/(LN(2)/2)*CG115*CJ115*VLOOKUP('Données projet'!$B$12,Paramètres!$A$1:$I$89,3,0)*0.475*44/12</f>
        <v>0.27765228570272915</v>
      </c>
      <c r="CN115" s="22">
        <f t="shared" si="66"/>
        <v>43.33375494631089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8.8449999999999989</v>
      </c>
      <c r="CT115" s="12">
        <f>IF('Données projet'!$A$140&gt;35,CT114+CS115-DB114,IF(A115&lt;'Données projet'!$A$140,$CQ$205^A115,IF(A115='Données projet'!$A$140,'Données projet'!$B$140,CT114+CS115-DB114)))</f>
        <v>406.87000000000069</v>
      </c>
      <c r="CU115" s="17">
        <f>CT115*VLOOKUP('Données projet'!$B$13,Paramètres!$A$1:$I$89,3,0)*VLOOKUP('Données projet'!$B$13,Paramètres!$A$1:$I$89,5,0)</f>
        <v>437.95486800000072</v>
      </c>
      <c r="CV115" s="13">
        <f t="shared" si="95"/>
        <v>99.430367733904333</v>
      </c>
      <c r="CW115" s="20">
        <f t="shared" si="67"/>
        <v>935.94595223655108</v>
      </c>
      <c r="CX115" s="59">
        <f t="shared" si="68"/>
        <v>1229.2792855698845</v>
      </c>
      <c r="CY115" s="59">
        <f ca="1">AVERAGE(OFFSET($CX$3,0,0,'Données projet'!$E$13+1,1))-AVERAGE(OFFSET($H$3,0,0,'Données projet'!$E$13+1,1))</f>
        <v>747.18304127457918</v>
      </c>
      <c r="CZ115" s="59">
        <f t="shared" si="96"/>
        <v>327.03701004966723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33.60328142517222</v>
      </c>
      <c r="DG115" s="21">
        <f>EXP(-LN(2)/25)*DG114+(1-EXP(-LN(2)/25))/(LN(2)/25)*Calculateur!DB115*Calculateur!DD115*VLOOKUP('Données projet'!$B$13,Paramètres!$A$1:$I$89,3,0)*0.475*44/12</f>
        <v>25.754146210095477</v>
      </c>
      <c r="DH115" s="21">
        <f>EXP(-LN(2)/2)*DH114+(1-EXP(-LN(2)/2))/(LN(2)/2)*DB115*DE115*VLOOKUP('Données projet'!$B$13,Paramètres!$A$1:$I$89,3,0)*0.475*44/12</f>
        <v>0.43329512120781666</v>
      </c>
      <c r="DI115" s="22">
        <f t="shared" si="69"/>
        <v>59.790722756475517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353.37479213497227</v>
      </c>
      <c r="DU115" s="59">
        <f t="shared" si="98"/>
        <v>345.4750813433123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27.582034434880992</v>
      </c>
      <c r="EB115" s="21">
        <f>EXP(-LN(2)/25)*EB114+(1-EXP(-LN(2)/25))/(LN(2)/25)*Calculateur!DW115*Calculateur!DY115*VLOOKUP('Données projet'!$B$14,Paramètres!$A$1:$I$89,3,0)*0.475*44/12</f>
        <v>21.134888436541797</v>
      </c>
      <c r="EC115" s="21">
        <f>EXP(-LN(2)/2)*EC114+(1-EXP(-LN(2)/2))/(LN(2)/2)*DW115*DZ115*VLOOKUP('Données projet'!$B$14,Paramètres!$A$1:$I$89,3,0)*0.475*44/12</f>
        <v>9.5247377326051694E-4</v>
      </c>
      <c r="ED115" s="22">
        <f t="shared" si="72"/>
        <v>48.717875345196049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-4.5474735088646412E-13</v>
      </c>
      <c r="EK115" s="17">
        <f>EJ115*VLOOKUP('Données projet'!$B$15,Paramètres!$A$1:$I$89,3,0)*VLOOKUP('Données projet'!$B$15,Paramètres!$A$1:$I$89,5,0)</f>
        <v>-2.1282176021486519E-13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433.05041777893922</v>
      </c>
      <c r="EP115" s="59">
        <f t="shared" si="100"/>
        <v>591.24088611958996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305.97200280933419</v>
      </c>
      <c r="EW115" s="21">
        <f>EXP(-LN(2)/25)*EW114+(1-EXP(-LN(2)/25))/(LN(2)/25)*Calculateur!ER115*Calculateur!ET115*VLOOKUP('Données projet'!$B$15,Paramètres!$A$1:$I$89,3,0)*0.475*44/12</f>
        <v>88.413462664751449</v>
      </c>
      <c r="EX115" s="21">
        <f>EXP(-LN(2)/2)*EX114+(1-EXP(-LN(2)/2))/(LN(2)/2)*ER115*EU115*VLOOKUP('Données projet'!$B$15,Paramètres!$A$1:$I$89,3,0)*0.475*44/12</f>
        <v>4.3217889296831293</v>
      </c>
      <c r="EY115" s="22">
        <f t="shared" si="75"/>
        <v>398.70725440376879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-8.5265128291212022E-14</v>
      </c>
      <c r="FF115" s="17">
        <f>FE115*VLOOKUP('Données projet'!$B$16,Paramètres!$A$1:$I$89,3,0)*VLOOKUP('Données projet'!$B$16,Paramètres!$A$1:$I$89,5,0)</f>
        <v>-6.9167072069831198E-14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159.4660488566085</v>
      </c>
      <c r="FK115" s="59">
        <f t="shared" si="102"/>
        <v>135.33030558297088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8.7913215361714183</v>
      </c>
      <c r="FS115" s="21">
        <f>EXP(-LN(2)/2)*FS114+(1-EXP(-LN(2)/2))/(LN(2)/2)*FM115*FP115*VLOOKUP('Données projet'!$B$16,Paramètres!$A$1:$I$89,3,0)*0.475*44/12</f>
        <v>1.2229036339468112E-2</v>
      </c>
      <c r="FT115" s="22">
        <f t="shared" si="78"/>
        <v>8.8035505725108862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8.8449999999999989</v>
      </c>
      <c r="N116" s="13">
        <f>IF('Données projet'!$A$36&gt;35,N115+M116-V115,IF(A116&lt;'Données projet'!$A$36,$K$205^A116,IF(A116='Données projet'!$A$36,'Données projet'!$B$36,N115+M116-V115)))</f>
        <v>415.71500000000071</v>
      </c>
      <c r="O116" s="13">
        <f>N116*VLOOKUP('Données projet'!$B$9,Paramètres!$A$1:$I$89,3,0)*VLOOKUP('Données projet'!$B$9,Paramètres!$A$1:$I$89,5,0)</f>
        <v>421.5350100000008</v>
      </c>
      <c r="P116" s="13">
        <f t="shared" si="87"/>
        <v>96.129144685048502</v>
      </c>
      <c r="Q116" s="20">
        <f t="shared" si="107"/>
        <v>901.59840274312739</v>
      </c>
      <c r="R116" s="59">
        <f t="shared" si="55"/>
        <v>1194.9317360764608</v>
      </c>
      <c r="S116" s="59">
        <f ca="1">AVERAGE(OFFSET($R$3,0,0,'Données projet'!$E$9+1,1))-AVERAGE(OFFSET($H$3,0,0,'Données projet'!$E$9+1,1))</f>
        <v>706.69239849991595</v>
      </c>
      <c r="T116" s="59">
        <f t="shared" si="88"/>
        <v>310.59887275116529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31.034524669654481</v>
      </c>
      <c r="AA116" s="21">
        <f>EXP(-LN(2)/25)*AA115+(1-EXP(-LN(2)/25))/(LN(2)/25)*Calculateur!V116*Calculateur!X116*VLOOKUP('Données projet'!$B$9,Paramètres!$A$1:$I$89,3,0)*0.475*44/12</f>
        <v>23.597729743418377</v>
      </c>
      <c r="AB116" s="21">
        <f>EXP(-LN(2)/2)*AB115+(1-EXP(-LN(2)/2))/(LN(2)/2)*V116*Y116*VLOOKUP('Données projet'!$B$9,Paramètres!$A$1:$I$89,3,0)*0.475*44/12</f>
        <v>0.28862441594161048</v>
      </c>
      <c r="AC116" s="22">
        <f t="shared" si="57"/>
        <v>54.92087882901447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239.26156489359892</v>
      </c>
      <c r="AO116" s="59">
        <f t="shared" si="90"/>
        <v>213.97034450798111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6.8575510847231103</v>
      </c>
      <c r="AV116" s="21">
        <f>EXP(-LN(2)/25)*AV115+(1-EXP(-LN(2)/25))/(LN(2)/25)*Calculateur!AQ116*Calculateur!AS116*VLOOKUP('Données projet'!$B$10,Paramètres!$A$1:$I$89,3,0)*0.475*44/12</f>
        <v>33.75213712771307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40.609688212436183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-1.7053025658242404E-13</v>
      </c>
      <c r="BE116" s="13">
        <f>BD116*VLOOKUP('Données projet'!$B$11,Paramètres!$A$1:$I$89,3,0)*VLOOKUP('Données projet'!$B$11,Paramètres!$A$1:$I$89,5,0)</f>
        <v>-1.4897523215040567E-13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324.86930206492627</v>
      </c>
      <c r="BJ116" s="59">
        <f t="shared" si="92"/>
        <v>317.03005098025352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23.968563424913771</v>
      </c>
      <c r="BQ116" s="21">
        <f>EXP(-LN(2)/25)*BQ115+(1-EXP(-LN(2)/25))/(LN(2)/25)*Calculateur!BL116*Calculateur!BN116*VLOOKUP('Données projet'!$B$11,Paramètres!$A$1:$I$89,3,0)*0.475*44/12</f>
        <v>18.630969934729219</v>
      </c>
      <c r="BR116" s="21">
        <f>EXP(-LN(2)/2)*BR115+(1-EXP(-LN(2)/2))/(LN(2)/2)*BL116*BO116*VLOOKUP('Données projet'!$B$11,Paramètres!$A$1:$I$89,3,0)*0.475*44/12</f>
        <v>6.1582691987053964E-4</v>
      </c>
      <c r="BS116" s="22">
        <f t="shared" si="63"/>
        <v>42.600149186562859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293.89999999999998</v>
      </c>
      <c r="BW116" s="12">
        <f>VLOOKUP(A116,'Données projet'!$A$113:$I$133,9,0)</f>
        <v>6.8811111111111085</v>
      </c>
      <c r="BX116" s="12">
        <f t="array" ref="BX116">INDEX(BW:BW,MIN(IF(ISNUMBER(BW116:BW312),ROW(BW116:BW312),"")))</f>
        <v>6.8811111111111085</v>
      </c>
      <c r="BY116" s="12">
        <f>IF('Données projet'!$A$114&gt;35,BY115+BX116-CG115,IF(A116&lt;'Données projet'!$A$114,$BV$205^A116,IF(A116='Données projet'!$A$114,'Données projet'!$B$114,BY115+BX116-CG115)))</f>
        <v>293.89999999999986</v>
      </c>
      <c r="BZ116" s="13">
        <f>BY116*VLOOKUP('Données projet'!$B$12,Paramètres!$A$1:$I$89,3,0)*VLOOKUP('Données projet'!$B$12,Paramètres!$A$1:$I$89,5,0)</f>
        <v>334.69331999999986</v>
      </c>
      <c r="CA116" s="13">
        <f t="shared" si="93"/>
        <v>78.402550961752141</v>
      </c>
      <c r="CB116" s="20">
        <f t="shared" si="64"/>
        <v>719.47530859171786</v>
      </c>
      <c r="CC116" s="59">
        <f t="shared" si="65"/>
        <v>1012.8086419250512</v>
      </c>
      <c r="CD116" s="59">
        <f ca="1">AVERAGE(OFFSET($CC$3,0,0,'Données projet'!$E$12+1,1))-AVERAGE(OFFSET($H$3,0,0,'Données projet'!$E$12+1,1))</f>
        <v>593.28343396240075</v>
      </c>
      <c r="CE116" s="59">
        <f t="shared" si="94"/>
        <v>289.66477662068695</v>
      </c>
      <c r="CF116" s="15">
        <f>IF(ISNA(VLOOKUP(A116,'Données projet'!$A$113:$I$133,3,0)),0,VLOOKUP(A116,'Données projet'!$A$113:$I$133,3,0))</f>
        <v>7</v>
      </c>
      <c r="CG116" s="15">
        <f>IF(ISNA(VLOOKUP(A116,'Données projet'!$A$113:$I$133,4,0)),0,VLOOKUP(A116,'Données projet'!$A$113:$I$133,4,0))</f>
        <v>41.639999999999986</v>
      </c>
      <c r="CH116" s="16">
        <f>IF(ISNA(VLOOKUP(A116,'Données projet'!$A$113:$I$133,5,0)),0%,VLOOKUP(A116,'Données projet'!$A$113:$I$133,5,0)*VLOOKUP('Données projet'!$B$12,Paramètres!$A$1:$I$89,7,0))</f>
        <v>0.15049999999999999</v>
      </c>
      <c r="CI116" s="16">
        <f>IF(ISNA(VLOOKUP(A116,'Données projet'!$A$113:$I$133,6,0)),0%,VLOOKUP(A116,'Données projet'!$A$113:$I$133,6,0)*VLOOKUP('Données projet'!$B$12,Paramètres!$A$1:$I$89,7,0))</f>
        <v>8.6000000000000007E-2</v>
      </c>
      <c r="CJ116" s="16">
        <f>IF(ISNA(VLOOKUP(A116,'Données projet'!$A$113:$I$133,7,0)),0%,VLOOKUP(A116,'Données projet'!$A$113:$I$133,7,0))</f>
        <v>0.1</v>
      </c>
      <c r="CK116" s="21">
        <f>EXP(-LN(2)/35)*CK115+(1-EXP(-LN(2)/35))/(LN(2)/35)*CG116*CH116*VLOOKUP('Données projet'!$B$12,Paramètres!$A$1:$I$89,3,0)*0.475*44/12</f>
        <v>23.900347105440822</v>
      </c>
      <c r="CL116" s="21">
        <f>EXP(-LN(2)/25)*CL115+(1-EXP(-LN(2)/25))/(LN(2)/25)*Calculateur!CG116*Calculateur!CI116*VLOOKUP('Données projet'!$B$12,Paramètres!$A$1:$I$89,3,0)*0.475*44/12</f>
        <v>30.484532706497571</v>
      </c>
      <c r="CM116" s="21">
        <f>EXP(-LN(2)/2)*CM115+(1-EXP(-LN(2)/2))/(LN(2)/2)*CG116*CJ116*VLOOKUP('Données projet'!$B$12,Paramètres!$A$1:$I$89,3,0)*0.475*44/12</f>
        <v>4.6704997213006356</v>
      </c>
      <c r="CN116" s="22">
        <f t="shared" si="66"/>
        <v>59.055379533239027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8.8449999999999989</v>
      </c>
      <c r="CT116" s="12">
        <f>IF('Données projet'!$A$140&gt;35,CT115+CS116-DB115,IF(A116&lt;'Données projet'!$A$140,$CQ$205^A116,IF(A116='Données projet'!$A$140,'Données projet'!$B$140,CT115+CS116-DB115)))</f>
        <v>415.71500000000071</v>
      </c>
      <c r="CU116" s="17">
        <f>CT116*VLOOKUP('Données projet'!$B$13,Paramètres!$A$1:$I$89,3,0)*VLOOKUP('Données projet'!$B$13,Paramètres!$A$1:$I$89,5,0)</f>
        <v>447.47562600000077</v>
      </c>
      <c r="CV116" s="13">
        <f t="shared" si="95"/>
        <v>101.33789825965043</v>
      </c>
      <c r="CW116" s="20">
        <f t="shared" si="67"/>
        <v>955.85022141889249</v>
      </c>
      <c r="CX116" s="59">
        <f t="shared" si="68"/>
        <v>1249.1835547522257</v>
      </c>
      <c r="CY116" s="59">
        <f ca="1">AVERAGE(OFFSET($CX$3,0,0,'Données projet'!$E$13+1,1))-AVERAGE(OFFSET($H$3,0,0,'Données projet'!$E$13+1,1))</f>
        <v>747.18304127457918</v>
      </c>
      <c r="CZ116" s="59">
        <f t="shared" si="96"/>
        <v>327.03701004966723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32.94434157240245</v>
      </c>
      <c r="DG116" s="21">
        <f>EXP(-LN(2)/25)*DG115+(1-EXP(-LN(2)/25))/(LN(2)/25)*Calculateur!DB116*Calculateur!DD116*VLOOKUP('Données projet'!$B$13,Paramètres!$A$1:$I$89,3,0)*0.475*44/12</f>
        <v>25.049897727628728</v>
      </c>
      <c r="DH116" s="21">
        <f>EXP(-LN(2)/2)*DH115+(1-EXP(-LN(2)/2))/(LN(2)/2)*DB116*DE116*VLOOKUP('Données projet'!$B$13,Paramètres!$A$1:$I$89,3,0)*0.475*44/12</f>
        <v>0.3063859184610942</v>
      </c>
      <c r="DI116" s="22">
        <f t="shared" si="69"/>
        <v>58.300625218492279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353.37479213497227</v>
      </c>
      <c r="DU116" s="59">
        <f t="shared" si="98"/>
        <v>345.4750813433123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27.041167562992811</v>
      </c>
      <c r="EB116" s="21">
        <f>EXP(-LN(2)/25)*EB115+(1-EXP(-LN(2)/25))/(LN(2)/25)*Calculateur!DW116*Calculateur!DY116*VLOOKUP('Données projet'!$B$14,Paramètres!$A$1:$I$89,3,0)*0.475*44/12</f>
        <v>20.556953800809083</v>
      </c>
      <c r="EC116" s="21">
        <f>EXP(-LN(2)/2)*EC115+(1-EXP(-LN(2)/2))/(LN(2)/2)*DW116*DZ116*VLOOKUP('Données projet'!$B$14,Paramètres!$A$1:$I$89,3,0)*0.475*44/12</f>
        <v>6.7350066397484966E-4</v>
      </c>
      <c r="ED116" s="22">
        <f t="shared" si="72"/>
        <v>47.598794864465866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-4.5474735088646412E-13</v>
      </c>
      <c r="EK116" s="17">
        <f>EJ116*VLOOKUP('Données projet'!$B$15,Paramètres!$A$1:$I$89,3,0)*VLOOKUP('Données projet'!$B$15,Paramètres!$A$1:$I$89,5,0)</f>
        <v>-2.1282176021486519E-13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433.05041777893922</v>
      </c>
      <c r="EP116" s="59">
        <f t="shared" si="100"/>
        <v>591.24088611958996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299.9720784587372</v>
      </c>
      <c r="EW116" s="21">
        <f>EXP(-LN(2)/25)*EW115+(1-EXP(-LN(2)/25))/(LN(2)/25)*Calculateur!ER116*Calculateur!ET116*VLOOKUP('Données projet'!$B$15,Paramètres!$A$1:$I$89,3,0)*0.475*44/12</f>
        <v>85.995791878721889</v>
      </c>
      <c r="EX116" s="21">
        <f>EXP(-LN(2)/2)*EX115+(1-EXP(-LN(2)/2))/(LN(2)/2)*ER116*EU116*VLOOKUP('Données projet'!$B$15,Paramètres!$A$1:$I$89,3,0)*0.475*44/12</f>
        <v>3.055966259035892</v>
      </c>
      <c r="EY116" s="22">
        <f t="shared" si="75"/>
        <v>389.02383659649496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-8.5265128291212022E-14</v>
      </c>
      <c r="FF116" s="17">
        <f>FE116*VLOOKUP('Données projet'!$B$16,Paramètres!$A$1:$I$89,3,0)*VLOOKUP('Données projet'!$B$16,Paramètres!$A$1:$I$89,5,0)</f>
        <v>-6.9167072069831198E-14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159.4660488566085</v>
      </c>
      <c r="FK116" s="59">
        <f t="shared" si="102"/>
        <v>135.33030558297088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8.5509223864493045</v>
      </c>
      <c r="FS116" s="21">
        <f>EXP(-LN(2)/2)*FS115+(1-EXP(-LN(2)/2))/(LN(2)/2)*FM116*FP116*VLOOKUP('Données projet'!$B$16,Paramètres!$A$1:$I$89,3,0)*0.475*44/12</f>
        <v>8.6472345230146162E-3</v>
      </c>
      <c r="FT116" s="22">
        <f t="shared" si="78"/>
        <v>8.5595696209723187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424.56</v>
      </c>
      <c r="L117" s="12">
        <f>VLOOKUP(A117,'Données projet'!$A$35:$I$55,9,0)</f>
        <v>8.8449999999999989</v>
      </c>
      <c r="M117" s="12">
        <f t="array" ref="M117">INDEX(L:L,MIN(IF(ISNUMBER(L117:L313),ROW(L117:L313),"")))</f>
        <v>8.8449999999999989</v>
      </c>
      <c r="N117" s="13">
        <f>IF('Données projet'!$A$36&gt;35,N116+M117-V116,IF(A117&lt;'Données projet'!$A$36,$K$205^A117,IF(A117='Données projet'!$A$36,'Données projet'!$B$36,N116+M117-V116)))</f>
        <v>424.56000000000074</v>
      </c>
      <c r="O117" s="13">
        <f>N117*VLOOKUP('Données projet'!$B$9,Paramètres!$A$1:$I$89,3,0)*VLOOKUP('Données projet'!$B$9,Paramètres!$A$1:$I$89,5,0)</f>
        <v>430.50384000000082</v>
      </c>
      <c r="P117" s="13">
        <f t="shared" si="87"/>
        <v>97.934152240758081</v>
      </c>
      <c r="Q117" s="20">
        <f t="shared" si="107"/>
        <v>920.3628364859884</v>
      </c>
      <c r="R117" s="59">
        <f t="shared" si="55"/>
        <v>1213.6961698193218</v>
      </c>
      <c r="S117" s="59">
        <f ca="1">AVERAGE(OFFSET($R$3,0,0,'Données projet'!$E$9+1,1))-AVERAGE(OFFSET($H$3,0,0,'Données projet'!$E$9+1,1))</f>
        <v>706.69239849991595</v>
      </c>
      <c r="T117" s="59">
        <f t="shared" si="88"/>
        <v>310.59887275116529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61.860000000000014</v>
      </c>
      <c r="W117" s="16">
        <f>IF(ISNA(VLOOKUP(A117,'Données projet'!$A$35:$I$55,5,0)),0%,VLOOKUP(A117,'Données projet'!$A$35:$I$55,5,0)*VLOOKUP('Données projet'!$B$9,Paramètres!$A$1:$I$89,7,0))</f>
        <v>0.15049999999999999</v>
      </c>
      <c r="X117" s="16">
        <f>IF(ISNA(VLOOKUP(A117,'Données projet'!$A$35:$I$55,6,0)),0%,VLOOKUP(A117,'Données projet'!$A$35:$I$55,6,0)*VLOOKUP('Données projet'!$B$9,Paramètres!$A$1:$I$89,7,0))</f>
        <v>8.6000000000000007E-2</v>
      </c>
      <c r="Y117" s="16">
        <f>IF(ISNA(VLOOKUP(A117,'Données projet'!$A$35:$I$55,7,0)),0%,VLOOKUP(A117,'Données projet'!$A$35:$I$55,7,0))</f>
        <v>0.1</v>
      </c>
      <c r="Z117" s="21">
        <f>EXP(-LN(2)/35)*Z116+(1-EXP(-LN(2)/35))/(LN(2)/35)*V117*W117*VLOOKUP('Données projet'!$B$9,Paramètres!$A$1:$I$89,3,0)*0.475*44/12</f>
        <v>40.861894346506055</v>
      </c>
      <c r="AA117" s="21">
        <f>EXP(-LN(2)/25)*AA116+(1-EXP(-LN(2)/25))/(LN(2)/25)*Calculateur!V117*Calculateur!X117*VLOOKUP('Données projet'!$B$9,Paramètres!$A$1:$I$89,3,0)*0.475*44/12</f>
        <v>28.892361447206902</v>
      </c>
      <c r="AB117" s="21">
        <f>EXP(-LN(2)/2)*AB116+(1-EXP(-LN(2)/2))/(LN(2)/2)*V117*Y117*VLOOKUP('Données projet'!$B$9,Paramètres!$A$1:$I$89,3,0)*0.475*44/12</f>
        <v>6.1224589803897382</v>
      </c>
      <c r="AC117" s="22">
        <f t="shared" si="57"/>
        <v>75.876714774102695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239.26156489359892</v>
      </c>
      <c r="AO117" s="59">
        <f t="shared" si="90"/>
        <v>213.97034450798111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6.7230786906448454</v>
      </c>
      <c r="AV117" s="21">
        <f>EXP(-LN(2)/25)*AV116+(1-EXP(-LN(2)/25))/(LN(2)/25)*Calculateur!AQ117*Calculateur!AS117*VLOOKUP('Données projet'!$B$10,Paramètres!$A$1:$I$89,3,0)*0.475*44/12</f>
        <v>32.829183163008004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39.552261853652851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-1.7053025658242404E-13</v>
      </c>
      <c r="BE117" s="13">
        <f>BD117*VLOOKUP('Données projet'!$B$11,Paramètres!$A$1:$I$89,3,0)*VLOOKUP('Données projet'!$B$11,Paramètres!$A$1:$I$89,5,0)</f>
        <v>-1.4897523215040567E-13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324.86930206492627</v>
      </c>
      <c r="BJ117" s="59">
        <f t="shared" si="92"/>
        <v>317.03005098025352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23.498554515531357</v>
      </c>
      <c r="BQ117" s="21">
        <f>EXP(-LN(2)/25)*BQ116+(1-EXP(-LN(2)/25))/(LN(2)/25)*Calculateur!BL117*Calculateur!BN117*VLOOKUP('Données projet'!$B$11,Paramètres!$A$1:$I$89,3,0)*0.475*44/12</f>
        <v>18.121505082103923</v>
      </c>
      <c r="BR117" s="21">
        <f>EXP(-LN(2)/2)*BR116+(1-EXP(-LN(2)/2))/(LN(2)/2)*BL117*BO117*VLOOKUP('Données projet'!$B$11,Paramètres!$A$1:$I$89,3,0)*0.475*44/12</f>
        <v>4.3545539107768321E-4</v>
      </c>
      <c r="BS117" s="22">
        <f t="shared" si="63"/>
        <v>41.620495053026353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7.0011111111111104</v>
      </c>
      <c r="BY117" s="12">
        <f>IF('Données projet'!$A$114&gt;35,BY116+BX117-CG116,IF(A117&lt;'Données projet'!$A$114,$BV$205^A117,IF(A117='Données projet'!$A$114,'Données projet'!$B$114,BY116+BX117-CG116)))</f>
        <v>259.26111111111101</v>
      </c>
      <c r="BZ117" s="13">
        <f>BY117*VLOOKUP('Données projet'!$B$12,Paramètres!$A$1:$I$89,3,0)*VLOOKUP('Données projet'!$B$12,Paramètres!$A$1:$I$89,5,0)</f>
        <v>295.24655333333322</v>
      </c>
      <c r="CA117" s="13">
        <f t="shared" si="93"/>
        <v>70.179034062439342</v>
      </c>
      <c r="CB117" s="20">
        <f t="shared" si="64"/>
        <v>636.44956471430385</v>
      </c>
      <c r="CC117" s="59">
        <f t="shared" si="65"/>
        <v>929.78289804763722</v>
      </c>
      <c r="CD117" s="59">
        <f ca="1">AVERAGE(OFFSET($CC$3,0,0,'Données projet'!$E$12+1,1))-AVERAGE(OFFSET($H$3,0,0,'Données projet'!$E$12+1,1))</f>
        <v>593.28343396240075</v>
      </c>
      <c r="CE117" s="59">
        <f t="shared" si="94"/>
        <v>289.66477662068695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23.431675876475428</v>
      </c>
      <c r="CL117" s="21">
        <f>EXP(-LN(2)/25)*CL116+(1-EXP(-LN(2)/25))/(LN(2)/25)*Calculateur!CG117*Calculateur!CI117*VLOOKUP('Données projet'!$B$12,Paramètres!$A$1:$I$89,3,0)*0.475*44/12</f>
        <v>29.650931556526494</v>
      </c>
      <c r="CM117" s="21">
        <f>EXP(-LN(2)/2)*CM116+(1-EXP(-LN(2)/2))/(LN(2)/2)*CG117*CJ117*VLOOKUP('Données projet'!$B$12,Paramètres!$A$1:$I$89,3,0)*0.475*44/12</f>
        <v>3.3025420244615598</v>
      </c>
      <c r="CN117" s="22">
        <f t="shared" si="66"/>
        <v>56.385149457463484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>
        <f>VLOOKUP(A117,'Données projet'!$A$139:$I$159,2,0)</f>
        <v>424.56</v>
      </c>
      <c r="CR117" s="12">
        <f>VLOOKUP(A117,'Données projet'!$A$139:$I$159,9,0)</f>
        <v>8.8449999999999989</v>
      </c>
      <c r="CS117" s="12">
        <f t="array" ref="CS117">INDEX(CR:CR,MIN(IF(ISNUMBER(CR117:CR313),ROW(CR117:CR313),"")))</f>
        <v>8.8449999999999989</v>
      </c>
      <c r="CT117" s="12">
        <f>IF('Données projet'!$A$140&gt;35,CT116+CS117-DB116,IF(A117&lt;'Données projet'!$A$140,$CQ$205^A117,IF(A117='Données projet'!$A$140,'Données projet'!$B$140,CT116+CS117-DB116)))</f>
        <v>424.56000000000074</v>
      </c>
      <c r="CU117" s="17">
        <f>CT117*VLOOKUP('Données projet'!$B$13,Paramètres!$A$1:$I$89,3,0)*VLOOKUP('Données projet'!$B$13,Paramètres!$A$1:$I$89,5,0)</f>
        <v>456.99638400000077</v>
      </c>
      <c r="CV117" s="13">
        <f t="shared" si="95"/>
        <v>103.24071007221448</v>
      </c>
      <c r="CW117" s="20">
        <f t="shared" si="67"/>
        <v>975.74627217577506</v>
      </c>
      <c r="CX117" s="59">
        <f t="shared" si="68"/>
        <v>1269.0796055091084</v>
      </c>
      <c r="CY117" s="59">
        <f ca="1">AVERAGE(OFFSET($CX$3,0,0,'Données projet'!$E$13+1,1))-AVERAGE(OFFSET($H$3,0,0,'Données projet'!$E$13+1,1))</f>
        <v>747.18304127457918</v>
      </c>
      <c r="CZ117" s="59">
        <f t="shared" si="96"/>
        <v>327.03701004966723</v>
      </c>
      <c r="DA117" s="15">
        <f>IF(ISNA(VLOOKUP(A117,'Données projet'!$A$139:$I$159,3,0)),0,VLOOKUP(A117,'Données projet'!$A$139:$I$159,3,0))</f>
        <v>9</v>
      </c>
      <c r="DB117" s="15">
        <f>IF(ISNA(VLOOKUP(A117,'Données projet'!$A$139:$I$159,4,0)),0,VLOOKUP(A117,'Données projet'!$A$139:$I$159,4,0))</f>
        <v>61.860000000000014</v>
      </c>
      <c r="DC117" s="16">
        <f>IF(ISNA(VLOOKUP(A117,'Données projet'!$A$139:$I$159,5,0)),0%,VLOOKUP(A117,'Données projet'!$A$139:$I$159,5,0)*VLOOKUP('Données projet'!$B$13,Paramètres!$A$1:$I$89,7,0))</f>
        <v>0.15049999999999999</v>
      </c>
      <c r="DD117" s="16">
        <f>IF(ISNA(VLOOKUP(A117,'Données projet'!$A$139:$I$159,6,0)),0%,VLOOKUP(A117,'Données projet'!$A$139:$I$159,6,0)*VLOOKUP('Données projet'!$B$13,Paramètres!$A$1:$I$89,7,0))</f>
        <v>8.6000000000000007E-2</v>
      </c>
      <c r="DE117" s="16">
        <f>IF(ISNA(VLOOKUP(A117,'Données projet'!$A$139:$I$159,7,0)),0%,VLOOKUP(A117,'Données projet'!$A$139:$I$159,7,0))</f>
        <v>0.1</v>
      </c>
      <c r="DF117" s="21">
        <f>EXP(-LN(2)/35)*DF116+(1-EXP(-LN(2)/35))/(LN(2)/35)*DB117*DC117*VLOOKUP('Données projet'!$B$13,Paramètres!$A$1:$I$89,3,0)*0.475*44/12</f>
        <v>43.376472460137194</v>
      </c>
      <c r="DG117" s="21">
        <f>EXP(-LN(2)/25)*DG116+(1-EXP(-LN(2)/25))/(LN(2)/25)*Calculateur!DB117*Calculateur!DD117*VLOOKUP('Données projet'!$B$13,Paramètres!$A$1:$I$89,3,0)*0.475*44/12</f>
        <v>30.670352920881161</v>
      </c>
      <c r="DH117" s="21">
        <f>EXP(-LN(2)/2)*DH116+(1-EXP(-LN(2)/2))/(LN(2)/2)*DB117*DE117*VLOOKUP('Données projet'!$B$13,Paramètres!$A$1:$I$89,3,0)*0.475*44/12</f>
        <v>6.4992256868752589</v>
      </c>
      <c r="DI117" s="22">
        <f t="shared" si="69"/>
        <v>80.546051067893615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353.37479213497227</v>
      </c>
      <c r="DU117" s="59">
        <f t="shared" si="98"/>
        <v>345.4750813433123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26.51090676056614</v>
      </c>
      <c r="EB117" s="21">
        <f>EXP(-LN(2)/25)*EB116+(1-EXP(-LN(2)/25))/(LN(2)/25)*Calculateur!DW117*Calculateur!DY117*VLOOKUP('Données projet'!$B$14,Paramètres!$A$1:$I$89,3,0)*0.475*44/12</f>
        <v>19.994822818082742</v>
      </c>
      <c r="EC117" s="21">
        <f>EXP(-LN(2)/2)*EC116+(1-EXP(-LN(2)/2))/(LN(2)/2)*DW117*DZ117*VLOOKUP('Données projet'!$B$14,Paramètres!$A$1:$I$89,3,0)*0.475*44/12</f>
        <v>4.7623688663025852E-4</v>
      </c>
      <c r="ED117" s="22">
        <f t="shared" si="72"/>
        <v>46.506205815535516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-4.5474735088646412E-13</v>
      </c>
      <c r="EK117" s="17">
        <f>EJ117*VLOOKUP('Données projet'!$B$15,Paramètres!$A$1:$I$89,3,0)*VLOOKUP('Données projet'!$B$15,Paramètres!$A$1:$I$89,5,0)</f>
        <v>-2.1282176021486519E-13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433.05041777893922</v>
      </c>
      <c r="EP117" s="59">
        <f t="shared" si="100"/>
        <v>591.24088611958996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294.08980896506296</v>
      </c>
      <c r="EW117" s="21">
        <f>EXP(-LN(2)/25)*EW116+(1-EXP(-LN(2)/25))/(LN(2)/25)*Calculateur!ER117*Calculateur!ET117*VLOOKUP('Données projet'!$B$15,Paramètres!$A$1:$I$89,3,0)*0.475*44/12</f>
        <v>83.644232427476084</v>
      </c>
      <c r="EX117" s="21">
        <f>EXP(-LN(2)/2)*EX116+(1-EXP(-LN(2)/2))/(LN(2)/2)*ER117*EU117*VLOOKUP('Données projet'!$B$15,Paramètres!$A$1:$I$89,3,0)*0.475*44/12</f>
        <v>2.1608944648415647</v>
      </c>
      <c r="EY117" s="22">
        <f t="shared" si="75"/>
        <v>379.89493585738063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-8.5265128291212022E-14</v>
      </c>
      <c r="FF117" s="17">
        <f>FE117*VLOOKUP('Données projet'!$B$16,Paramètres!$A$1:$I$89,3,0)*VLOOKUP('Données projet'!$B$16,Paramètres!$A$1:$I$89,5,0)</f>
        <v>-6.9167072069831198E-14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159.4660488566085</v>
      </c>
      <c r="FK117" s="59">
        <f t="shared" si="102"/>
        <v>135.33030558297088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8.3170969641183827</v>
      </c>
      <c r="FS117" s="21">
        <f>EXP(-LN(2)/2)*FS116+(1-EXP(-LN(2)/2))/(LN(2)/2)*FM117*FP117*VLOOKUP('Données projet'!$B$16,Paramètres!$A$1:$I$89,3,0)*0.475*44/12</f>
        <v>6.114518169734056E-3</v>
      </c>
      <c r="FT117" s="22">
        <f t="shared" si="78"/>
        <v>8.3232114822881176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8.9160000000000021</v>
      </c>
      <c r="N118" s="13">
        <f>IF('Données projet'!$A$36&gt;35,N117+M118-V117,IF(A118&lt;'Données projet'!$A$36,$K$205^A118,IF(A118='Données projet'!$A$36,'Données projet'!$B$36,N117+M118-V117)))</f>
        <v>371.61600000000072</v>
      </c>
      <c r="O118" s="13">
        <f>N118*VLOOKUP('Données projet'!$B$9,Paramètres!$A$1:$I$89,3,0)*VLOOKUP('Données projet'!$B$9,Paramètres!$A$1:$I$89,5,0)</f>
        <v>376.81862400000074</v>
      </c>
      <c r="P118" s="13">
        <f t="shared" si="87"/>
        <v>87.06079278989921</v>
      </c>
      <c r="Q118" s="20">
        <f t="shared" si="107"/>
        <v>807.92331757574232</v>
      </c>
      <c r="R118" s="59">
        <f t="shared" si="55"/>
        <v>1101.2566509090757</v>
      </c>
      <c r="S118" s="59">
        <f ca="1">AVERAGE(OFFSET($R$3,0,0,'Données projet'!$E$9+1,1))-AVERAGE(OFFSET($H$3,0,0,'Données projet'!$E$9+1,1))</f>
        <v>706.69239849991595</v>
      </c>
      <c r="T118" s="59">
        <f t="shared" si="88"/>
        <v>310.59887275116529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40.060617521665655</v>
      </c>
      <c r="AA118" s="21">
        <f>EXP(-LN(2)/25)*AA117+(1-EXP(-LN(2)/25))/(LN(2)/25)*Calculateur!V118*Calculateur!X118*VLOOKUP('Données projet'!$B$9,Paramètres!$A$1:$I$89,3,0)*0.475*44/12</f>
        <v>28.102298304049775</v>
      </c>
      <c r="AB118" s="21">
        <f>EXP(-LN(2)/2)*AB117+(1-EXP(-LN(2)/2))/(LN(2)/2)*V118*Y118*VLOOKUP('Données projet'!$B$9,Paramètres!$A$1:$I$89,3,0)*0.475*44/12</f>
        <v>4.3292322625700601</v>
      </c>
      <c r="AC118" s="22">
        <f t="shared" si="57"/>
        <v>72.492148088285489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239.26156489359892</v>
      </c>
      <c r="AO118" s="59">
        <f t="shared" si="90"/>
        <v>213.97034450798111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6.5912432181943936</v>
      </c>
      <c r="AV118" s="21">
        <f>EXP(-LN(2)/25)*AV117+(1-EXP(-LN(2)/25))/(LN(2)/25)*Calculateur!AQ118*Calculateur!AS118*VLOOKUP('Données projet'!$B$10,Paramètres!$A$1:$I$89,3,0)*0.475*44/12</f>
        <v>31.931467423003841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38.522710641198238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-1.7053025658242404E-13</v>
      </c>
      <c r="BE118" s="13">
        <f>BD118*VLOOKUP('Données projet'!$B$11,Paramètres!$A$1:$I$89,3,0)*VLOOKUP('Données projet'!$B$11,Paramètres!$A$1:$I$89,5,0)</f>
        <v>-1.4897523215040567E-13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324.86930206492627</v>
      </c>
      <c r="BJ118" s="59">
        <f t="shared" si="92"/>
        <v>317.03005098025352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23.037762194184804</v>
      </c>
      <c r="BQ118" s="21">
        <f>EXP(-LN(2)/25)*BQ117+(1-EXP(-LN(2)/25))/(LN(2)/25)*Calculateur!BL118*Calculateur!BN118*VLOOKUP('Données projet'!$B$11,Paramètres!$A$1:$I$89,3,0)*0.475*44/12</f>
        <v>17.625971572665257</v>
      </c>
      <c r="BR118" s="21">
        <f>EXP(-LN(2)/2)*BR117+(1-EXP(-LN(2)/2))/(LN(2)/2)*BL118*BO118*VLOOKUP('Données projet'!$B$11,Paramètres!$A$1:$I$89,3,0)*0.475*44/12</f>
        <v>3.0791345993526982E-4</v>
      </c>
      <c r="BS118" s="22">
        <f t="shared" si="63"/>
        <v>40.664041680309992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7.0011111111111104</v>
      </c>
      <c r="BY118" s="12">
        <f>IF('Données projet'!$A$114&gt;35,BY117+BX118-CG117,IF(A118&lt;'Données projet'!$A$114,$BV$205^A118,IF(A118='Données projet'!$A$114,'Données projet'!$B$114,BY117+BX118-CG117)))</f>
        <v>266.26222222222214</v>
      </c>
      <c r="BZ118" s="13">
        <f>BY118*VLOOKUP('Données projet'!$B$12,Paramètres!$A$1:$I$89,3,0)*VLOOKUP('Données projet'!$B$12,Paramètres!$A$1:$I$89,5,0)</f>
        <v>303.21941866666657</v>
      </c>
      <c r="CA118" s="13">
        <f t="shared" si="93"/>
        <v>71.850957432298372</v>
      </c>
      <c r="CB118" s="20">
        <f t="shared" si="64"/>
        <v>653.24757170569728</v>
      </c>
      <c r="CC118" s="59">
        <f t="shared" si="65"/>
        <v>946.58090503903054</v>
      </c>
      <c r="CD118" s="59">
        <f ca="1">AVERAGE(OFFSET($CC$3,0,0,'Données projet'!$E$12+1,1))-AVERAGE(OFFSET($H$3,0,0,'Données projet'!$E$12+1,1))</f>
        <v>593.28343396240075</v>
      </c>
      <c r="CE118" s="59">
        <f t="shared" si="94"/>
        <v>289.66477662068695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22.972195004448821</v>
      </c>
      <c r="CL118" s="21">
        <f>EXP(-LN(2)/25)*CL117+(1-EXP(-LN(2)/25))/(LN(2)/25)*Calculateur!CG118*Calculateur!CI118*VLOOKUP('Données projet'!$B$12,Paramètres!$A$1:$I$89,3,0)*0.475*44/12</f>
        <v>28.840125273838556</v>
      </c>
      <c r="CM118" s="21">
        <f>EXP(-LN(2)/2)*CM117+(1-EXP(-LN(2)/2))/(LN(2)/2)*CG118*CJ118*VLOOKUP('Données projet'!$B$12,Paramètres!$A$1:$I$89,3,0)*0.475*44/12</f>
        <v>2.3352498606503178</v>
      </c>
      <c r="CN118" s="22">
        <f t="shared" si="66"/>
        <v>54.147570138937688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8.9160000000000021</v>
      </c>
      <c r="CT118" s="12">
        <f>IF('Données projet'!$A$140&gt;35,CT117+CS118-DB117,IF(A118&lt;'Données projet'!$A$140,$CQ$205^A118,IF(A118='Données projet'!$A$140,'Données projet'!$B$140,CT117+CS118-DB117)))</f>
        <v>371.61600000000072</v>
      </c>
      <c r="CU118" s="17">
        <f>CT118*VLOOKUP('Données projet'!$B$13,Paramètres!$A$1:$I$89,3,0)*VLOOKUP('Données projet'!$B$13,Paramètres!$A$1:$I$89,5,0)</f>
        <v>400.00746240000075</v>
      </c>
      <c r="CV118" s="13">
        <f t="shared" si="95"/>
        <v>91.778178106681182</v>
      </c>
      <c r="CW118" s="20">
        <f t="shared" si="67"/>
        <v>856.52665721580433</v>
      </c>
      <c r="CX118" s="59">
        <f t="shared" si="68"/>
        <v>1149.8599905491376</v>
      </c>
      <c r="CY118" s="59">
        <f ca="1">AVERAGE(OFFSET($CX$3,0,0,'Données projet'!$E$13+1,1))-AVERAGE(OFFSET($H$3,0,0,'Données projet'!$E$13+1,1))</f>
        <v>747.18304127457918</v>
      </c>
      <c r="CZ118" s="59">
        <f t="shared" si="96"/>
        <v>327.03701004966723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42.525886292229686</v>
      </c>
      <c r="DG118" s="21">
        <f>EXP(-LN(2)/25)*DG117+(1-EXP(-LN(2)/25))/(LN(2)/25)*Calculateur!DB118*Calculateur!DD118*VLOOKUP('Données projet'!$B$13,Paramètres!$A$1:$I$89,3,0)*0.475*44/12</f>
        <v>29.831670507375904</v>
      </c>
      <c r="DH118" s="21">
        <f>EXP(-LN(2)/2)*DH117+(1-EXP(-LN(2)/2))/(LN(2)/2)*DB118*DE118*VLOOKUP('Données projet'!$B$13,Paramètres!$A$1:$I$89,3,0)*0.475*44/12</f>
        <v>4.5956465556512933</v>
      </c>
      <c r="DI118" s="22">
        <f t="shared" si="69"/>
        <v>76.953203355256889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353.37479213497227</v>
      </c>
      <c r="DU118" s="59">
        <f t="shared" si="98"/>
        <v>345.4750813433123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25.9910440490479</v>
      </c>
      <c r="EB118" s="21">
        <f>EXP(-LN(2)/25)*EB117+(1-EXP(-LN(2)/25))/(LN(2)/25)*Calculateur!DW118*Calculateur!DY118*VLOOKUP('Données projet'!$B$14,Paramètres!$A$1:$I$89,3,0)*0.475*44/12</f>
        <v>19.448063336640235</v>
      </c>
      <c r="EC118" s="21">
        <f>EXP(-LN(2)/2)*EC117+(1-EXP(-LN(2)/2))/(LN(2)/2)*DW118*DZ118*VLOOKUP('Données projet'!$B$14,Paramètres!$A$1:$I$89,3,0)*0.475*44/12</f>
        <v>3.3675033198742488E-4</v>
      </c>
      <c r="ED118" s="22">
        <f t="shared" si="72"/>
        <v>45.439444136020121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-4.5474735088646412E-13</v>
      </c>
      <c r="EK118" s="17">
        <f>EJ118*VLOOKUP('Données projet'!$B$15,Paramètres!$A$1:$I$89,3,0)*VLOOKUP('Données projet'!$B$15,Paramètres!$A$1:$I$89,5,0)</f>
        <v>-2.1282176021486519E-13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433.05041777893922</v>
      </c>
      <c r="EP118" s="59">
        <f t="shared" si="100"/>
        <v>591.24088611958996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288.3228871883295</v>
      </c>
      <c r="EW118" s="21">
        <f>EXP(-LN(2)/25)*EW117+(1-EXP(-LN(2)/25))/(LN(2)/25)*Calculateur!ER118*Calculateur!ET118*VLOOKUP('Données projet'!$B$15,Paramètres!$A$1:$I$89,3,0)*0.475*44/12</f>
        <v>81.356976493087743</v>
      </c>
      <c r="EX118" s="21">
        <f>EXP(-LN(2)/2)*EX117+(1-EXP(-LN(2)/2))/(LN(2)/2)*ER118*EU118*VLOOKUP('Données projet'!$B$15,Paramètres!$A$1:$I$89,3,0)*0.475*44/12</f>
        <v>1.527983129517946</v>
      </c>
      <c r="EY118" s="22">
        <f t="shared" si="75"/>
        <v>371.20784681093522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-8.5265128291212022E-14</v>
      </c>
      <c r="FF118" s="17">
        <f>FE118*VLOOKUP('Données projet'!$B$16,Paramètres!$A$1:$I$89,3,0)*VLOOKUP('Données projet'!$B$16,Paramètres!$A$1:$I$89,5,0)</f>
        <v>-6.9167072069831198E-14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159.4660488566085</v>
      </c>
      <c r="FK118" s="59">
        <f t="shared" si="102"/>
        <v>135.33030558297088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8.0896655102574453</v>
      </c>
      <c r="FS118" s="21">
        <f>EXP(-LN(2)/2)*FS117+(1-EXP(-LN(2)/2))/(LN(2)/2)*FM118*FP118*VLOOKUP('Données projet'!$B$16,Paramètres!$A$1:$I$89,3,0)*0.475*44/12</f>
        <v>4.3236172615073081E-3</v>
      </c>
      <c r="FT118" s="22">
        <f t="shared" si="78"/>
        <v>8.0939891275189524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8.9160000000000021</v>
      </c>
      <c r="N119" s="13">
        <f>IF('Données projet'!$A$36&gt;35,N118+M119-V118,IF(A119&lt;'Données projet'!$A$36,$K$205^A119,IF(A119='Données projet'!$A$36,'Données projet'!$B$36,N118+M119-V118)))</f>
        <v>380.53200000000072</v>
      </c>
      <c r="O119" s="13">
        <f>N119*VLOOKUP('Données projet'!$B$9,Paramètres!$A$1:$I$89,3,0)*VLOOKUP('Données projet'!$B$9,Paramètres!$A$1:$I$89,5,0)</f>
        <v>385.85944800000078</v>
      </c>
      <c r="P119" s="13">
        <f t="shared" si="87"/>
        <v>88.903907976148645</v>
      </c>
      <c r="Q119" s="20">
        <f t="shared" si="107"/>
        <v>826.87951165846027</v>
      </c>
      <c r="R119" s="59">
        <f t="shared" si="55"/>
        <v>1120.2128449917936</v>
      </c>
      <c r="S119" s="59">
        <f ca="1">AVERAGE(OFFSET($R$3,0,0,'Données projet'!$E$9+1,1))-AVERAGE(OFFSET($H$3,0,0,'Données projet'!$E$9+1,1))</f>
        <v>706.69239849991595</v>
      </c>
      <c r="T119" s="59">
        <f t="shared" si="88"/>
        <v>310.59887275116529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39.275053246629767</v>
      </c>
      <c r="AA119" s="21">
        <f>EXP(-LN(2)/25)*AA118+(1-EXP(-LN(2)/25))/(LN(2)/25)*Calculateur!V119*Calculateur!X119*VLOOKUP('Données projet'!$B$9,Paramètres!$A$1:$I$89,3,0)*0.475*44/12</f>
        <v>27.333839479089896</v>
      </c>
      <c r="AB119" s="21">
        <f>EXP(-LN(2)/2)*AB118+(1-EXP(-LN(2)/2))/(LN(2)/2)*V119*Y119*VLOOKUP('Données projet'!$B$9,Paramètres!$A$1:$I$89,3,0)*0.475*44/12</f>
        <v>3.0612294901948696</v>
      </c>
      <c r="AC119" s="22">
        <f t="shared" si="57"/>
        <v>69.670122215914546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239.26156489359892</v>
      </c>
      <c r="AO119" s="59">
        <f t="shared" si="90"/>
        <v>213.97034450798111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6.4619929589469969</v>
      </c>
      <c r="AV119" s="21">
        <f>EXP(-LN(2)/25)*AV118+(1-EXP(-LN(2)/25))/(LN(2)/25)*Calculateur!AQ119*Calculateur!AS119*VLOOKUP('Données projet'!$B$10,Paramètres!$A$1:$I$89,3,0)*0.475*44/12</f>
        <v>31.05829976711891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37.520292726065904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-1.7053025658242404E-13</v>
      </c>
      <c r="BE119" s="13">
        <f>BD119*VLOOKUP('Données projet'!$B$11,Paramètres!$A$1:$I$89,3,0)*VLOOKUP('Données projet'!$B$11,Paramètres!$A$1:$I$89,5,0)</f>
        <v>-1.4897523215040567E-13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324.86930206492627</v>
      </c>
      <c r="BJ119" s="59">
        <f t="shared" si="92"/>
        <v>317.03005098025352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22.586005729204295</v>
      </c>
      <c r="BQ119" s="21">
        <f>EXP(-LN(2)/25)*BQ118+(1-EXP(-LN(2)/25))/(LN(2)/25)*Calculateur!BL119*Calculateur!BN119*VLOOKUP('Données projet'!$B$11,Paramètres!$A$1:$I$89,3,0)*0.475*44/12</f>
        <v>17.143988453101166</v>
      </c>
      <c r="BR119" s="21">
        <f>EXP(-LN(2)/2)*BR118+(1-EXP(-LN(2)/2))/(LN(2)/2)*BL119*BO119*VLOOKUP('Données projet'!$B$11,Paramètres!$A$1:$I$89,3,0)*0.475*44/12</f>
        <v>2.1772769553884161E-4</v>
      </c>
      <c r="BS119" s="22">
        <f t="shared" si="63"/>
        <v>39.730211910001003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7.0011111111111104</v>
      </c>
      <c r="BY119" s="12">
        <f>IF('Données projet'!$A$114&gt;35,BY118+BX119-CG118,IF(A119&lt;'Données projet'!$A$114,$BV$205^A119,IF(A119='Données projet'!$A$114,'Données projet'!$B$114,BY118+BX119-CG118)))</f>
        <v>273.26333333333326</v>
      </c>
      <c r="BZ119" s="13">
        <f>BY119*VLOOKUP('Données projet'!$B$12,Paramètres!$A$1:$I$89,3,0)*VLOOKUP('Données projet'!$B$12,Paramètres!$A$1:$I$89,5,0)</f>
        <v>311.19228399999992</v>
      </c>
      <c r="CA119" s="13">
        <f t="shared" si="93"/>
        <v>73.517770869032404</v>
      </c>
      <c r="CB119" s="20">
        <f t="shared" si="64"/>
        <v>670.0366788968978</v>
      </c>
      <c r="CC119" s="59">
        <f t="shared" si="65"/>
        <v>963.37001223023117</v>
      </c>
      <c r="CD119" s="59">
        <f ca="1">AVERAGE(OFFSET($CC$3,0,0,'Données projet'!$E$12+1,1))-AVERAGE(OFFSET($H$3,0,0,'Données projet'!$E$12+1,1))</f>
        <v>593.28343396240075</v>
      </c>
      <c r="CE119" s="59">
        <f t="shared" si="94"/>
        <v>289.66477662068695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22.521724272066997</v>
      </c>
      <c r="CL119" s="21">
        <f>EXP(-LN(2)/25)*CL118+(1-EXP(-LN(2)/25))/(LN(2)/25)*Calculateur!CG119*Calculateur!CI119*VLOOKUP('Données projet'!$B$12,Paramètres!$A$1:$I$89,3,0)*0.475*44/12</f>
        <v>28.051490531589167</v>
      </c>
      <c r="CM119" s="21">
        <f>EXP(-LN(2)/2)*CM118+(1-EXP(-LN(2)/2))/(LN(2)/2)*CG119*CJ119*VLOOKUP('Données projet'!$B$12,Paramètres!$A$1:$I$89,3,0)*0.475*44/12</f>
        <v>1.6512710122307799</v>
      </c>
      <c r="CN119" s="22">
        <f t="shared" si="66"/>
        <v>52.224485815886943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8.9160000000000021</v>
      </c>
      <c r="CT119" s="12">
        <f>IF('Données projet'!$A$140&gt;35,CT118+CS119-DB118,IF(A119&lt;'Données projet'!$A$140,$CQ$205^A119,IF(A119='Données projet'!$A$140,'Données projet'!$B$140,CT118+CS119-DB118)))</f>
        <v>380.53200000000072</v>
      </c>
      <c r="CU119" s="17">
        <f>CT119*VLOOKUP('Données projet'!$B$13,Paramètres!$A$1:$I$89,3,0)*VLOOKUP('Données projet'!$B$13,Paramètres!$A$1:$I$89,5,0)</f>
        <v>409.60464480000076</v>
      </c>
      <c r="CV119" s="13">
        <f t="shared" si="95"/>
        <v>93.721162410108789</v>
      </c>
      <c r="CW119" s="20">
        <f t="shared" si="67"/>
        <v>876.62578089094075</v>
      </c>
      <c r="CX119" s="59">
        <f t="shared" si="68"/>
        <v>1169.9591142242741</v>
      </c>
      <c r="CY119" s="59">
        <f ca="1">AVERAGE(OFFSET($CX$3,0,0,'Données projet'!$E$13+1,1))-AVERAGE(OFFSET($H$3,0,0,'Données projet'!$E$13+1,1))</f>
        <v>747.18304127457918</v>
      </c>
      <c r="CZ119" s="59">
        <f t="shared" si="96"/>
        <v>327.03701004966723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41.69197960026851</v>
      </c>
      <c r="DG119" s="21">
        <f>EXP(-LN(2)/25)*DG118+(1-EXP(-LN(2)/25))/(LN(2)/25)*Calculateur!DB119*Calculateur!DD119*VLOOKUP('Données projet'!$B$13,Paramètres!$A$1:$I$89,3,0)*0.475*44/12</f>
        <v>29.015921908572338</v>
      </c>
      <c r="DH119" s="21">
        <f>EXP(-LN(2)/2)*DH118+(1-EXP(-LN(2)/2))/(LN(2)/2)*DB119*DE119*VLOOKUP('Données projet'!$B$13,Paramètres!$A$1:$I$89,3,0)*0.475*44/12</f>
        <v>3.2496128434376299</v>
      </c>
      <c r="DI119" s="22">
        <f t="shared" si="69"/>
        <v>73.95751435227848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353.37479213497227</v>
      </c>
      <c r="DU119" s="59">
        <f t="shared" si="98"/>
        <v>345.4750813433123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25.48137552821759</v>
      </c>
      <c r="EB119" s="21">
        <f>EXP(-LN(2)/25)*EB118+(1-EXP(-LN(2)/25))/(LN(2)/25)*Calculateur!DW119*Calculateur!DY119*VLOOKUP('Données projet'!$B$14,Paramètres!$A$1:$I$89,3,0)*0.475*44/12</f>
        <v>18.916255021970606</v>
      </c>
      <c r="EC119" s="21">
        <f>EXP(-LN(2)/2)*EC118+(1-EXP(-LN(2)/2))/(LN(2)/2)*DW119*DZ119*VLOOKUP('Données projet'!$B$14,Paramètres!$A$1:$I$89,3,0)*0.475*44/12</f>
        <v>2.3811844331512929E-4</v>
      </c>
      <c r="ED119" s="22">
        <f t="shared" si="72"/>
        <v>44.39786866863151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-4.5474735088646412E-13</v>
      </c>
      <c r="EK119" s="17">
        <f>EJ119*VLOOKUP('Données projet'!$B$15,Paramètres!$A$1:$I$89,3,0)*VLOOKUP('Données projet'!$B$15,Paramètres!$A$1:$I$89,5,0)</f>
        <v>-2.1282176021486519E-13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433.05041777893922</v>
      </c>
      <c r="EP119" s="59">
        <f t="shared" si="100"/>
        <v>591.24088611958996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282.66905123016284</v>
      </c>
      <c r="EW119" s="21">
        <f>EXP(-LN(2)/25)*EW118+(1-EXP(-LN(2)/25))/(LN(2)/25)*Calculateur!ER119*Calculateur!ET119*VLOOKUP('Données projet'!$B$15,Paramètres!$A$1:$I$89,3,0)*0.475*44/12</f>
        <v>79.132265692506806</v>
      </c>
      <c r="EX119" s="21">
        <f>EXP(-LN(2)/2)*EX118+(1-EXP(-LN(2)/2))/(LN(2)/2)*ER119*EU119*VLOOKUP('Données projet'!$B$15,Paramètres!$A$1:$I$89,3,0)*0.475*44/12</f>
        <v>1.0804472324207823</v>
      </c>
      <c r="EY119" s="22">
        <f t="shared" si="75"/>
        <v>362.88176415509042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-8.5265128291212022E-14</v>
      </c>
      <c r="FF119" s="17">
        <f>FE119*VLOOKUP('Données projet'!$B$16,Paramètres!$A$1:$I$89,3,0)*VLOOKUP('Données projet'!$B$16,Paramètres!$A$1:$I$89,5,0)</f>
        <v>-6.9167072069831198E-14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159.4660488566085</v>
      </c>
      <c r="FK119" s="59">
        <f t="shared" si="102"/>
        <v>135.33030558297088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7.8684531814624359</v>
      </c>
      <c r="FS119" s="21">
        <f>EXP(-LN(2)/2)*FS118+(1-EXP(-LN(2)/2))/(LN(2)/2)*FM119*FP119*VLOOKUP('Données projet'!$B$16,Paramètres!$A$1:$I$89,3,0)*0.475*44/12</f>
        <v>3.057259084867028E-3</v>
      </c>
      <c r="FT119" s="22">
        <f t="shared" si="78"/>
        <v>7.8715104405473033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8.9160000000000021</v>
      </c>
      <c r="N120" s="13">
        <f>IF('Données projet'!$A$36&gt;35,N119+M120-V119,IF(A120&lt;'Données projet'!$A$36,$K$205^A120,IF(A120='Données projet'!$A$36,'Données projet'!$B$36,N119+M120-V119)))</f>
        <v>389.44800000000072</v>
      </c>
      <c r="O120" s="13">
        <f>N120*VLOOKUP('Données projet'!$B$9,Paramètres!$A$1:$I$89,3,0)*VLOOKUP('Données projet'!$B$9,Paramètres!$A$1:$I$89,5,0)</f>
        <v>394.90027200000077</v>
      </c>
      <c r="P120" s="13">
        <f t="shared" si="87"/>
        <v>90.742002809527918</v>
      </c>
      <c r="Q120" s="20">
        <f t="shared" si="107"/>
        <v>845.82696195992901</v>
      </c>
      <c r="R120" s="59">
        <f t="shared" si="55"/>
        <v>1139.1602952932624</v>
      </c>
      <c r="S120" s="59">
        <f ca="1">AVERAGE(OFFSET($R$3,0,0,'Données projet'!$E$9+1,1))-AVERAGE(OFFSET($H$3,0,0,'Données projet'!$E$9+1,1))</f>
        <v>706.69239849991595</v>
      </c>
      <c r="T120" s="59">
        <f t="shared" si="88"/>
        <v>310.59887275116529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38.504893407880438</v>
      </c>
      <c r="AA120" s="21">
        <f>EXP(-LN(2)/25)*AA119+(1-EXP(-LN(2)/25))/(LN(2)/25)*Calculateur!V120*Calculateur!X120*VLOOKUP('Données projet'!$B$9,Paramètres!$A$1:$I$89,3,0)*0.475*44/12</f>
        <v>26.586394201110036</v>
      </c>
      <c r="AB120" s="21">
        <f>EXP(-LN(2)/2)*AB119+(1-EXP(-LN(2)/2))/(LN(2)/2)*V120*Y120*VLOOKUP('Données projet'!$B$9,Paramètres!$A$1:$I$89,3,0)*0.475*44/12</f>
        <v>2.1646161312850301</v>
      </c>
      <c r="AC120" s="22">
        <f t="shared" si="57"/>
        <v>67.2559037402755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239.26156489359892</v>
      </c>
      <c r="AO120" s="59">
        <f t="shared" si="90"/>
        <v>213.97034450798111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6.3352772184485673</v>
      </c>
      <c r="AV120" s="21">
        <f>EXP(-LN(2)/25)*AV119+(1-EXP(-LN(2)/25))/(LN(2)/25)*Calculateur!AQ120*Calculateur!AS120*VLOOKUP('Données projet'!$B$10,Paramètres!$A$1:$I$89,3,0)*0.475*44/12</f>
        <v>30.209008926702044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36.544286145150608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-1.7053025658242404E-13</v>
      </c>
      <c r="BE120" s="13">
        <f>BD120*VLOOKUP('Données projet'!$B$11,Paramètres!$A$1:$I$89,3,0)*VLOOKUP('Données projet'!$B$11,Paramètres!$A$1:$I$89,5,0)</f>
        <v>-1.4897523215040567E-13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324.86930206492627</v>
      </c>
      <c r="BJ120" s="59">
        <f t="shared" si="92"/>
        <v>317.03005098025352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22.143107932957818</v>
      </c>
      <c r="BQ120" s="21">
        <f>EXP(-LN(2)/25)*BQ119+(1-EXP(-LN(2)/25))/(LN(2)/25)*Calculateur!BL120*Calculateur!BN120*VLOOKUP('Données projet'!$B$11,Paramètres!$A$1:$I$89,3,0)*0.475*44/12</f>
        <v>16.675185187287944</v>
      </c>
      <c r="BR120" s="21">
        <f>EXP(-LN(2)/2)*BR119+(1-EXP(-LN(2)/2))/(LN(2)/2)*BL120*BO120*VLOOKUP('Données projet'!$B$11,Paramètres!$A$1:$I$89,3,0)*0.475*44/12</f>
        <v>1.5395672996763491E-4</v>
      </c>
      <c r="BS120" s="22">
        <f t="shared" si="63"/>
        <v>38.81844707697573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7.0011111111111104</v>
      </c>
      <c r="BY120" s="12">
        <f>IF('Données projet'!$A$114&gt;35,BY119+BX120-CG119,IF(A120&lt;'Données projet'!$A$114,$BV$205^A120,IF(A120='Données projet'!$A$114,'Données projet'!$B$114,BY119+BX120-CG119)))</f>
        <v>280.26444444444439</v>
      </c>
      <c r="BZ120" s="13">
        <f>BY120*VLOOKUP('Données projet'!$B$12,Paramètres!$A$1:$I$89,3,0)*VLOOKUP('Données projet'!$B$12,Paramètres!$A$1:$I$89,5,0)</f>
        <v>319.16514933333332</v>
      </c>
      <c r="CA120" s="13">
        <f t="shared" si="93"/>
        <v>75.179620344585189</v>
      </c>
      <c r="CB120" s="20">
        <f t="shared" si="64"/>
        <v>686.81714052237476</v>
      </c>
      <c r="CC120" s="59">
        <f t="shared" si="65"/>
        <v>980.15047385570801</v>
      </c>
      <c r="CD120" s="59">
        <f ca="1">AVERAGE(OFFSET($CC$3,0,0,'Données projet'!$E$12+1,1))-AVERAGE(OFFSET($H$3,0,0,'Données projet'!$E$12+1,1))</f>
        <v>593.28343396240075</v>
      </c>
      <c r="CE120" s="59">
        <f t="shared" si="94"/>
        <v>289.66477662068695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22.080086995987163</v>
      </c>
      <c r="CL120" s="21">
        <f>EXP(-LN(2)/25)*CL119+(1-EXP(-LN(2)/25))/(LN(2)/25)*Calculateur!CG120*Calculateur!CI120*VLOOKUP('Données projet'!$B$12,Paramètres!$A$1:$I$89,3,0)*0.475*44/12</f>
        <v>27.284421047839086</v>
      </c>
      <c r="CM120" s="21">
        <f>EXP(-LN(2)/2)*CM119+(1-EXP(-LN(2)/2))/(LN(2)/2)*CG120*CJ120*VLOOKUP('Données projet'!$B$12,Paramètres!$A$1:$I$89,3,0)*0.475*44/12</f>
        <v>1.1676249303251589</v>
      </c>
      <c r="CN120" s="22">
        <f t="shared" si="66"/>
        <v>50.532132974151409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8.9160000000000021</v>
      </c>
      <c r="CT120" s="12">
        <f>IF('Données projet'!$A$140&gt;35,CT119+CS120-DB119,IF(A120&lt;'Données projet'!$A$140,$CQ$205^A120,IF(A120='Données projet'!$A$140,'Données projet'!$B$140,CT119+CS120-DB119)))</f>
        <v>389.44800000000072</v>
      </c>
      <c r="CU120" s="17">
        <f>CT120*VLOOKUP('Données projet'!$B$13,Paramètres!$A$1:$I$89,3,0)*VLOOKUP('Données projet'!$B$13,Paramètres!$A$1:$I$89,5,0)</f>
        <v>419.20182720000076</v>
      </c>
      <c r="CV120" s="13">
        <f t="shared" si="95"/>
        <v>95.65885433306147</v>
      </c>
      <c r="CW120" s="20">
        <f t="shared" si="67"/>
        <v>896.71568700341675</v>
      </c>
      <c r="CX120" s="59">
        <f t="shared" si="68"/>
        <v>1190.0490203367501</v>
      </c>
      <c r="CY120" s="59">
        <f ca="1">AVERAGE(OFFSET($CX$3,0,0,'Données projet'!$E$13+1,1))-AVERAGE(OFFSET($H$3,0,0,'Données projet'!$E$13+1,1))</f>
        <v>747.18304127457918</v>
      </c>
      <c r="CZ120" s="59">
        <f t="shared" si="96"/>
        <v>327.03701004966723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40.874425309903835</v>
      </c>
      <c r="DG120" s="21">
        <f>EXP(-LN(2)/25)*DG119+(1-EXP(-LN(2)/25))/(LN(2)/25)*Calculateur!DB120*Calculateur!DD120*VLOOKUP('Données projet'!$B$13,Paramètres!$A$1:$I$89,3,0)*0.475*44/12</f>
        <v>28.222479998101409</v>
      </c>
      <c r="DH120" s="21">
        <f>EXP(-LN(2)/2)*DH119+(1-EXP(-LN(2)/2))/(LN(2)/2)*DB120*DE120*VLOOKUP('Données projet'!$B$13,Paramètres!$A$1:$I$89,3,0)*0.475*44/12</f>
        <v>2.2978232778256467</v>
      </c>
      <c r="DI120" s="22">
        <f t="shared" si="69"/>
        <v>71.39472858583089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353.37479213497227</v>
      </c>
      <c r="DU120" s="59">
        <f t="shared" si="98"/>
        <v>345.4750813433123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24.981701296213661</v>
      </c>
      <c r="EB120" s="21">
        <f>EXP(-LN(2)/25)*EB119+(1-EXP(-LN(2)/25))/(LN(2)/25)*Calculateur!DW120*Calculateur!DY120*VLOOKUP('Données projet'!$B$14,Paramètres!$A$1:$I$89,3,0)*0.475*44/12</f>
        <v>18.398989033632201</v>
      </c>
      <c r="EC120" s="21">
        <f>EXP(-LN(2)/2)*EC119+(1-EXP(-LN(2)/2))/(LN(2)/2)*DW120*DZ120*VLOOKUP('Données projet'!$B$14,Paramètres!$A$1:$I$89,3,0)*0.475*44/12</f>
        <v>1.6837516599371247E-4</v>
      </c>
      <c r="ED120" s="22">
        <f t="shared" si="72"/>
        <v>43.380858705011853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-4.5474735088646412E-13</v>
      </c>
      <c r="EK120" s="17">
        <f>EJ120*VLOOKUP('Données projet'!$B$15,Paramètres!$A$1:$I$89,3,0)*VLOOKUP('Données projet'!$B$15,Paramètres!$A$1:$I$89,5,0)</f>
        <v>-2.1282176021486519E-13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433.05041777893922</v>
      </c>
      <c r="EP120" s="59">
        <f t="shared" si="100"/>
        <v>591.24088611958996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277.12608354663644</v>
      </c>
      <c r="EW120" s="21">
        <f>EXP(-LN(2)/25)*EW119+(1-EXP(-LN(2)/25))/(LN(2)/25)*Calculateur!ER120*Calculateur!ET120*VLOOKUP('Données projet'!$B$15,Paramètres!$A$1:$I$89,3,0)*0.475*44/12</f>
        <v>76.968389725760218</v>
      </c>
      <c r="EX120" s="21">
        <f>EXP(-LN(2)/2)*EX119+(1-EXP(-LN(2)/2))/(LN(2)/2)*ER120*EU120*VLOOKUP('Données projet'!$B$15,Paramètres!$A$1:$I$89,3,0)*0.475*44/12</f>
        <v>0.76399156475897301</v>
      </c>
      <c r="EY120" s="22">
        <f t="shared" si="75"/>
        <v>354.85846483715562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-8.5265128291212022E-14</v>
      </c>
      <c r="FF120" s="17">
        <f>FE120*VLOOKUP('Données projet'!$B$16,Paramètres!$A$1:$I$89,3,0)*VLOOKUP('Données projet'!$B$16,Paramètres!$A$1:$I$89,5,0)</f>
        <v>-6.9167072069831198E-14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159.4660488566085</v>
      </c>
      <c r="FK120" s="59">
        <f t="shared" si="102"/>
        <v>135.33030558297088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7.653289915431376</v>
      </c>
      <c r="FS120" s="21">
        <f>EXP(-LN(2)/2)*FS119+(1-EXP(-LN(2)/2))/(LN(2)/2)*FM120*FP120*VLOOKUP('Données projet'!$B$16,Paramètres!$A$1:$I$89,3,0)*0.475*44/12</f>
        <v>2.161808630753654E-3</v>
      </c>
      <c r="FT120" s="22">
        <f t="shared" si="78"/>
        <v>7.6554517240621296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8.9160000000000021</v>
      </c>
      <c r="N121" s="13">
        <f>IF('Données projet'!$A$36&gt;35,N120+M121-V120,IF(A121&lt;'Données projet'!$A$36,$K$205^A121,IF(A121='Données projet'!$A$36,'Données projet'!$B$36,N120+M121-V120)))</f>
        <v>398.36400000000071</v>
      </c>
      <c r="O121" s="13">
        <f>N121*VLOOKUP('Données projet'!$B$9,Paramètres!$A$1:$I$89,3,0)*VLOOKUP('Données projet'!$B$9,Paramètres!$A$1:$I$89,5,0)</f>
        <v>403.9410960000007</v>
      </c>
      <c r="P121" s="13">
        <f t="shared" si="87"/>
        <v>92.575205456026652</v>
      </c>
      <c r="Q121" s="20">
        <f t="shared" si="107"/>
        <v>864.76589170258092</v>
      </c>
      <c r="R121" s="59">
        <f t="shared" si="55"/>
        <v>1158.0992250359143</v>
      </c>
      <c r="S121" s="59">
        <f ca="1">AVERAGE(OFFSET($R$3,0,0,'Données projet'!$E$9+1,1))-AVERAGE(OFFSET($H$3,0,0,'Données projet'!$E$9+1,1))</f>
        <v>706.69239849991595</v>
      </c>
      <c r="T121" s="59">
        <f t="shared" si="88"/>
        <v>310.59887275116529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37.749835933817863</v>
      </c>
      <c r="AA121" s="21">
        <f>EXP(-LN(2)/25)*AA120+(1-EXP(-LN(2)/25))/(LN(2)/25)*Calculateur!V121*Calculateur!X121*VLOOKUP('Données projet'!$B$9,Paramètres!$A$1:$I$89,3,0)*0.475*44/12</f>
        <v>25.859387853562975</v>
      </c>
      <c r="AB121" s="21">
        <f>EXP(-LN(2)/2)*AB120+(1-EXP(-LN(2)/2))/(LN(2)/2)*V121*Y121*VLOOKUP('Données projet'!$B$9,Paramètres!$A$1:$I$89,3,0)*0.475*44/12</f>
        <v>1.5306147450974348</v>
      </c>
      <c r="AC121" s="22">
        <f t="shared" si="57"/>
        <v>65.139838532478279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239.26156489359892</v>
      </c>
      <c r="AO121" s="59">
        <f t="shared" si="90"/>
        <v>213.97034450798111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6.2110462963323423</v>
      </c>
      <c r="AV121" s="21">
        <f>EXP(-LN(2)/25)*AV120+(1-EXP(-LN(2)/25))/(LN(2)/25)*Calculateur!AQ121*Calculateur!AS121*VLOOKUP('Données projet'!$B$10,Paramètres!$A$1:$I$89,3,0)*0.475*44/12</f>
        <v>29.38294198897864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35.593988285310985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-1.7053025658242404E-13</v>
      </c>
      <c r="BE121" s="13">
        <f>BD121*VLOOKUP('Données projet'!$B$11,Paramètres!$A$1:$I$89,3,0)*VLOOKUP('Données projet'!$B$11,Paramètres!$A$1:$I$89,5,0)</f>
        <v>-1.4897523215040567E-13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324.86930206492627</v>
      </c>
      <c r="BJ121" s="59">
        <f t="shared" si="92"/>
        <v>317.03005098025352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21.708895092354751</v>
      </c>
      <c r="BQ121" s="21">
        <f>EXP(-LN(2)/25)*BQ120+(1-EXP(-LN(2)/25))/(LN(2)/25)*Calculateur!BL121*Calculateur!BN121*VLOOKUP('Données projet'!$B$11,Paramètres!$A$1:$I$89,3,0)*0.475*44/12</f>
        <v>16.219201371431677</v>
      </c>
      <c r="BR121" s="21">
        <f>EXP(-LN(2)/2)*BR120+(1-EXP(-LN(2)/2))/(LN(2)/2)*BL121*BO121*VLOOKUP('Données projet'!$B$11,Paramètres!$A$1:$I$89,3,0)*0.475*44/12</f>
        <v>1.088638477694208E-4</v>
      </c>
      <c r="BS121" s="22">
        <f t="shared" si="63"/>
        <v>37.928205327634203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7.0011111111111104</v>
      </c>
      <c r="BY121" s="12">
        <f>IF('Données projet'!$A$114&gt;35,BY120+BX121-CG120,IF(A121&lt;'Données projet'!$A$114,$BV$205^A121,IF(A121='Données projet'!$A$114,'Données projet'!$B$114,BY120+BX121-CG120)))</f>
        <v>287.26555555555552</v>
      </c>
      <c r="BZ121" s="13">
        <f>BY121*VLOOKUP('Données projet'!$B$12,Paramètres!$A$1:$I$89,3,0)*VLOOKUP('Données projet'!$B$12,Paramètres!$A$1:$I$89,5,0)</f>
        <v>327.13801466666661</v>
      </c>
      <c r="CA121" s="13">
        <f t="shared" si="93"/>
        <v>76.836644122379781</v>
      </c>
      <c r="CB121" s="20">
        <f t="shared" si="64"/>
        <v>703.58919739092244</v>
      </c>
      <c r="CC121" s="59">
        <f t="shared" si="65"/>
        <v>996.92253072425569</v>
      </c>
      <c r="CD121" s="59">
        <f ca="1">AVERAGE(OFFSET($CC$3,0,0,'Données projet'!$E$12+1,1))-AVERAGE(OFFSET($H$3,0,0,'Données projet'!$E$12+1,1))</f>
        <v>593.28343396240075</v>
      </c>
      <c r="CE121" s="59">
        <f t="shared" si="94"/>
        <v>289.66477662068695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21.647109957519113</v>
      </c>
      <c r="CL121" s="21">
        <f>EXP(-LN(2)/25)*CL120+(1-EXP(-LN(2)/25))/(LN(2)/25)*Calculateur!CG121*Calculateur!CI121*VLOOKUP('Données projet'!$B$12,Paramètres!$A$1:$I$89,3,0)*0.475*44/12</f>
        <v>26.538327119460583</v>
      </c>
      <c r="CM121" s="21">
        <f>EXP(-LN(2)/2)*CM120+(1-EXP(-LN(2)/2))/(LN(2)/2)*CG121*CJ121*VLOOKUP('Données projet'!$B$12,Paramètres!$A$1:$I$89,3,0)*0.475*44/12</f>
        <v>0.82563550611538994</v>
      </c>
      <c r="CN121" s="22">
        <f t="shared" si="66"/>
        <v>49.011072583095086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8.9160000000000021</v>
      </c>
      <c r="CT121" s="12">
        <f>IF('Données projet'!$A$140&gt;35,CT120+CS121-DB120,IF(A121&lt;'Données projet'!$A$140,$CQ$205^A121,IF(A121='Données projet'!$A$140,'Données projet'!$B$140,CT120+CS121-DB120)))</f>
        <v>398.36400000000071</v>
      </c>
      <c r="CU121" s="17">
        <f>CT121*VLOOKUP('Données projet'!$B$13,Paramètres!$A$1:$I$89,3,0)*VLOOKUP('Données projet'!$B$13,Paramètres!$A$1:$I$89,5,0)</f>
        <v>428.79900960000077</v>
      </c>
      <c r="CV121" s="13">
        <f t="shared" si="95"/>
        <v>97.59138898619787</v>
      </c>
      <c r="CW121" s="20">
        <f t="shared" si="67"/>
        <v>916.79661087096258</v>
      </c>
      <c r="CX121" s="59">
        <f t="shared" si="68"/>
        <v>1210.129944204296</v>
      </c>
      <c r="CY121" s="59">
        <f ca="1">AVERAGE(OFFSET($CX$3,0,0,'Données projet'!$E$13+1,1))-AVERAGE(OFFSET($H$3,0,0,'Données projet'!$E$13+1,1))</f>
        <v>747.18304127457918</v>
      </c>
      <c r="CZ121" s="59">
        <f t="shared" si="96"/>
        <v>327.03701004966723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40.072902760514332</v>
      </c>
      <c r="DG121" s="21">
        <f>EXP(-LN(2)/25)*DG120+(1-EXP(-LN(2)/25))/(LN(2)/25)*Calculateur!DB121*Calculateur!DD121*VLOOKUP('Données projet'!$B$13,Paramètres!$A$1:$I$89,3,0)*0.475*44/12</f>
        <v>27.450734798397608</v>
      </c>
      <c r="DH121" s="21">
        <f>EXP(-LN(2)/2)*DH120+(1-EXP(-LN(2)/2))/(LN(2)/2)*DB121*DE121*VLOOKUP('Données projet'!$B$13,Paramètres!$A$1:$I$89,3,0)*0.475*44/12</f>
        <v>1.624806421718815</v>
      </c>
      <c r="DI121" s="22">
        <f t="shared" si="69"/>
        <v>69.148443980630759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353.37479213497227</v>
      </c>
      <c r="DU121" s="59">
        <f t="shared" si="98"/>
        <v>345.4750813433123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24.49182537112814</v>
      </c>
      <c r="EB121" s="21">
        <f>EXP(-LN(2)/25)*EB120+(1-EXP(-LN(2)/25))/(LN(2)/25)*Calculateur!DW121*Calculateur!DY121*VLOOKUP('Données projet'!$B$14,Paramètres!$A$1:$I$89,3,0)*0.475*44/12</f>
        <v>17.895867710946746</v>
      </c>
      <c r="EC121" s="21">
        <f>EXP(-LN(2)/2)*EC120+(1-EXP(-LN(2)/2))/(LN(2)/2)*DW121*DZ121*VLOOKUP('Données projet'!$B$14,Paramètres!$A$1:$I$89,3,0)*0.475*44/12</f>
        <v>1.1905922165756467E-4</v>
      </c>
      <c r="ED121" s="22">
        <f t="shared" si="72"/>
        <v>42.38781214129655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-4.5474735088646412E-13</v>
      </c>
      <c r="EK121" s="17">
        <f>EJ121*VLOOKUP('Données projet'!$B$15,Paramètres!$A$1:$I$89,3,0)*VLOOKUP('Données projet'!$B$15,Paramètres!$A$1:$I$89,5,0)</f>
        <v>-2.1282176021486519E-13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433.05041777893922</v>
      </c>
      <c r="EP121" s="59">
        <f t="shared" si="100"/>
        <v>591.24088611958996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271.6918100785075</v>
      </c>
      <c r="EW121" s="21">
        <f>EXP(-LN(2)/25)*EW120+(1-EXP(-LN(2)/25))/(LN(2)/25)*Calculateur!ER121*Calculateur!ET121*VLOOKUP('Données projet'!$B$15,Paramètres!$A$1:$I$89,3,0)*0.475*44/12</f>
        <v>74.863685061117607</v>
      </c>
      <c r="EX121" s="21">
        <f>EXP(-LN(2)/2)*EX120+(1-EXP(-LN(2)/2))/(LN(2)/2)*ER121*EU121*VLOOKUP('Données projet'!$B$15,Paramètres!$A$1:$I$89,3,0)*0.475*44/12</f>
        <v>0.54022361621039117</v>
      </c>
      <c r="EY121" s="22">
        <f t="shared" si="75"/>
        <v>347.09571875583549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-8.5265128291212022E-14</v>
      </c>
      <c r="FF121" s="17">
        <f>FE121*VLOOKUP('Données projet'!$B$16,Paramètres!$A$1:$I$89,3,0)*VLOOKUP('Données projet'!$B$16,Paramètres!$A$1:$I$89,5,0)</f>
        <v>-6.9167072069831198E-14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159.4660488566085</v>
      </c>
      <c r="FK121" s="59">
        <f t="shared" si="102"/>
        <v>135.33030558297088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7.4440103002248801</v>
      </c>
      <c r="FS121" s="21">
        <f>EXP(-LN(2)/2)*FS120+(1-EXP(-LN(2)/2))/(LN(2)/2)*FM121*FP121*VLOOKUP('Données projet'!$B$16,Paramètres!$A$1:$I$89,3,0)*0.475*44/12</f>
        <v>1.528629542433514E-3</v>
      </c>
      <c r="FT121" s="22">
        <f t="shared" si="78"/>
        <v>7.4455389297673138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8.9160000000000021</v>
      </c>
      <c r="N122" s="13">
        <f>IF('Données projet'!$A$36&gt;35,N121+M122-V121,IF(A122&lt;'Données projet'!$A$36,$K$205^A122,IF(A122='Données projet'!$A$36,'Données projet'!$B$36,N121+M122-V121)))</f>
        <v>407.28000000000071</v>
      </c>
      <c r="O122" s="13">
        <f>N122*VLOOKUP('Données projet'!$B$9,Paramètres!$A$1:$I$89,3,0)*VLOOKUP('Données projet'!$B$9,Paramètres!$A$1:$I$89,5,0)</f>
        <v>412.98192000000074</v>
      </c>
      <c r="P122" s="13">
        <f t="shared" si="87"/>
        <v>94.403638017009513</v>
      </c>
      <c r="Q122" s="20">
        <f t="shared" si="107"/>
        <v>883.69651354629275</v>
      </c>
      <c r="R122" s="59">
        <f t="shared" si="55"/>
        <v>1177.0298468796261</v>
      </c>
      <c r="S122" s="59">
        <f ca="1">AVERAGE(OFFSET($R$3,0,0,'Données projet'!$E$9+1,1))-AVERAGE(OFFSET($H$3,0,0,'Données projet'!$E$9+1,1))</f>
        <v>706.69239849991595</v>
      </c>
      <c r="T122" s="59">
        <f t="shared" si="88"/>
        <v>310.59887275116529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37.009584676282074</v>
      </c>
      <c r="AA122" s="21">
        <f>EXP(-LN(2)/25)*AA121+(1-EXP(-LN(2)/25))/(LN(2)/25)*Calculateur!V122*Calculateur!X122*VLOOKUP('Données projet'!$B$9,Paramètres!$A$1:$I$89,3,0)*0.475*44/12</f>
        <v>25.152261532821189</v>
      </c>
      <c r="AB122" s="21">
        <f>EXP(-LN(2)/2)*AB121+(1-EXP(-LN(2)/2))/(LN(2)/2)*V122*Y122*VLOOKUP('Données projet'!$B$9,Paramètres!$A$1:$I$89,3,0)*0.475*44/12</f>
        <v>1.082308065642515</v>
      </c>
      <c r="AC122" s="22">
        <f t="shared" si="57"/>
        <v>63.244154274745775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239.26156489359892</v>
      </c>
      <c r="AO122" s="59">
        <f t="shared" si="90"/>
        <v>213.97034450798111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6.0892514668254361</v>
      </c>
      <c r="AV122" s="21">
        <f>EXP(-LN(2)/25)*AV121+(1-EXP(-LN(2)/25))/(LN(2)/25)*Calculateur!AQ122*Calculateur!AS122*VLOOKUP('Données projet'!$B$10,Paramètres!$A$1:$I$89,3,0)*0.475*44/12</f>
        <v>28.579463895108255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34.668715361933693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-1.7053025658242404E-13</v>
      </c>
      <c r="BE122" s="13">
        <f>BD122*VLOOKUP('Données projet'!$B$11,Paramètres!$A$1:$I$89,3,0)*VLOOKUP('Données projet'!$B$11,Paramètres!$A$1:$I$89,5,0)</f>
        <v>-1.4897523215040567E-13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324.86930206492627</v>
      </c>
      <c r="BJ122" s="59">
        <f t="shared" si="92"/>
        <v>317.03005098025352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21.28319690071223</v>
      </c>
      <c r="BQ122" s="21">
        <f>EXP(-LN(2)/25)*BQ121+(1-EXP(-LN(2)/25))/(LN(2)/25)*Calculateur!BL122*Calculateur!BN122*VLOOKUP('Données projet'!$B$11,Paramètres!$A$1:$I$89,3,0)*0.475*44/12</f>
        <v>15.775686456999146</v>
      </c>
      <c r="BR122" s="21">
        <f>EXP(-LN(2)/2)*BR121+(1-EXP(-LN(2)/2))/(LN(2)/2)*BL122*BO122*VLOOKUP('Données projet'!$B$11,Paramètres!$A$1:$I$89,3,0)*0.475*44/12</f>
        <v>7.6978364983817455E-5</v>
      </c>
      <c r="BS122" s="22">
        <f t="shared" si="63"/>
        <v>37.058960336076368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7.0011111111111104</v>
      </c>
      <c r="BY122" s="12">
        <f>IF('Données projet'!$A$114&gt;35,BY121+BX122-CG121,IF(A122&lt;'Données projet'!$A$114,$BV$205^A122,IF(A122='Données projet'!$A$114,'Données projet'!$B$114,BY121+BX122-CG121)))</f>
        <v>294.26666666666665</v>
      </c>
      <c r="BZ122" s="13">
        <f>BY122*VLOOKUP('Données projet'!$B$12,Paramètres!$A$1:$I$89,3,0)*VLOOKUP('Données projet'!$B$12,Paramètres!$A$1:$I$89,5,0)</f>
        <v>335.11088000000001</v>
      </c>
      <c r="CA122" s="13">
        <f t="shared" si="93"/>
        <v>78.48897334219626</v>
      </c>
      <c r="CB122" s="20">
        <f t="shared" si="64"/>
        <v>720.35307790432523</v>
      </c>
      <c r="CC122" s="59">
        <f t="shared" si="65"/>
        <v>1013.6864112376586</v>
      </c>
      <c r="CD122" s="59">
        <f ca="1">AVERAGE(OFFSET($CC$3,0,0,'Données projet'!$E$12+1,1))-AVERAGE(OFFSET($H$3,0,0,'Données projet'!$E$12+1,1))</f>
        <v>593.28343396240075</v>
      </c>
      <c r="CE122" s="59">
        <f t="shared" si="94"/>
        <v>289.66477662068695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21.222623334685508</v>
      </c>
      <c r="CL122" s="21">
        <f>EXP(-LN(2)/25)*CL121+(1-EXP(-LN(2)/25))/(LN(2)/25)*Calculateur!CG122*Calculateur!CI122*VLOOKUP('Données projet'!$B$12,Paramètres!$A$1:$I$89,3,0)*0.475*44/12</f>
        <v>25.812635168788965</v>
      </c>
      <c r="CM122" s="21">
        <f>EXP(-LN(2)/2)*CM121+(1-EXP(-LN(2)/2))/(LN(2)/2)*CG122*CJ122*VLOOKUP('Données projet'!$B$12,Paramètres!$A$1:$I$89,3,0)*0.475*44/12</f>
        <v>0.58381246516257945</v>
      </c>
      <c r="CN122" s="22">
        <f t="shared" si="66"/>
        <v>47.619070968637054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8.9160000000000021</v>
      </c>
      <c r="CT122" s="12">
        <f>IF('Données projet'!$A$140&gt;35,CT121+CS122-DB121,IF(A122&lt;'Données projet'!$A$140,$CQ$205^A122,IF(A122='Données projet'!$A$140,'Données projet'!$B$140,CT121+CS122-DB121)))</f>
        <v>407.28000000000071</v>
      </c>
      <c r="CU122" s="17">
        <f>CT122*VLOOKUP('Données projet'!$B$13,Paramètres!$A$1:$I$89,3,0)*VLOOKUP('Données projet'!$B$13,Paramètres!$A$1:$I$89,5,0)</f>
        <v>438.39619200000078</v>
      </c>
      <c r="CV122" s="13">
        <f t="shared" si="95"/>
        <v>99.518895086939509</v>
      </c>
      <c r="CW122" s="20">
        <f t="shared" si="67"/>
        <v>936.86877667642091</v>
      </c>
      <c r="CX122" s="59">
        <f t="shared" si="68"/>
        <v>1230.2021100097543</v>
      </c>
      <c r="CY122" s="59">
        <f ca="1">AVERAGE(OFFSET($CX$3,0,0,'Données projet'!$E$13+1,1))-AVERAGE(OFFSET($H$3,0,0,'Données projet'!$E$13+1,1))</f>
        <v>747.18304127457918</v>
      </c>
      <c r="CZ122" s="59">
        <f t="shared" si="96"/>
        <v>327.03701004966723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39.287097579437877</v>
      </c>
      <c r="DG122" s="21">
        <f>EXP(-LN(2)/25)*DG121+(1-EXP(-LN(2)/25))/(LN(2)/25)*Calculateur!DB122*Calculateur!DD122*VLOOKUP('Données projet'!$B$13,Paramètres!$A$1:$I$89,3,0)*0.475*44/12</f>
        <v>26.700093011764022</v>
      </c>
      <c r="DH122" s="21">
        <f>EXP(-LN(2)/2)*DH121+(1-EXP(-LN(2)/2))/(LN(2)/2)*DB122*DE122*VLOOKUP('Données projet'!$B$13,Paramètres!$A$1:$I$89,3,0)*0.475*44/12</f>
        <v>1.1489116389128233</v>
      </c>
      <c r="DI122" s="22">
        <f t="shared" si="69"/>
        <v>67.136102230114716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353.37479213497227</v>
      </c>
      <c r="DU122" s="59">
        <f t="shared" si="98"/>
        <v>345.4750813433123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24.011555614138736</v>
      </c>
      <c r="EB122" s="21">
        <f>EXP(-LN(2)/25)*EB121+(1-EXP(-LN(2)/25))/(LN(2)/25)*Calculateur!DW122*Calculateur!DY122*VLOOKUP('Données projet'!$B$14,Paramètres!$A$1:$I$89,3,0)*0.475*44/12</f>
        <v>17.406504267288124</v>
      </c>
      <c r="EC122" s="21">
        <f>EXP(-LN(2)/2)*EC121+(1-EXP(-LN(2)/2))/(LN(2)/2)*DW122*DZ122*VLOOKUP('Données projet'!$B$14,Paramètres!$A$1:$I$89,3,0)*0.475*44/12</f>
        <v>8.4187582996856248E-5</v>
      </c>
      <c r="ED122" s="22">
        <f t="shared" si="72"/>
        <v>41.418144069009855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-4.5474735088646412E-13</v>
      </c>
      <c r="EK122" s="17">
        <f>EJ122*VLOOKUP('Données projet'!$B$15,Paramètres!$A$1:$I$89,3,0)*VLOOKUP('Données projet'!$B$15,Paramètres!$A$1:$I$89,5,0)</f>
        <v>-2.1282176021486519E-13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433.05041777893922</v>
      </c>
      <c r="EP122" s="59">
        <f t="shared" si="100"/>
        <v>591.24088611958996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266.36409939850904</v>
      </c>
      <c r="EW122" s="21">
        <f>EXP(-LN(2)/25)*EW121+(1-EXP(-LN(2)/25))/(LN(2)/25)*Calculateur!ER122*Calculateur!ET122*VLOOKUP('Données projet'!$B$15,Paramètres!$A$1:$I$89,3,0)*0.475*44/12</f>
        <v>72.816533656211249</v>
      </c>
      <c r="EX122" s="21">
        <f>EXP(-LN(2)/2)*EX121+(1-EXP(-LN(2)/2))/(LN(2)/2)*ER122*EU122*VLOOKUP('Données projet'!$B$15,Paramètres!$A$1:$I$89,3,0)*0.475*44/12</f>
        <v>0.3819957823794865</v>
      </c>
      <c r="EY122" s="22">
        <f t="shared" si="75"/>
        <v>339.56262883709974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-8.5265128291212022E-14</v>
      </c>
      <c r="FF122" s="17">
        <f>FE122*VLOOKUP('Données projet'!$B$16,Paramètres!$A$1:$I$89,3,0)*VLOOKUP('Données projet'!$B$16,Paramètres!$A$1:$I$89,5,0)</f>
        <v>-6.9167072069831198E-14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159.4660488566085</v>
      </c>
      <c r="FK122" s="59">
        <f t="shared" si="102"/>
        <v>135.33030558297088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7.2404534471017428</v>
      </c>
      <c r="FS122" s="21">
        <f>EXP(-LN(2)/2)*FS121+(1-EXP(-LN(2)/2))/(LN(2)/2)*FM122*FP122*VLOOKUP('Données projet'!$B$16,Paramètres!$A$1:$I$89,3,0)*0.475*44/12</f>
        <v>1.080904315376827E-3</v>
      </c>
      <c r="FT122" s="22">
        <f t="shared" si="78"/>
        <v>7.24153435141712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8.9160000000000021</v>
      </c>
      <c r="N123" s="13">
        <f>IF('Données projet'!$A$36&gt;35,N122+M123-V122,IF(A123&lt;'Données projet'!$A$36,$K$205^A123,IF(A123='Données projet'!$A$36,'Données projet'!$B$36,N122+M123-V122)))</f>
        <v>416.19600000000071</v>
      </c>
      <c r="O123" s="13">
        <f>N123*VLOOKUP('Données projet'!$B$9,Paramètres!$A$1:$I$89,3,0)*VLOOKUP('Données projet'!$B$9,Paramètres!$A$1:$I$89,5,0)</f>
        <v>422.02274400000073</v>
      </c>
      <c r="P123" s="13">
        <f t="shared" si="87"/>
        <v>96.227416942568027</v>
      </c>
      <c r="Q123" s="20">
        <f t="shared" si="107"/>
        <v>902.61903030830717</v>
      </c>
      <c r="R123" s="59">
        <f t="shared" si="55"/>
        <v>1195.9523636416404</v>
      </c>
      <c r="S123" s="59">
        <f ca="1">AVERAGE(OFFSET($R$3,0,0,'Données projet'!$E$9+1,1))-AVERAGE(OFFSET($H$3,0,0,'Données projet'!$E$9+1,1))</f>
        <v>706.69239849991595</v>
      </c>
      <c r="T123" s="59">
        <f t="shared" si="88"/>
        <v>310.59887275116529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36.283849294397875</v>
      </c>
      <c r="AA123" s="21">
        <f>EXP(-LN(2)/25)*AA122+(1-EXP(-LN(2)/25))/(LN(2)/25)*Calculateur!V123*Calculateur!X123*VLOOKUP('Données projet'!$B$9,Paramètres!$A$1:$I$89,3,0)*0.475*44/12</f>
        <v>24.464471618506245</v>
      </c>
      <c r="AB123" s="21">
        <f>EXP(-LN(2)/2)*AB122+(1-EXP(-LN(2)/2))/(LN(2)/2)*V123*Y123*VLOOKUP('Données projet'!$B$9,Paramètres!$A$1:$I$89,3,0)*0.475*44/12</f>
        <v>0.76530737254871739</v>
      </c>
      <c r="AC123" s="22">
        <f t="shared" si="57"/>
        <v>61.513628285452839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239.26156489359892</v>
      </c>
      <c r="AO123" s="59">
        <f t="shared" si="90"/>
        <v>213.97034450798111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5.9698449596376495</v>
      </c>
      <c r="AV123" s="21">
        <f>EXP(-LN(2)/25)*AV122+(1-EXP(-LN(2)/25))/(LN(2)/25)*Calculateur!AQ123*Calculateur!AS123*VLOOKUP('Données projet'!$B$10,Paramètres!$A$1:$I$89,3,0)*0.475*44/12</f>
        <v>27.797956951967834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33.767801911605481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-1.7053025658242404E-13</v>
      </c>
      <c r="BE123" s="13">
        <f>BD123*VLOOKUP('Données projet'!$B$11,Paramètres!$A$1:$I$89,3,0)*VLOOKUP('Données projet'!$B$11,Paramètres!$A$1:$I$89,5,0)</f>
        <v>-1.4897523215040567E-13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324.86930206492627</v>
      </c>
      <c r="BJ123" s="59">
        <f t="shared" si="92"/>
        <v>317.03005098025352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20.865846390957561</v>
      </c>
      <c r="BQ123" s="21">
        <f>EXP(-LN(2)/25)*BQ122+(1-EXP(-LN(2)/25))/(LN(2)/25)*Calculateur!BL123*Calculateur!BN123*VLOOKUP('Données projet'!$B$11,Paramètres!$A$1:$I$89,3,0)*0.475*44/12</f>
        <v>15.34429948122521</v>
      </c>
      <c r="BR123" s="21">
        <f>EXP(-LN(2)/2)*BR122+(1-EXP(-LN(2)/2))/(LN(2)/2)*BL123*BO123*VLOOKUP('Données projet'!$B$11,Paramètres!$A$1:$I$89,3,0)*0.475*44/12</f>
        <v>5.4431923884710402E-5</v>
      </c>
      <c r="BS123" s="22">
        <f t="shared" si="63"/>
        <v>36.210200304106657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7.0011111111111104</v>
      </c>
      <c r="BY123" s="12">
        <f>IF('Données projet'!$A$114&gt;35,BY122+BX123-CG122,IF(A123&lt;'Données projet'!$A$114,$BV$205^A123,IF(A123='Données projet'!$A$114,'Données projet'!$B$114,BY122+BX123-CG122)))</f>
        <v>301.26777777777778</v>
      </c>
      <c r="BZ123" s="13">
        <f>BY123*VLOOKUP('Données projet'!$B$12,Paramètres!$A$1:$I$89,3,0)*VLOOKUP('Données projet'!$B$12,Paramètres!$A$1:$I$89,5,0)</f>
        <v>343.08374533333335</v>
      </c>
      <c r="CA123" s="13">
        <f t="shared" si="93"/>
        <v>80.136732547820415</v>
      </c>
      <c r="CB123" s="20">
        <f t="shared" si="64"/>
        <v>737.10899897634272</v>
      </c>
      <c r="CC123" s="59">
        <f t="shared" si="65"/>
        <v>1030.442332309676</v>
      </c>
      <c r="CD123" s="59">
        <f ca="1">AVERAGE(OFFSET($CC$3,0,0,'Données projet'!$E$12+1,1))-AVERAGE(OFFSET($H$3,0,0,'Données projet'!$E$12+1,1))</f>
        <v>593.28343396240075</v>
      </c>
      <c r="CE123" s="59">
        <f t="shared" si="94"/>
        <v>289.66477662068695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20.806460635614393</v>
      </c>
      <c r="CL123" s="21">
        <f>EXP(-LN(2)/25)*CL122+(1-EXP(-LN(2)/25))/(LN(2)/25)*Calculateur!CG123*Calculateur!CI123*VLOOKUP('Données projet'!$B$12,Paramètres!$A$1:$I$89,3,0)*0.475*44/12</f>
        <v>25.106787302670941</v>
      </c>
      <c r="CM123" s="21">
        <f>EXP(-LN(2)/2)*CM122+(1-EXP(-LN(2)/2))/(LN(2)/2)*CG123*CJ123*VLOOKUP('Données projet'!$B$12,Paramètres!$A$1:$I$89,3,0)*0.475*44/12</f>
        <v>0.41281775305769497</v>
      </c>
      <c r="CN123" s="22">
        <f t="shared" si="66"/>
        <v>46.326065691343032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8.9160000000000021</v>
      </c>
      <c r="CT123" s="12">
        <f>IF('Données projet'!$A$140&gt;35,CT122+CS123-DB122,IF(A123&lt;'Données projet'!$A$140,$CQ$205^A123,IF(A123='Données projet'!$A$140,'Données projet'!$B$140,CT122+CS123-DB122)))</f>
        <v>416.19600000000071</v>
      </c>
      <c r="CU123" s="17">
        <f>CT123*VLOOKUP('Données projet'!$B$13,Paramètres!$A$1:$I$89,3,0)*VLOOKUP('Données projet'!$B$13,Paramètres!$A$1:$I$89,5,0)</f>
        <v>447.99337440000079</v>
      </c>
      <c r="CV123" s="13">
        <f t="shared" si="95"/>
        <v>101.44149539522132</v>
      </c>
      <c r="CW123" s="20">
        <f t="shared" si="67"/>
        <v>956.9323982266784</v>
      </c>
      <c r="CX123" s="59">
        <f t="shared" si="68"/>
        <v>1250.2657315600118</v>
      </c>
      <c r="CY123" s="59">
        <f ca="1">AVERAGE(OFFSET($CX$3,0,0,'Données projet'!$E$13+1,1))-AVERAGE(OFFSET($H$3,0,0,'Données projet'!$E$13+1,1))</f>
        <v>747.18304127457918</v>
      </c>
      <c r="CZ123" s="59">
        <f t="shared" si="96"/>
        <v>327.03701004966723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38.516701558668494</v>
      </c>
      <c r="DG123" s="21">
        <f>EXP(-LN(2)/25)*DG122+(1-EXP(-LN(2)/25))/(LN(2)/25)*Calculateur!DB123*Calculateur!DD123*VLOOKUP('Données projet'!$B$13,Paramètres!$A$1:$I$89,3,0)*0.475*44/12</f>
        <v>25.969977564260468</v>
      </c>
      <c r="DH123" s="21">
        <f>EXP(-LN(2)/2)*DH122+(1-EXP(-LN(2)/2))/(LN(2)/2)*DB123*DE123*VLOOKUP('Données projet'!$B$13,Paramètres!$A$1:$I$89,3,0)*0.475*44/12</f>
        <v>0.81240321085940748</v>
      </c>
      <c r="DI123" s="22">
        <f t="shared" si="69"/>
        <v>65.299082333788363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353.37479213497227</v>
      </c>
      <c r="DU123" s="59">
        <f t="shared" si="98"/>
        <v>345.4750813433123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23.540703654148267</v>
      </c>
      <c r="EB123" s="21">
        <f>EXP(-LN(2)/25)*EB122+(1-EXP(-LN(2)/25))/(LN(2)/25)*Calculateur!DW123*Calculateur!DY123*VLOOKUP('Données projet'!$B$14,Paramètres!$A$1:$I$89,3,0)*0.475*44/12</f>
        <v>16.930522492730855</v>
      </c>
      <c r="EC123" s="21">
        <f>EXP(-LN(2)/2)*EC122+(1-EXP(-LN(2)/2))/(LN(2)/2)*DW123*DZ123*VLOOKUP('Données projet'!$B$14,Paramètres!$A$1:$I$89,3,0)*0.475*44/12</f>
        <v>5.9529610828782342E-5</v>
      </c>
      <c r="ED123" s="22">
        <f t="shared" si="72"/>
        <v>40.471285676489948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-4.5474735088646412E-13</v>
      </c>
      <c r="EK123" s="17">
        <f>EJ123*VLOOKUP('Données projet'!$B$15,Paramètres!$A$1:$I$89,3,0)*VLOOKUP('Données projet'!$B$15,Paramètres!$A$1:$I$89,5,0)</f>
        <v>-2.1282176021486519E-13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433.05041777893922</v>
      </c>
      <c r="EP123" s="59">
        <f t="shared" si="100"/>
        <v>591.24088611958996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261.1408618753627</v>
      </c>
      <c r="EW123" s="21">
        <f>EXP(-LN(2)/25)*EW122+(1-EXP(-LN(2)/25))/(LN(2)/25)*Calculateur!ER123*Calculateur!ET123*VLOOKUP('Données projet'!$B$15,Paramètres!$A$1:$I$89,3,0)*0.475*44/12</f>
        <v>70.825361714127069</v>
      </c>
      <c r="EX123" s="21">
        <f>EXP(-LN(2)/2)*EX122+(1-EXP(-LN(2)/2))/(LN(2)/2)*ER123*EU123*VLOOKUP('Données projet'!$B$15,Paramètres!$A$1:$I$89,3,0)*0.475*44/12</f>
        <v>0.27011180810519558</v>
      </c>
      <c r="EY123" s="22">
        <f t="shared" si="75"/>
        <v>332.23633539759498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-8.5265128291212022E-14</v>
      </c>
      <c r="FF123" s="17">
        <f>FE123*VLOOKUP('Données projet'!$B$16,Paramètres!$A$1:$I$89,3,0)*VLOOKUP('Données projet'!$B$16,Paramètres!$A$1:$I$89,5,0)</f>
        <v>-6.9167072069831198E-14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159.4660488566085</v>
      </c>
      <c r="FK123" s="59">
        <f t="shared" si="102"/>
        <v>135.33030558297088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</v>
      </c>
      <c r="FR123" s="21">
        <f>EXP(-LN(2)/25)*FR122+(1-EXP(-LN(2)/25))/(LN(2)/25)*Calculateur!FM123*Calculateur!FO123*VLOOKUP('Données projet'!$B$16,Paramètres!$A$1:$I$89,3,0)*0.475*44/12</f>
        <v>7.0424628668318467</v>
      </c>
      <c r="FS123" s="21">
        <f>EXP(-LN(2)/2)*FS122+(1-EXP(-LN(2)/2))/(LN(2)/2)*FM123*FP123*VLOOKUP('Données projet'!$B$16,Paramètres!$A$1:$I$89,3,0)*0.475*44/12</f>
        <v>7.64314771216757E-4</v>
      </c>
      <c r="FT123" s="22">
        <f t="shared" si="78"/>
        <v>7.0432271816030632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8.9160000000000021</v>
      </c>
      <c r="N124" s="13">
        <f>IF('Données projet'!$A$36&gt;35,N123+M124-V123,IF(A124&lt;'Données projet'!$A$36,$K$205^A124,IF(A124='Données projet'!$A$36,'Données projet'!$B$36,N123+M124-V123)))</f>
        <v>425.11200000000071</v>
      </c>
      <c r="O124" s="13">
        <f>N124*VLOOKUP('Données projet'!$B$9,Paramètres!$A$1:$I$89,3,0)*VLOOKUP('Données projet'!$B$9,Paramètres!$A$1:$I$89,5,0)</f>
        <v>431.06356800000077</v>
      </c>
      <c r="P124" s="13">
        <f t="shared" si="87"/>
        <v>98.046653408452883</v>
      </c>
      <c r="Q124" s="20">
        <f t="shared" si="107"/>
        <v>921.53363561972344</v>
      </c>
      <c r="R124" s="59">
        <f t="shared" si="55"/>
        <v>1214.8669689530568</v>
      </c>
      <c r="S124" s="59">
        <f ca="1">AVERAGE(OFFSET($R$3,0,0,'Données projet'!$E$9+1,1))-AVERAGE(OFFSET($H$3,0,0,'Données projet'!$E$9+1,1))</f>
        <v>706.69239849991595</v>
      </c>
      <c r="T124" s="59">
        <f t="shared" si="88"/>
        <v>310.59887275116529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35.57234514069755</v>
      </c>
      <c r="AA124" s="21">
        <f>EXP(-LN(2)/25)*AA123+(1-EXP(-LN(2)/25))/(LN(2)/25)*Calculateur!V124*Calculateur!X124*VLOOKUP('Données projet'!$B$9,Paramètres!$A$1:$I$89,3,0)*0.475*44/12</f>
        <v>23.795489355567543</v>
      </c>
      <c r="AB124" s="21">
        <f>EXP(-LN(2)/2)*AB123+(1-EXP(-LN(2)/2))/(LN(2)/2)*V124*Y124*VLOOKUP('Données projet'!$B$9,Paramètres!$A$1:$I$89,3,0)*0.475*44/12</f>
        <v>0.54115403282125751</v>
      </c>
      <c r="AC124" s="22">
        <f t="shared" si="57"/>
        <v>59.908988529086351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239.26156489359892</v>
      </c>
      <c r="AO124" s="59">
        <f t="shared" si="90"/>
        <v>213.97034450798111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5.8527799412250374</v>
      </c>
      <c r="AV124" s="21">
        <f>EXP(-LN(2)/25)*AV123+(1-EXP(-LN(2)/25))/(LN(2)/25)*Calculateur!AQ124*Calculateur!AS124*VLOOKUP('Données projet'!$B$10,Paramètres!$A$1:$I$89,3,0)*0.475*44/12</f>
        <v>27.037820357285248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32.890600298510286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-1.7053025658242404E-13</v>
      </c>
      <c r="BE124" s="13">
        <f>BD124*VLOOKUP('Données projet'!$B$11,Paramètres!$A$1:$I$89,3,0)*VLOOKUP('Données projet'!$B$11,Paramètres!$A$1:$I$89,5,0)</f>
        <v>-1.4897523215040567E-13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324.86930206492627</v>
      </c>
      <c r="BJ124" s="59">
        <f t="shared" si="92"/>
        <v>317.03005098025352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20.456679870140505</v>
      </c>
      <c r="BQ124" s="21">
        <f>EXP(-LN(2)/25)*BQ123+(1-EXP(-LN(2)/25))/(LN(2)/25)*Calculateur!BL124*Calculateur!BN124*VLOOKUP('Données projet'!$B$11,Paramètres!$A$1:$I$89,3,0)*0.475*44/12</f>
        <v>14.924708804989468</v>
      </c>
      <c r="BR124" s="21">
        <f>EXP(-LN(2)/2)*BR123+(1-EXP(-LN(2)/2))/(LN(2)/2)*BL124*BO124*VLOOKUP('Données projet'!$B$11,Paramètres!$A$1:$I$89,3,0)*0.475*44/12</f>
        <v>3.8489182491908727E-5</v>
      </c>
      <c r="BS124" s="22">
        <f t="shared" si="63"/>
        <v>35.381427164312463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7.0011111111111104</v>
      </c>
      <c r="BY124" s="12">
        <f>IF('Données projet'!$A$114&gt;35,BY123+BX124-CG123,IF(A124&lt;'Données projet'!$A$114,$BV$205^A124,IF(A124='Données projet'!$A$114,'Données projet'!$B$114,BY123+BX124-CG123)))</f>
        <v>308.26888888888891</v>
      </c>
      <c r="BZ124" s="13">
        <f>BY124*VLOOKUP('Données projet'!$B$12,Paramètres!$A$1:$I$89,3,0)*VLOOKUP('Données projet'!$B$12,Paramètres!$A$1:$I$89,5,0)</f>
        <v>351.0566106666667</v>
      </c>
      <c r="CA124" s="13">
        <f t="shared" si="93"/>
        <v>81.780040164262672</v>
      </c>
      <c r="CB124" s="20">
        <f t="shared" si="64"/>
        <v>753.85716686386866</v>
      </c>
      <c r="CC124" s="59">
        <f t="shared" si="65"/>
        <v>1047.190500197202</v>
      </c>
      <c r="CD124" s="59">
        <f ca="1">AVERAGE(OFFSET($CC$3,0,0,'Données projet'!$E$12+1,1))-AVERAGE(OFFSET($H$3,0,0,'Données projet'!$E$12+1,1))</f>
        <v>593.28343396240075</v>
      </c>
      <c r="CE124" s="59">
        <f t="shared" si="94"/>
        <v>289.66477662068695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20.39845863323788</v>
      </c>
      <c r="CL124" s="21">
        <f>EXP(-LN(2)/25)*CL123+(1-EXP(-LN(2)/25))/(LN(2)/25)*Calculateur!CG124*Calculateur!CI124*VLOOKUP('Données projet'!$B$12,Paramètres!$A$1:$I$89,3,0)*0.475*44/12</f>
        <v>24.420240883570841</v>
      </c>
      <c r="CM124" s="21">
        <f>EXP(-LN(2)/2)*CM123+(1-EXP(-LN(2)/2))/(LN(2)/2)*CG124*CJ124*VLOOKUP('Données projet'!$B$12,Paramètres!$A$1:$I$89,3,0)*0.475*44/12</f>
        <v>0.29190623258128973</v>
      </c>
      <c r="CN124" s="22">
        <f t="shared" si="66"/>
        <v>45.110605749390011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8.9160000000000021</v>
      </c>
      <c r="CT124" s="12">
        <f>IF('Données projet'!$A$140&gt;35,CT123+CS124-DB123,IF(A124&lt;'Données projet'!$A$140,$CQ$205^A124,IF(A124='Données projet'!$A$140,'Données projet'!$B$140,CT123+CS124-DB123)))</f>
        <v>425.11200000000071</v>
      </c>
      <c r="CU124" s="17">
        <f>CT124*VLOOKUP('Données projet'!$B$13,Paramètres!$A$1:$I$89,3,0)*VLOOKUP('Données projet'!$B$13,Paramètres!$A$1:$I$89,5,0)</f>
        <v>457.5905568000008</v>
      </c>
      <c r="CV124" s="13">
        <f t="shared" si="95"/>
        <v>103.35930711084725</v>
      </c>
      <c r="CW124" s="20">
        <f t="shared" si="67"/>
        <v>976.987679644727</v>
      </c>
      <c r="CX124" s="59">
        <f t="shared" si="68"/>
        <v>1270.3210129780603</v>
      </c>
      <c r="CY124" s="59">
        <f ca="1">AVERAGE(OFFSET($CX$3,0,0,'Données projet'!$E$13+1,1))-AVERAGE(OFFSET($H$3,0,0,'Données projet'!$E$13+1,1))</f>
        <v>747.18304127457918</v>
      </c>
      <c r="CZ124" s="59">
        <f t="shared" si="96"/>
        <v>327.03701004966723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37.761412533971225</v>
      </c>
      <c r="DG124" s="21">
        <f>EXP(-LN(2)/25)*DG123+(1-EXP(-LN(2)/25))/(LN(2)/25)*Calculateur!DB124*Calculateur!DD124*VLOOKUP('Données projet'!$B$13,Paramètres!$A$1:$I$89,3,0)*0.475*44/12</f>
        <v>25.259827162063999</v>
      </c>
      <c r="DH124" s="21">
        <f>EXP(-LN(2)/2)*DH123+(1-EXP(-LN(2)/2))/(LN(2)/2)*DB124*DE124*VLOOKUP('Données projet'!$B$13,Paramètres!$A$1:$I$89,3,0)*0.475*44/12</f>
        <v>0.57445581945641166</v>
      </c>
      <c r="DI124" s="22">
        <f t="shared" si="69"/>
        <v>63.595695515491634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353.37479213497227</v>
      </c>
      <c r="DU124" s="59">
        <f t="shared" si="98"/>
        <v>345.4750813433123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23.079084813901872</v>
      </c>
      <c r="EB124" s="21">
        <f>EXP(-LN(2)/25)*EB123+(1-EXP(-LN(2)/25))/(LN(2)/25)*Calculateur!DW124*Calculateur!DY124*VLOOKUP('Données projet'!$B$14,Paramètres!$A$1:$I$89,3,0)*0.475*44/12</f>
        <v>16.467556464829649</v>
      </c>
      <c r="EC124" s="21">
        <f>EXP(-LN(2)/2)*EC123+(1-EXP(-LN(2)/2))/(LN(2)/2)*DW124*DZ124*VLOOKUP('Données projet'!$B$14,Paramètres!$A$1:$I$89,3,0)*0.475*44/12</f>
        <v>4.2093791498428131E-5</v>
      </c>
      <c r="ED124" s="22">
        <f t="shared" si="72"/>
        <v>39.54668337252302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-4.5474735088646412E-13</v>
      </c>
      <c r="EK124" s="17">
        <f>EJ124*VLOOKUP('Données projet'!$B$15,Paramètres!$A$1:$I$89,3,0)*VLOOKUP('Données projet'!$B$15,Paramètres!$A$1:$I$89,5,0)</f>
        <v>-2.1282176021486519E-13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433.05041777893922</v>
      </c>
      <c r="EP124" s="59">
        <f t="shared" si="100"/>
        <v>591.24088611958996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256.02004885418495</v>
      </c>
      <c r="EW124" s="21">
        <f>EXP(-LN(2)/25)*EW123+(1-EXP(-LN(2)/25))/(LN(2)/25)*Calculateur!ER124*Calculateur!ET124*VLOOKUP('Données projet'!$B$15,Paramètres!$A$1:$I$89,3,0)*0.475*44/12</f>
        <v>68.888638473510369</v>
      </c>
      <c r="EX124" s="21">
        <f>EXP(-LN(2)/2)*EX123+(1-EXP(-LN(2)/2))/(LN(2)/2)*ER124*EU124*VLOOKUP('Données projet'!$B$15,Paramètres!$A$1:$I$89,3,0)*0.475*44/12</f>
        <v>0.19099789118974325</v>
      </c>
      <c r="EY124" s="22">
        <f t="shared" si="75"/>
        <v>325.09968521888504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-8.5265128291212022E-14</v>
      </c>
      <c r="FF124" s="17">
        <f>FE124*VLOOKUP('Données projet'!$B$16,Paramètres!$A$1:$I$89,3,0)*VLOOKUP('Données projet'!$B$16,Paramètres!$A$1:$I$89,5,0)</f>
        <v>-6.9167072069831198E-14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159.4660488566085</v>
      </c>
      <c r="FK124" s="59">
        <f t="shared" si="102"/>
        <v>135.33030558297088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</v>
      </c>
      <c r="FR124" s="21">
        <f>EXP(-LN(2)/25)*FR123+(1-EXP(-LN(2)/25))/(LN(2)/25)*Calculateur!FM124*Calculateur!FO124*VLOOKUP('Données projet'!$B$16,Paramètres!$A$1:$I$89,3,0)*0.475*44/12</f>
        <v>6.8498863493913031</v>
      </c>
      <c r="FS124" s="21">
        <f>EXP(-LN(2)/2)*FS123+(1-EXP(-LN(2)/2))/(LN(2)/2)*FM124*FP124*VLOOKUP('Données projet'!$B$16,Paramètres!$A$1:$I$89,3,0)*0.475*44/12</f>
        <v>5.4045215768841351E-4</v>
      </c>
      <c r="FT124" s="22">
        <f t="shared" si="78"/>
        <v>6.8504268015489913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8.9160000000000021</v>
      </c>
      <c r="N125" s="13">
        <f>IF('Données projet'!$A$36&gt;35,N124+M125-V124,IF(A125&lt;'Données projet'!$A$36,$K$205^A125,IF(A125='Données projet'!$A$36,'Données projet'!$B$36,N124+M125-V124)))</f>
        <v>434.0280000000007</v>
      </c>
      <c r="O125" s="13">
        <f>N125*VLOOKUP('Données projet'!$B$9,Paramètres!$A$1:$I$89,3,0)*VLOOKUP('Données projet'!$B$9,Paramètres!$A$1:$I$89,5,0)</f>
        <v>440.1043920000007</v>
      </c>
      <c r="P125" s="13">
        <f t="shared" si="87"/>
        <v>99.861453660492415</v>
      </c>
      <c r="Q125" s="20">
        <f t="shared" si="107"/>
        <v>940.44051452535894</v>
      </c>
      <c r="R125" s="59">
        <f t="shared" si="55"/>
        <v>1233.7738478586923</v>
      </c>
      <c r="S125" s="59">
        <f ca="1">AVERAGE(OFFSET($R$3,0,0,'Données projet'!$E$9+1,1))-AVERAGE(OFFSET($H$3,0,0,'Données projet'!$E$9+1,1))</f>
        <v>706.69239849991595</v>
      </c>
      <c r="T125" s="59">
        <f t="shared" si="88"/>
        <v>310.59887275116529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34.874793149476609</v>
      </c>
      <c r="AA125" s="21">
        <f>EXP(-LN(2)/25)*AA124+(1-EXP(-LN(2)/25))/(LN(2)/25)*Calculateur!V125*Calculateur!X125*VLOOKUP('Données projet'!$B$9,Paramètres!$A$1:$I$89,3,0)*0.475*44/12</f>
        <v>23.144800447789148</v>
      </c>
      <c r="AB125" s="21">
        <f>EXP(-LN(2)/2)*AB124+(1-EXP(-LN(2)/2))/(LN(2)/2)*V125*Y125*VLOOKUP('Données projet'!$B$9,Paramètres!$A$1:$I$89,3,0)*0.475*44/12</f>
        <v>0.3826536862743587</v>
      </c>
      <c r="AC125" s="22">
        <f t="shared" si="57"/>
        <v>58.402247283540113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239.26156489359892</v>
      </c>
      <c r="AO125" s="59">
        <f t="shared" si="90"/>
        <v>213.97034450798111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5.7380104964208858</v>
      </c>
      <c r="AV125" s="21">
        <f>EXP(-LN(2)/25)*AV124+(1-EXP(-LN(2)/25))/(LN(2)/25)*Calculateur!AQ125*Calculateur!AS125*VLOOKUP('Données projet'!$B$10,Paramètres!$A$1:$I$89,3,0)*0.475*44/12</f>
        <v>26.298469737758108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32.036480234178995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-1.7053025658242404E-13</v>
      </c>
      <c r="BE125" s="13">
        <f>BD125*VLOOKUP('Données projet'!$B$11,Paramètres!$A$1:$I$89,3,0)*VLOOKUP('Données projet'!$B$11,Paramètres!$A$1:$I$89,5,0)</f>
        <v>-1.4897523215040567E-13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324.86930206492627</v>
      </c>
      <c r="BJ125" s="59">
        <f t="shared" si="92"/>
        <v>317.03005098025352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20.055536855229736</v>
      </c>
      <c r="BQ125" s="21">
        <f>EXP(-LN(2)/25)*BQ124+(1-EXP(-LN(2)/25))/(LN(2)/25)*Calculateur!BL125*Calculateur!BN125*VLOOKUP('Données projet'!$B$11,Paramètres!$A$1:$I$89,3,0)*0.475*44/12</f>
        <v>14.516591857860705</v>
      </c>
      <c r="BR125" s="21">
        <f>EXP(-LN(2)/2)*BR124+(1-EXP(-LN(2)/2))/(LN(2)/2)*BL125*BO125*VLOOKUP('Données projet'!$B$11,Paramètres!$A$1:$I$89,3,0)*0.475*44/12</f>
        <v>2.7215961942355201E-5</v>
      </c>
      <c r="BS125" s="22">
        <f t="shared" si="63"/>
        <v>34.572155929052386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>
        <f>VLOOKUP(A125,'Données projet'!$A$113:$I$133,2,0)</f>
        <v>315.27</v>
      </c>
      <c r="BW125" s="12">
        <f>VLOOKUP(A125,'Données projet'!$A$113:$I$133,9,0)</f>
        <v>7.0011111111111104</v>
      </c>
      <c r="BX125" s="12">
        <f t="array" ref="BX125">INDEX(BW:BW,MIN(IF(ISNUMBER(BW125:BW321),ROW(BW125:BW321),"")))</f>
        <v>7.0011111111111104</v>
      </c>
      <c r="BY125" s="12">
        <f>IF('Données projet'!$A$114&gt;35,BY124+BX125-CG124,IF(A125&lt;'Données projet'!$A$114,$BV$205^A125,IF(A125='Données projet'!$A$114,'Données projet'!$B$114,BY124+BX125-CG124)))</f>
        <v>315.27000000000004</v>
      </c>
      <c r="BZ125" s="13">
        <f>BY125*VLOOKUP('Données projet'!$B$12,Paramètres!$A$1:$I$89,3,0)*VLOOKUP('Données projet'!$B$12,Paramètres!$A$1:$I$89,5,0)</f>
        <v>359.02947600000005</v>
      </c>
      <c r="CA125" s="13">
        <f t="shared" si="93"/>
        <v>83.419008930402995</v>
      </c>
      <c r="CB125" s="20">
        <f t="shared" si="64"/>
        <v>770.5977779204519</v>
      </c>
      <c r="CC125" s="59">
        <f t="shared" si="65"/>
        <v>1063.9311112537853</v>
      </c>
      <c r="CD125" s="59">
        <f ca="1">AVERAGE(OFFSET($CC$3,0,0,'Données projet'!$E$12+1,1))-AVERAGE(OFFSET($H$3,0,0,'Données projet'!$E$12+1,1))</f>
        <v>593.28343396240075</v>
      </c>
      <c r="CE125" s="59">
        <f t="shared" si="94"/>
        <v>289.66477662068695</v>
      </c>
      <c r="CF125" s="15">
        <f>IF(ISNA(VLOOKUP(A125,'Données projet'!$A$113:$I$133,3,0)),0,VLOOKUP(A125,'Données projet'!$A$113:$I$133,3,0))</f>
        <v>8</v>
      </c>
      <c r="CG125" s="15">
        <f>IF(ISNA(VLOOKUP(A125,'Données projet'!$A$113:$I$133,4,0)),0,VLOOKUP(A125,'Données projet'!$A$113:$I$133,4,0))</f>
        <v>45.829999999999984</v>
      </c>
      <c r="CH125" s="16">
        <f>IF(ISNA(VLOOKUP(A125,'Données projet'!$A$113:$I$133,5,0)),0%,VLOOKUP(A125,'Données projet'!$A$113:$I$133,5,0)*VLOOKUP('Données projet'!$B$12,Paramètres!$A$1:$I$89,7,0))</f>
        <v>0.15049999999999999</v>
      </c>
      <c r="CI125" s="16">
        <f>IF(ISNA(VLOOKUP(A125,'Données projet'!$A$113:$I$133,6,0)),0%,VLOOKUP(A125,'Données projet'!$A$113:$I$133,6,0)*VLOOKUP('Données projet'!$B$12,Paramètres!$A$1:$I$89,7,0))</f>
        <v>8.6000000000000007E-2</v>
      </c>
      <c r="CJ125" s="16">
        <f>IF(ISNA(VLOOKUP(A125,'Données projet'!$A$113:$I$133,7,0)),0%,VLOOKUP(A125,'Données projet'!$A$113:$I$133,7,0))</f>
        <v>0.1</v>
      </c>
      <c r="CK125" s="21">
        <f>EXP(-LN(2)/35)*CK124+(1-EXP(-LN(2)/35))/(LN(2)/35)*CG125*CH125*VLOOKUP('Données projet'!$B$12,Paramètres!$A$1:$I$89,3,0)*0.475*44/12</f>
        <v>28.681679730442646</v>
      </c>
      <c r="CL125" s="21">
        <f>EXP(-LN(2)/25)*CL124+(1-EXP(-LN(2)/25))/(LN(2)/25)*Calculateur!CG125*Calculateur!CI125*VLOOKUP('Données projet'!$B$12,Paramètres!$A$1:$I$89,3,0)*0.475*44/12</f>
        <v>28.694772840348108</v>
      </c>
      <c r="CM125" s="21">
        <f>EXP(-LN(2)/2)*CM124+(1-EXP(-LN(2)/2))/(LN(2)/2)*CG125*CJ125*VLOOKUP('Données projet'!$B$12,Paramètres!$A$1:$I$89,3,0)*0.475*44/12</f>
        <v>5.1307894444948854</v>
      </c>
      <c r="CN125" s="22">
        <f t="shared" si="66"/>
        <v>62.507242015285641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8.9160000000000021</v>
      </c>
      <c r="CT125" s="12">
        <f>IF('Données projet'!$A$140&gt;35,CT124+CS125-DB124,IF(A125&lt;'Données projet'!$A$140,$CQ$205^A125,IF(A125='Données projet'!$A$140,'Données projet'!$B$140,CT124+CS125-DB124)))</f>
        <v>434.0280000000007</v>
      </c>
      <c r="CU125" s="17">
        <f>CT125*VLOOKUP('Données projet'!$B$13,Paramètres!$A$1:$I$89,3,0)*VLOOKUP('Données projet'!$B$13,Paramètres!$A$1:$I$89,5,0)</f>
        <v>467.18773920000075</v>
      </c>
      <c r="CV125" s="13">
        <f t="shared" si="95"/>
        <v>105.27244223657124</v>
      </c>
      <c r="CW125" s="20">
        <f t="shared" si="67"/>
        <v>997.0348160020294</v>
      </c>
      <c r="CX125" s="59">
        <f t="shared" si="68"/>
        <v>1290.3681493353627</v>
      </c>
      <c r="CY125" s="59">
        <f ca="1">AVERAGE(OFFSET($CX$3,0,0,'Données projet'!$E$13+1,1))-AVERAGE(OFFSET($H$3,0,0,'Données projet'!$E$13+1,1))</f>
        <v>747.18304127457918</v>
      </c>
      <c r="CZ125" s="59">
        <f t="shared" si="96"/>
        <v>327.03701004966723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37.020934266367455</v>
      </c>
      <c r="DG125" s="21">
        <f>EXP(-LN(2)/25)*DG124+(1-EXP(-LN(2)/25))/(LN(2)/25)*Calculateur!DB125*Calculateur!DD125*VLOOKUP('Données projet'!$B$13,Paramètres!$A$1:$I$89,3,0)*0.475*44/12</f>
        <v>24.569095859960782</v>
      </c>
      <c r="DH125" s="21">
        <f>EXP(-LN(2)/2)*DH124+(1-EXP(-LN(2)/2))/(LN(2)/2)*DB125*DE125*VLOOKUP('Données projet'!$B$13,Paramètres!$A$1:$I$89,3,0)*0.475*44/12</f>
        <v>0.40620160542970374</v>
      </c>
      <c r="DI125" s="22">
        <f t="shared" si="69"/>
        <v>61.996231731757938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353.37479213497227</v>
      </c>
      <c r="DU125" s="59">
        <f t="shared" si="98"/>
        <v>345.4750813433123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22.626518037553019</v>
      </c>
      <c r="EB125" s="21">
        <f>EXP(-LN(2)/25)*EB124+(1-EXP(-LN(2)/25))/(LN(2)/25)*Calculateur!DW125*Calculateur!DY125*VLOOKUP('Données projet'!$B$14,Paramètres!$A$1:$I$89,3,0)*0.475*44/12</f>
        <v>16.017250267307723</v>
      </c>
      <c r="EC125" s="21">
        <f>EXP(-LN(2)/2)*EC124+(1-EXP(-LN(2)/2))/(LN(2)/2)*DW125*DZ125*VLOOKUP('Données projet'!$B$14,Paramètres!$A$1:$I$89,3,0)*0.475*44/12</f>
        <v>2.9764805414391178E-5</v>
      </c>
      <c r="ED125" s="22">
        <f t="shared" si="72"/>
        <v>38.643798069666154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-4.5474735088646412E-13</v>
      </c>
      <c r="EK125" s="17">
        <f>EJ125*VLOOKUP('Données projet'!$B$15,Paramètres!$A$1:$I$89,3,0)*VLOOKUP('Données projet'!$B$15,Paramètres!$A$1:$I$89,5,0)</f>
        <v>-2.1282176021486519E-13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433.05041777893922</v>
      </c>
      <c r="EP125" s="59">
        <f t="shared" si="100"/>
        <v>591.24088611958996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250.99965185296497</v>
      </c>
      <c r="EW125" s="21">
        <f>EXP(-LN(2)/25)*EW124+(1-EXP(-LN(2)/25))/(LN(2)/25)*Calculateur!ER125*Calculateur!ET125*VLOOKUP('Données projet'!$B$15,Paramètres!$A$1:$I$89,3,0)*0.475*44/12</f>
        <v>67.004875031756171</v>
      </c>
      <c r="EX125" s="21">
        <f>EXP(-LN(2)/2)*EX124+(1-EXP(-LN(2)/2))/(LN(2)/2)*ER125*EU125*VLOOKUP('Données projet'!$B$15,Paramètres!$A$1:$I$89,3,0)*0.475*44/12</f>
        <v>0.13505590405259779</v>
      </c>
      <c r="EY125" s="22">
        <f t="shared" si="75"/>
        <v>318.13958278877374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-8.5265128291212022E-14</v>
      </c>
      <c r="FF125" s="17">
        <f>FE125*VLOOKUP('Données projet'!$B$16,Paramètres!$A$1:$I$89,3,0)*VLOOKUP('Données projet'!$B$16,Paramètres!$A$1:$I$89,5,0)</f>
        <v>-6.9167072069831198E-14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159.4660488566085</v>
      </c>
      <c r="FK125" s="59">
        <f t="shared" si="102"/>
        <v>135.33030558297088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</v>
      </c>
      <c r="FR125" s="21">
        <f>EXP(-LN(2)/25)*FR124+(1-EXP(-LN(2)/25))/(LN(2)/25)*Calculateur!FM125*Calculateur!FO125*VLOOKUP('Données projet'!$B$16,Paramètres!$A$1:$I$89,3,0)*0.475*44/12</f>
        <v>6.6625758469473304</v>
      </c>
      <c r="FS125" s="21">
        <f>EXP(-LN(2)/2)*FS124+(1-EXP(-LN(2)/2))/(LN(2)/2)*FM125*FP125*VLOOKUP('Données projet'!$B$16,Paramètres!$A$1:$I$89,3,0)*0.475*44/12</f>
        <v>3.821573856083785E-4</v>
      </c>
      <c r="FT125" s="22">
        <f t="shared" si="78"/>
        <v>6.6629580043329391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8.9160000000000021</v>
      </c>
      <c r="N126" s="13">
        <f>IF('Données projet'!$A$36&gt;35,N125+M126-V125,IF(A126&lt;'Données projet'!$A$36,$K$205^A126,IF(A126='Données projet'!$A$36,'Données projet'!$B$36,N125+M126-V125)))</f>
        <v>442.9440000000007</v>
      </c>
      <c r="O126" s="13">
        <f>N126*VLOOKUP('Données projet'!$B$9,Paramètres!$A$1:$I$89,3,0)*VLOOKUP('Données projet'!$B$9,Paramètres!$A$1:$I$89,5,0)</f>
        <v>449.1452160000008</v>
      </c>
      <c r="P126" s="13">
        <f t="shared" si="87"/>
        <v>101.67191932991005</v>
      </c>
      <c r="Q126" s="20">
        <f t="shared" si="107"/>
        <v>959.33984403292789</v>
      </c>
      <c r="R126" s="59">
        <f t="shared" si="55"/>
        <v>1252.6731773662611</v>
      </c>
      <c r="S126" s="59">
        <f ca="1">AVERAGE(OFFSET($R$3,0,0,'Données projet'!$E$9+1,1))-AVERAGE(OFFSET($H$3,0,0,'Données projet'!$E$9+1,1))</f>
        <v>706.69239849991595</v>
      </c>
      <c r="T126" s="59">
        <f t="shared" si="88"/>
        <v>310.59887275116529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34.190919727338809</v>
      </c>
      <c r="AA126" s="21">
        <f>EXP(-LN(2)/25)*AA125+(1-EXP(-LN(2)/25))/(LN(2)/25)*Calculateur!V126*Calculateur!X126*VLOOKUP('Données projet'!$B$9,Paramètres!$A$1:$I$89,3,0)*0.475*44/12</f>
        <v>22.511904662412196</v>
      </c>
      <c r="AB126" s="21">
        <f>EXP(-LN(2)/2)*AB125+(1-EXP(-LN(2)/2))/(LN(2)/2)*V126*Y126*VLOOKUP('Données projet'!$B$9,Paramètres!$A$1:$I$89,3,0)*0.475*44/12</f>
        <v>0.27057701641062876</v>
      </c>
      <c r="AC126" s="22">
        <f t="shared" si="57"/>
        <v>56.973401406161628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239.26156489359892</v>
      </c>
      <c r="AO126" s="59">
        <f t="shared" si="90"/>
        <v>213.97034450798111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5.6254916104268942</v>
      </c>
      <c r="AV126" s="21">
        <f>EXP(-LN(2)/25)*AV125+(1-EXP(-LN(2)/25))/(LN(2)/25)*Calculateur!AQ126*Calculateur!AS126*VLOOKUP('Données projet'!$B$10,Paramètres!$A$1:$I$89,3,0)*0.475*44/12</f>
        <v>25.579336699802695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31.20482831022959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-1.7053025658242404E-13</v>
      </c>
      <c r="BE126" s="13">
        <f>BD126*VLOOKUP('Données projet'!$B$11,Paramètres!$A$1:$I$89,3,0)*VLOOKUP('Données projet'!$B$11,Paramètres!$A$1:$I$89,5,0)</f>
        <v>-1.4897523215040567E-13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324.86930206492627</v>
      </c>
      <c r="BJ126" s="59">
        <f t="shared" si="92"/>
        <v>317.03005098025352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19.662260010168286</v>
      </c>
      <c r="BQ126" s="21">
        <f>EXP(-LN(2)/25)*BQ125+(1-EXP(-LN(2)/25))/(LN(2)/25)*Calculateur!BL126*Calculateur!BN126*VLOOKUP('Données projet'!$B$11,Paramètres!$A$1:$I$89,3,0)*0.475*44/12</f>
        <v>14.119634890113117</v>
      </c>
      <c r="BR126" s="21">
        <f>EXP(-LN(2)/2)*BR125+(1-EXP(-LN(2)/2))/(LN(2)/2)*BL126*BO126*VLOOKUP('Données projet'!$B$11,Paramètres!$A$1:$I$89,3,0)*0.475*44/12</f>
        <v>1.9244591245954364E-5</v>
      </c>
      <c r="BS126" s="22">
        <f t="shared" si="63"/>
        <v>33.781914144872644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7.1129999999999995</v>
      </c>
      <c r="BY126" s="12">
        <f>IF('Données projet'!$A$114&gt;35,BY125+BX126-CG125,IF(A126&lt;'Données projet'!$A$114,$BV$205^A126,IF(A126='Données projet'!$A$114,'Données projet'!$B$114,BY125+BX126-CG125)))</f>
        <v>276.55300000000005</v>
      </c>
      <c r="BZ126" s="13">
        <f>BY126*VLOOKUP('Données projet'!$B$12,Paramètres!$A$1:$I$89,3,0)*VLOOKUP('Données projet'!$B$12,Paramètres!$A$1:$I$89,5,0)</f>
        <v>314.93855640000004</v>
      </c>
      <c r="CA126" s="13">
        <f t="shared" si="93"/>
        <v>74.299246672874546</v>
      </c>
      <c r="CB126" s="20">
        <f t="shared" si="64"/>
        <v>677.92250701858995</v>
      </c>
      <c r="CC126" s="59">
        <f t="shared" si="65"/>
        <v>971.25584035192333</v>
      </c>
      <c r="CD126" s="59">
        <f ca="1">AVERAGE(OFFSET($CC$3,0,0,'Données projet'!$E$12+1,1))-AVERAGE(OFFSET($H$3,0,0,'Données projet'!$E$12+1,1))</f>
        <v>593.28343396240075</v>
      </c>
      <c r="CE126" s="59">
        <f t="shared" si="94"/>
        <v>289.66477662068695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28.119249485025904</v>
      </c>
      <c r="CL126" s="21">
        <f>EXP(-LN(2)/25)*CL125+(1-EXP(-LN(2)/25))/(LN(2)/25)*Calculateur!CG126*Calculateur!CI126*VLOOKUP('Données projet'!$B$12,Paramètres!$A$1:$I$89,3,0)*0.475*44/12</f>
        <v>27.910112768036267</v>
      </c>
      <c r="CM126" s="21">
        <f>EXP(-LN(2)/2)*CM125+(1-EXP(-LN(2)/2))/(LN(2)/2)*CG126*CJ126*VLOOKUP('Données projet'!$B$12,Paramètres!$A$1:$I$89,3,0)*0.475*44/12</f>
        <v>3.6280160090426929</v>
      </c>
      <c r="CN126" s="22">
        <f t="shared" si="66"/>
        <v>59.657378262104871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8.9160000000000021</v>
      </c>
      <c r="CT126" s="12">
        <f>IF('Données projet'!$A$140&gt;35,CT125+CS126-DB125,IF(A126&lt;'Données projet'!$A$140,$CQ$205^A126,IF(A126='Données projet'!$A$140,'Données projet'!$B$140,CT125+CS126-DB125)))</f>
        <v>442.9440000000007</v>
      </c>
      <c r="CU126" s="17">
        <f>CT126*VLOOKUP('Données projet'!$B$13,Paramètres!$A$1:$I$89,3,0)*VLOOKUP('Données projet'!$B$13,Paramètres!$A$1:$I$89,5,0)</f>
        <v>476.78492160000076</v>
      </c>
      <c r="CV126" s="13">
        <f t="shared" si="95"/>
        <v>107.1810079105002</v>
      </c>
      <c r="CW126" s="20">
        <f t="shared" si="67"/>
        <v>1017.0739938974557</v>
      </c>
      <c r="CX126" s="59">
        <f t="shared" si="68"/>
        <v>1310.407327230789</v>
      </c>
      <c r="CY126" s="59">
        <f ca="1">AVERAGE(OFFSET($CX$3,0,0,'Données projet'!$E$13+1,1))-AVERAGE(OFFSET($H$3,0,0,'Données projet'!$E$13+1,1))</f>
        <v>747.18304127457918</v>
      </c>
      <c r="CZ126" s="59">
        <f t="shared" si="96"/>
        <v>327.03701004966723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36.294976325944248</v>
      </c>
      <c r="DG126" s="21">
        <f>EXP(-LN(2)/25)*DG125+(1-EXP(-LN(2)/25))/(LN(2)/25)*Calculateur!DB126*Calculateur!DD126*VLOOKUP('Données projet'!$B$13,Paramètres!$A$1:$I$89,3,0)*0.475*44/12</f>
        <v>23.897252641637557</v>
      </c>
      <c r="DH126" s="21">
        <f>EXP(-LN(2)/2)*DH125+(1-EXP(-LN(2)/2))/(LN(2)/2)*DB126*DE126*VLOOKUP('Données projet'!$B$13,Paramètres!$A$1:$I$89,3,0)*0.475*44/12</f>
        <v>0.28722790972820583</v>
      </c>
      <c r="DI126" s="22">
        <f t="shared" si="69"/>
        <v>60.479456877310014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353.37479213497227</v>
      </c>
      <c r="DU126" s="59">
        <f t="shared" si="98"/>
        <v>345.4750813433123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22.182825819649889</v>
      </c>
      <c r="EB126" s="21">
        <f>EXP(-LN(2)/25)*EB125+(1-EXP(-LN(2)/25))/(LN(2)/25)*Calculateur!DW126*Calculateur!DY126*VLOOKUP('Données projet'!$B$14,Paramètres!$A$1:$I$89,3,0)*0.475*44/12</f>
        <v>15.57925771643761</v>
      </c>
      <c r="EC126" s="21">
        <f>EXP(-LN(2)/2)*EC125+(1-EXP(-LN(2)/2))/(LN(2)/2)*DW126*DZ126*VLOOKUP('Données projet'!$B$14,Paramètres!$A$1:$I$89,3,0)*0.475*44/12</f>
        <v>2.1046895749214069E-5</v>
      </c>
      <c r="ED126" s="22">
        <f t="shared" si="72"/>
        <v>37.762104582983248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-4.5474735088646412E-13</v>
      </c>
      <c r="EK126" s="17">
        <f>EJ126*VLOOKUP('Données projet'!$B$15,Paramètres!$A$1:$I$89,3,0)*VLOOKUP('Données projet'!$B$15,Paramètres!$A$1:$I$89,5,0)</f>
        <v>-2.1282176021486519E-13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433.05041777893922</v>
      </c>
      <c r="EP126" s="59">
        <f t="shared" si="100"/>
        <v>591.24088611958996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246.07770177479912</v>
      </c>
      <c r="EW126" s="21">
        <f>EXP(-LN(2)/25)*EW125+(1-EXP(-LN(2)/25))/(LN(2)/25)*Calculateur!ER126*Calculateur!ET126*VLOOKUP('Données projet'!$B$15,Paramètres!$A$1:$I$89,3,0)*0.475*44/12</f>
        <v>65.172623200379562</v>
      </c>
      <c r="EX126" s="21">
        <f>EXP(-LN(2)/2)*EX125+(1-EXP(-LN(2)/2))/(LN(2)/2)*ER126*EU126*VLOOKUP('Données projet'!$B$15,Paramètres!$A$1:$I$89,3,0)*0.475*44/12</f>
        <v>9.5498945594871626E-2</v>
      </c>
      <c r="EY126" s="22">
        <f t="shared" si="75"/>
        <v>311.34582392077357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-8.5265128291212022E-14</v>
      </c>
      <c r="FF126" s="17">
        <f>FE126*VLOOKUP('Données projet'!$B$16,Paramètres!$A$1:$I$89,3,0)*VLOOKUP('Données projet'!$B$16,Paramètres!$A$1:$I$89,5,0)</f>
        <v>-6.9167072069831198E-14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159.4660488566085</v>
      </c>
      <c r="FK126" s="59">
        <f t="shared" si="102"/>
        <v>135.33030558297088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</v>
      </c>
      <c r="FR126" s="21">
        <f>EXP(-LN(2)/25)*FR125+(1-EXP(-LN(2)/25))/(LN(2)/25)*Calculateur!FM126*Calculateur!FO126*VLOOKUP('Données projet'!$B$16,Paramètres!$A$1:$I$89,3,0)*0.475*44/12</f>
        <v>6.4803873600429194</v>
      </c>
      <c r="FS126" s="21">
        <f>EXP(-LN(2)/2)*FS125+(1-EXP(-LN(2)/2))/(LN(2)/2)*FM126*FP126*VLOOKUP('Données projet'!$B$16,Paramètres!$A$1:$I$89,3,0)*0.475*44/12</f>
        <v>2.7022607884420676E-4</v>
      </c>
      <c r="FT126" s="22">
        <f t="shared" si="78"/>
        <v>6.4806575861217635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451.86</v>
      </c>
      <c r="L127" s="12">
        <f>VLOOKUP(A127,'Données projet'!$A$35:$I$55,9,0)</f>
        <v>8.9160000000000021</v>
      </c>
      <c r="M127" s="12">
        <f t="array" ref="M127">INDEX(L:L,MIN(IF(ISNUMBER(L127:L323),ROW(L127:L323),"")))</f>
        <v>8.9160000000000021</v>
      </c>
      <c r="N127" s="13">
        <f>IF('Données projet'!$A$36&gt;35,N126+M127-V126,IF(A127&lt;'Données projet'!$A$36,$K$205^A127,IF(A127='Données projet'!$A$36,'Données projet'!$B$36,N126+M127-V126)))</f>
        <v>451.8600000000007</v>
      </c>
      <c r="O127" s="13">
        <f>N127*VLOOKUP('Données projet'!$B$9,Paramètres!$A$1:$I$89,3,0)*VLOOKUP('Données projet'!$B$9,Paramètres!$A$1:$I$89,5,0)</f>
        <v>458.18604000000073</v>
      </c>
      <c r="P127" s="13">
        <f t="shared" si="87"/>
        <v>103.47814772253736</v>
      </c>
      <c r="Q127" s="20">
        <f t="shared" si="107"/>
        <v>978.23179361675386</v>
      </c>
      <c r="R127" s="59">
        <f t="shared" si="55"/>
        <v>1271.5651269500872</v>
      </c>
      <c r="S127" s="59">
        <f ca="1">AVERAGE(OFFSET($R$3,0,0,'Données projet'!$E$9+1,1))-AVERAGE(OFFSET($H$3,0,0,'Données projet'!$E$9+1,1))</f>
        <v>706.69239849991595</v>
      </c>
      <c r="T127" s="59">
        <f t="shared" si="88"/>
        <v>310.59887275116529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57.81</v>
      </c>
      <c r="W127" s="16">
        <f>IF(ISNA(VLOOKUP(A127,'Données projet'!$A$35:$I$55,5,0)),0%,VLOOKUP(A127,'Données projet'!$A$35:$I$55,5,0)*VLOOKUP('Données projet'!$B$9,Paramètres!$A$1:$I$89,7,0))</f>
        <v>0.15049999999999999</v>
      </c>
      <c r="X127" s="16">
        <f>IF(ISNA(VLOOKUP(A127,'Données projet'!$A$35:$I$55,6,0)),0%,VLOOKUP(A127,'Données projet'!$A$35:$I$55,6,0)*VLOOKUP('Données projet'!$B$9,Paramètres!$A$1:$I$89,7,0))</f>
        <v>8.6000000000000007E-2</v>
      </c>
      <c r="Y127" s="16">
        <f>IF(ISNA(VLOOKUP(A127,'Données projet'!$A$35:$I$55,7,0)),0%,VLOOKUP(A127,'Données projet'!$A$35:$I$55,7,0))</f>
        <v>0.1</v>
      </c>
      <c r="Z127" s="21">
        <f>EXP(-LN(2)/35)*Z126+(1-EXP(-LN(2)/35))/(LN(2)/35)*V127*W127*VLOOKUP('Données projet'!$B$9,Paramètres!$A$1:$I$89,3,0)*0.475*44/12</f>
        <v>43.273149223572069</v>
      </c>
      <c r="AA127" s="21">
        <f>EXP(-LN(2)/25)*AA126+(1-EXP(-LN(2)/25))/(LN(2)/25)*Calculateur!V127*Calculateur!X127*VLOOKUP('Données projet'!$B$9,Paramètres!$A$1:$I$89,3,0)*0.475*44/12</f>
        <v>27.447339737534058</v>
      </c>
      <c r="AB127" s="21">
        <f>EXP(-LN(2)/2)*AB126+(1-EXP(-LN(2)/2))/(LN(2)/2)*V127*Y127*VLOOKUP('Données projet'!$B$9,Paramètres!$A$1:$I$89,3,0)*0.475*44/12</f>
        <v>5.7222193437776019</v>
      </c>
      <c r="AC127" s="22">
        <f t="shared" si="57"/>
        <v>76.442708304883723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239.26156489359892</v>
      </c>
      <c r="AO127" s="59">
        <f t="shared" si="90"/>
        <v>213.97034450798111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5.5151791511575015</v>
      </c>
      <c r="AV127" s="21">
        <f>EXP(-LN(2)/25)*AV126+(1-EXP(-LN(2)/25))/(LN(2)/25)*Calculateur!AQ127*Calculateur!AS127*VLOOKUP('Données projet'!$B$10,Paramètres!$A$1:$I$89,3,0)*0.475*44/12</f>
        <v>24.879868392587735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30.395047543745235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-1.7053025658242404E-13</v>
      </c>
      <c r="BE127" s="13">
        <f>BD127*VLOOKUP('Données projet'!$B$11,Paramètres!$A$1:$I$89,3,0)*VLOOKUP('Données projet'!$B$11,Paramètres!$A$1:$I$89,5,0)</f>
        <v>-1.4897523215040567E-13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324.86930206492627</v>
      </c>
      <c r="BJ127" s="59">
        <f t="shared" si="92"/>
        <v>317.03005098025352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19.2766950841633</v>
      </c>
      <c r="BQ127" s="21">
        <f>EXP(-LN(2)/25)*BQ126+(1-EXP(-LN(2)/25))/(LN(2)/25)*Calculateur!BL127*Calculateur!BN127*VLOOKUP('Données projet'!$B$11,Paramètres!$A$1:$I$89,3,0)*0.475*44/12</f>
        <v>13.733532731523646</v>
      </c>
      <c r="BR127" s="21">
        <f>EXP(-LN(2)/2)*BR126+(1-EXP(-LN(2)/2))/(LN(2)/2)*BL127*BO127*VLOOKUP('Données projet'!$B$11,Paramètres!$A$1:$I$89,3,0)*0.475*44/12</f>
        <v>1.36079809711776E-5</v>
      </c>
      <c r="BS127" s="22">
        <f t="shared" si="63"/>
        <v>33.010241423667914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7.1129999999999995</v>
      </c>
      <c r="BY127" s="12">
        <f>IF('Données projet'!$A$114&gt;35,BY126+BX127-CG126,IF(A127&lt;'Données projet'!$A$114,$BV$205^A127,IF(A127='Données projet'!$A$114,'Données projet'!$B$114,BY126+BX127-CG126)))</f>
        <v>283.66600000000005</v>
      </c>
      <c r="BZ127" s="13">
        <f>BY127*VLOOKUP('Données projet'!$B$12,Paramètres!$A$1:$I$89,3,0)*VLOOKUP('Données projet'!$B$12,Paramètres!$A$1:$I$89,5,0)</f>
        <v>323.03884080000006</v>
      </c>
      <c r="CA127" s="13">
        <f t="shared" si="93"/>
        <v>75.985295359040222</v>
      </c>
      <c r="CB127" s="20">
        <f t="shared" si="64"/>
        <v>694.96703714366186</v>
      </c>
      <c r="CC127" s="59">
        <f t="shared" si="65"/>
        <v>988.30037047699511</v>
      </c>
      <c r="CD127" s="59">
        <f ca="1">AVERAGE(OFFSET($CC$3,0,0,'Données projet'!$E$12+1,1))-AVERAGE(OFFSET($H$3,0,0,'Données projet'!$E$12+1,1))</f>
        <v>593.28343396240075</v>
      </c>
      <c r="CE127" s="59">
        <f t="shared" si="94"/>
        <v>289.66477662068695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27.567848153673207</v>
      </c>
      <c r="CL127" s="21">
        <f>EXP(-LN(2)/25)*CL126+(1-EXP(-LN(2)/25))/(LN(2)/25)*Calculateur!CG127*Calculateur!CI127*VLOOKUP('Données projet'!$B$12,Paramètres!$A$1:$I$89,3,0)*0.475*44/12</f>
        <v>27.146909266665276</v>
      </c>
      <c r="CM127" s="21">
        <f>EXP(-LN(2)/2)*CM126+(1-EXP(-LN(2)/2))/(LN(2)/2)*CG127*CJ127*VLOOKUP('Données projet'!$B$12,Paramètres!$A$1:$I$89,3,0)*0.475*44/12</f>
        <v>2.5653947222474431</v>
      </c>
      <c r="CN127" s="22">
        <f t="shared" si="66"/>
        <v>57.280152142585926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>
        <f>VLOOKUP(A127,'Données projet'!$A$139:$I$159,2,0)</f>
        <v>451.86</v>
      </c>
      <c r="CR127" s="12">
        <f>VLOOKUP(A127,'Données projet'!$A$139:$I$159,9,0)</f>
        <v>8.9160000000000021</v>
      </c>
      <c r="CS127" s="12">
        <f t="array" ref="CS127">INDEX(CR:CR,MIN(IF(ISNUMBER(CR127:CR323),ROW(CR127:CR323),"")))</f>
        <v>8.9160000000000021</v>
      </c>
      <c r="CT127" s="12">
        <f>IF('Données projet'!$A$140&gt;35,CT126+CS127-DB126,IF(A127&lt;'Données projet'!$A$140,$CQ$205^A127,IF(A127='Données projet'!$A$140,'Données projet'!$B$140,CT126+CS127-DB126)))</f>
        <v>451.8600000000007</v>
      </c>
      <c r="CU127" s="17">
        <f>CT127*VLOOKUP('Données projet'!$B$13,Paramètres!$A$1:$I$89,3,0)*VLOOKUP('Données projet'!$B$13,Paramètres!$A$1:$I$89,5,0)</f>
        <v>486.38210400000077</v>
      </c>
      <c r="CV127" s="13">
        <f t="shared" si="95"/>
        <v>109.085106710978</v>
      </c>
      <c r="CW127" s="20">
        <f t="shared" si="67"/>
        <v>1037.1053919882879</v>
      </c>
      <c r="CX127" s="59">
        <f t="shared" si="68"/>
        <v>1330.4387253216212</v>
      </c>
      <c r="CY127" s="59">
        <f ca="1">AVERAGE(OFFSET($CX$3,0,0,'Données projet'!$E$13+1,1))-AVERAGE(OFFSET($H$3,0,0,'Données projet'!$E$13+1,1))</f>
        <v>747.18304127457918</v>
      </c>
      <c r="CZ127" s="59">
        <f t="shared" si="96"/>
        <v>327.03701004966723</v>
      </c>
      <c r="DA127" s="15">
        <f>IF(ISNA(VLOOKUP(A127,'Données projet'!$A$139:$I$159,3,0)),0,VLOOKUP(A127,'Données projet'!$A$139:$I$159,3,0))</f>
        <v>10</v>
      </c>
      <c r="DB127" s="15">
        <f>IF(ISNA(VLOOKUP(A127,'Données projet'!$A$139:$I$159,4,0)),0,VLOOKUP(A127,'Données projet'!$A$139:$I$159,4,0))</f>
        <v>57.81</v>
      </c>
      <c r="DC127" s="16">
        <f>IF(ISNA(VLOOKUP(A127,'Données projet'!$A$139:$I$159,5,0)),0%,VLOOKUP(A127,'Données projet'!$A$139:$I$159,5,0)*VLOOKUP('Données projet'!$B$13,Paramètres!$A$1:$I$89,7,0))</f>
        <v>0.15049999999999999</v>
      </c>
      <c r="DD127" s="16">
        <f>IF(ISNA(VLOOKUP(A127,'Données projet'!$A$139:$I$159,6,0)),0%,VLOOKUP(A127,'Données projet'!$A$139:$I$159,6,0)*VLOOKUP('Données projet'!$B$13,Paramètres!$A$1:$I$89,7,0))</f>
        <v>8.6000000000000007E-2</v>
      </c>
      <c r="DE127" s="16">
        <f>IF(ISNA(VLOOKUP(A127,'Données projet'!$A$139:$I$159,7,0)),0%,VLOOKUP(A127,'Données projet'!$A$139:$I$159,7,0))</f>
        <v>0.1</v>
      </c>
      <c r="DF127" s="21">
        <f>EXP(-LN(2)/35)*DF126+(1-EXP(-LN(2)/35))/(LN(2)/35)*DB127*DC127*VLOOKUP('Données projet'!$B$13,Paramètres!$A$1:$I$89,3,0)*0.475*44/12</f>
        <v>45.936112252714942</v>
      </c>
      <c r="DG127" s="21">
        <f>EXP(-LN(2)/25)*DG126+(1-EXP(-LN(2)/25))/(LN(2)/25)*Calculateur!DB127*Calculateur!DD127*VLOOKUP('Données projet'!$B$13,Paramètres!$A$1:$I$89,3,0)*0.475*44/12</f>
        <v>29.13640679830538</v>
      </c>
      <c r="DH127" s="21">
        <f>EXP(-LN(2)/2)*DH126+(1-EXP(-LN(2)/2))/(LN(2)/2)*DB127*DE127*VLOOKUP('Données projet'!$B$13,Paramètres!$A$1:$I$89,3,0)*0.475*44/12</f>
        <v>6.0743559187792995</v>
      </c>
      <c r="DI127" s="22">
        <f t="shared" si="69"/>
        <v>81.146874969799626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353.37479213497227</v>
      </c>
      <c r="DU127" s="59">
        <f t="shared" si="98"/>
        <v>345.4750813433123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21.74783413551431</v>
      </c>
      <c r="EB127" s="21">
        <f>EXP(-LN(2)/25)*EB126+(1-EXP(-LN(2)/25))/(LN(2)/25)*Calculateur!DW127*Calculateur!DY127*VLOOKUP('Données projet'!$B$14,Paramètres!$A$1:$I$89,3,0)*0.475*44/12</f>
        <v>15.153242094904067</v>
      </c>
      <c r="EC127" s="21">
        <f>EXP(-LN(2)/2)*EC126+(1-EXP(-LN(2)/2))/(LN(2)/2)*DW127*DZ127*VLOOKUP('Données projet'!$B$14,Paramètres!$A$1:$I$89,3,0)*0.475*44/12</f>
        <v>1.4882402707195591E-5</v>
      </c>
      <c r="ED127" s="22">
        <f t="shared" si="72"/>
        <v>36.901091112821085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-4.5474735088646412E-13</v>
      </c>
      <c r="EK127" s="17">
        <f>EJ127*VLOOKUP('Données projet'!$B$15,Paramètres!$A$1:$I$89,3,0)*VLOOKUP('Données projet'!$B$15,Paramètres!$A$1:$I$89,5,0)</f>
        <v>-2.1282176021486519E-13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433.05041777893922</v>
      </c>
      <c r="EP127" s="59">
        <f t="shared" si="100"/>
        <v>591.24088611958996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241.25226813557299</v>
      </c>
      <c r="EW127" s="21">
        <f>EXP(-LN(2)/25)*EW126+(1-EXP(-LN(2)/25))/(LN(2)/25)*Calculateur!ER127*Calculateur!ET127*VLOOKUP('Données projet'!$B$15,Paramètres!$A$1:$I$89,3,0)*0.475*44/12</f>
        <v>63.390474391685885</v>
      </c>
      <c r="EX127" s="21">
        <f>EXP(-LN(2)/2)*EX126+(1-EXP(-LN(2)/2))/(LN(2)/2)*ER127*EU127*VLOOKUP('Données projet'!$B$15,Paramètres!$A$1:$I$89,3,0)*0.475*44/12</f>
        <v>6.7527952026298896E-2</v>
      </c>
      <c r="EY127" s="22">
        <f t="shared" si="75"/>
        <v>304.71027047928516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-8.5265128291212022E-14</v>
      </c>
      <c r="FF127" s="17">
        <f>FE127*VLOOKUP('Données projet'!$B$16,Paramètres!$A$1:$I$89,3,0)*VLOOKUP('Données projet'!$B$16,Paramètres!$A$1:$I$89,5,0)</f>
        <v>-6.9167072069831198E-14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159.4660488566085</v>
      </c>
      <c r="FK127" s="59">
        <f t="shared" si="102"/>
        <v>135.33030558297088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</v>
      </c>
      <c r="FR127" s="21">
        <f>EXP(-LN(2)/25)*FR126+(1-EXP(-LN(2)/25))/(LN(2)/25)*Calculateur!FM127*Calculateur!FO127*VLOOKUP('Données projet'!$B$16,Paramètres!$A$1:$I$89,3,0)*0.475*44/12</f>
        <v>6.3031808268937857</v>
      </c>
      <c r="FS127" s="21">
        <f>EXP(-LN(2)/2)*FS126+(1-EXP(-LN(2)/2))/(LN(2)/2)*FM127*FP127*VLOOKUP('Données projet'!$B$16,Paramètres!$A$1:$I$89,3,0)*0.475*44/12</f>
        <v>1.9107869280418925E-4</v>
      </c>
      <c r="FT127" s="22">
        <f t="shared" si="78"/>
        <v>6.30337190558659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9.0229999999999961</v>
      </c>
      <c r="N128" s="13">
        <f>IF('Données projet'!$A$36&gt;35,N127+M128-V127,IF(A128&lt;'Données projet'!$A$36,$K$205^A128,IF(A128='Données projet'!$A$36,'Données projet'!$B$36,N127+M128-V127)))</f>
        <v>403.07300000000072</v>
      </c>
      <c r="O128" s="13">
        <f>N128*VLOOKUP('Données projet'!$B$9,Paramètres!$A$1:$I$89,3,0)*VLOOKUP('Données projet'!$B$9,Paramètres!$A$1:$I$89,5,0)</f>
        <v>408.71602200000075</v>
      </c>
      <c r="P128" s="13">
        <f t="shared" si="87"/>
        <v>93.541481959099485</v>
      </c>
      <c r="Q128" s="20">
        <f t="shared" si="107"/>
        <v>874.76515272876622</v>
      </c>
      <c r="R128" s="59">
        <f t="shared" si="55"/>
        <v>1168.0984860620995</v>
      </c>
      <c r="S128" s="59">
        <f ca="1">AVERAGE(OFFSET($R$3,0,0,'Données projet'!$E$9+1,1))-AVERAGE(OFFSET($H$3,0,0,'Données projet'!$E$9+1,1))</f>
        <v>706.69239849991595</v>
      </c>
      <c r="T128" s="59">
        <f t="shared" si="88"/>
        <v>310.59887275116529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42.424589161312653</v>
      </c>
      <c r="AA128" s="21">
        <f>EXP(-LN(2)/25)*AA127+(1-EXP(-LN(2)/25))/(LN(2)/25)*Calculateur!V128*Calculateur!X128*VLOOKUP('Données projet'!$B$9,Paramètres!$A$1:$I$89,3,0)*0.475*44/12</f>
        <v>26.696790789018323</v>
      </c>
      <c r="AB128" s="21">
        <f>EXP(-LN(2)/2)*AB127+(1-EXP(-LN(2)/2))/(LN(2)/2)*V128*Y128*VLOOKUP('Données projet'!$B$9,Paramètres!$A$1:$I$89,3,0)*0.475*44/12</f>
        <v>4.0462201014219783</v>
      </c>
      <c r="AC128" s="22">
        <f t="shared" si="57"/>
        <v>73.167600051752956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239.26156489359892</v>
      </c>
      <c r="AO128" s="59">
        <f t="shared" si="90"/>
        <v>213.97034450798111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5.4070298519304245</v>
      </c>
      <c r="AV128" s="21">
        <f>EXP(-LN(2)/25)*AV127+(1-EXP(-LN(2)/25))/(LN(2)/25)*Calculateur!AQ128*Calculateur!AS128*VLOOKUP('Données projet'!$B$10,Paramètres!$A$1:$I$89,3,0)*0.475*44/12</f>
        <v>24.19952708301701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29.606556934947434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-1.7053025658242404E-13</v>
      </c>
      <c r="BE128" s="13">
        <f>BD128*VLOOKUP('Données projet'!$B$11,Paramètres!$A$1:$I$89,3,0)*VLOOKUP('Données projet'!$B$11,Paramètres!$A$1:$I$89,5,0)</f>
        <v>-1.4897523215040567E-13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324.86930206492627</v>
      </c>
      <c r="BJ128" s="59">
        <f t="shared" si="92"/>
        <v>317.03005098025352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18.89869085118589</v>
      </c>
      <c r="BQ128" s="21">
        <f>EXP(-LN(2)/25)*BQ127+(1-EXP(-LN(2)/25))/(LN(2)/25)*Calculateur!BL128*Calculateur!BN128*VLOOKUP('Données projet'!$B$11,Paramètres!$A$1:$I$89,3,0)*0.475*44/12</f>
        <v>13.357988556765033</v>
      </c>
      <c r="BR128" s="21">
        <f>EXP(-LN(2)/2)*BR127+(1-EXP(-LN(2)/2))/(LN(2)/2)*BL128*BO128*VLOOKUP('Données projet'!$B$11,Paramètres!$A$1:$I$89,3,0)*0.475*44/12</f>
        <v>9.6222956229771819E-6</v>
      </c>
      <c r="BS128" s="22">
        <f t="shared" si="63"/>
        <v>32.256689030246548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7.1129999999999995</v>
      </c>
      <c r="BY128" s="12">
        <f>IF('Données projet'!$A$114&gt;35,BY127+BX128-CG127,IF(A128&lt;'Données projet'!$A$114,$BV$205^A128,IF(A128='Données projet'!$A$114,'Données projet'!$B$114,BY127+BX128-CG127)))</f>
        <v>290.77900000000005</v>
      </c>
      <c r="BZ128" s="13">
        <f>BY128*VLOOKUP('Données projet'!$B$12,Paramètres!$A$1:$I$89,3,0)*VLOOKUP('Données projet'!$B$12,Paramètres!$A$1:$I$89,5,0)</f>
        <v>331.13912520000008</v>
      </c>
      <c r="CA128" s="13">
        <f t="shared" si="93"/>
        <v>77.6664295030006</v>
      </c>
      <c r="CB128" s="20">
        <f t="shared" si="64"/>
        <v>712.00300777439281</v>
      </c>
      <c r="CC128" s="59">
        <f t="shared" si="65"/>
        <v>1005.3363411077262</v>
      </c>
      <c r="CD128" s="59">
        <f ca="1">AVERAGE(OFFSET($CC$3,0,0,'Données projet'!$E$12+1,1))-AVERAGE(OFFSET($H$3,0,0,'Données projet'!$E$12+1,1))</f>
        <v>593.28343396240075</v>
      </c>
      <c r="CE128" s="59">
        <f t="shared" si="94"/>
        <v>289.66477662068695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27.027259466106734</v>
      </c>
      <c r="CL128" s="21">
        <f>EXP(-LN(2)/25)*CL127+(1-EXP(-LN(2)/25))/(LN(2)/25)*Calculateur!CG128*Calculateur!CI128*VLOOKUP('Données projet'!$B$12,Paramètres!$A$1:$I$89,3,0)*0.475*44/12</f>
        <v>26.404575605174401</v>
      </c>
      <c r="CM128" s="21">
        <f>EXP(-LN(2)/2)*CM127+(1-EXP(-LN(2)/2))/(LN(2)/2)*CG128*CJ128*VLOOKUP('Données projet'!$B$12,Paramètres!$A$1:$I$89,3,0)*0.475*44/12</f>
        <v>1.8140080045213467</v>
      </c>
      <c r="CN128" s="22">
        <f t="shared" si="66"/>
        <v>55.245843075802483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9.0229999999999961</v>
      </c>
      <c r="CT128" s="12">
        <f>IF('Données projet'!$A$140&gt;35,CT127+CS128-DB127,IF(A128&lt;'Données projet'!$A$140,$CQ$205^A128,IF(A128='Données projet'!$A$140,'Données projet'!$B$140,CT127+CS128-DB127)))</f>
        <v>403.07300000000072</v>
      </c>
      <c r="CU128" s="17">
        <f>CT128*VLOOKUP('Données projet'!$B$13,Paramètres!$A$1:$I$89,3,0)*VLOOKUP('Données projet'!$B$13,Paramètres!$A$1:$I$89,5,0)</f>
        <v>433.86777720000077</v>
      </c>
      <c r="CV128" s="13">
        <f t="shared" si="95"/>
        <v>98.610023140073864</v>
      </c>
      <c r="CW128" s="20">
        <f t="shared" si="67"/>
        <v>927.39883559229656</v>
      </c>
      <c r="CX128" s="59">
        <f t="shared" si="68"/>
        <v>1220.7321689256298</v>
      </c>
      <c r="CY128" s="59">
        <f ca="1">AVERAGE(OFFSET($CX$3,0,0,'Données projet'!$E$13+1,1))-AVERAGE(OFFSET($H$3,0,0,'Données projet'!$E$13+1,1))</f>
        <v>747.18304127457918</v>
      </c>
      <c r="CZ128" s="59">
        <f t="shared" si="96"/>
        <v>327.03701004966723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45.035333109701099</v>
      </c>
      <c r="DG128" s="21">
        <f>EXP(-LN(2)/25)*DG127+(1-EXP(-LN(2)/25))/(LN(2)/25)*Calculateur!DB128*Calculateur!DD128*VLOOKUP('Données projet'!$B$13,Paramètres!$A$1:$I$89,3,0)*0.475*44/12</f>
        <v>28.33967022218868</v>
      </c>
      <c r="DH128" s="21">
        <f>EXP(-LN(2)/2)*DH127+(1-EXP(-LN(2)/2))/(LN(2)/2)*DB128*DE128*VLOOKUP('Données projet'!$B$13,Paramètres!$A$1:$I$89,3,0)*0.475*44/12</f>
        <v>4.2952182615094845</v>
      </c>
      <c r="DI128" s="22">
        <f t="shared" si="69"/>
        <v>77.670221593399276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353.37479213497227</v>
      </c>
      <c r="DU128" s="59">
        <f t="shared" si="98"/>
        <v>345.4750813433123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21.321372372985898</v>
      </c>
      <c r="EB128" s="21">
        <f>EXP(-LN(2)/25)*EB127+(1-EXP(-LN(2)/25))/(LN(2)/25)*Calculateur!DW128*Calculateur!DY128*VLOOKUP('Données projet'!$B$14,Paramètres!$A$1:$I$89,3,0)*0.475*44/12</f>
        <v>14.738875892944547</v>
      </c>
      <c r="EC128" s="21">
        <f>EXP(-LN(2)/2)*EC127+(1-EXP(-LN(2)/2))/(LN(2)/2)*DW128*DZ128*VLOOKUP('Données projet'!$B$14,Paramètres!$A$1:$I$89,3,0)*0.475*44/12</f>
        <v>1.0523447874607036E-5</v>
      </c>
      <c r="ED128" s="22">
        <f t="shared" si="72"/>
        <v>36.060258789378324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-4.5474735088646412E-13</v>
      </c>
      <c r="EK128" s="17">
        <f>EJ128*VLOOKUP('Données projet'!$B$15,Paramètres!$A$1:$I$89,3,0)*VLOOKUP('Données projet'!$B$15,Paramètres!$A$1:$I$89,5,0)</f>
        <v>-2.1282176021486519E-13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433.05041777893922</v>
      </c>
      <c r="EP128" s="59">
        <f t="shared" si="100"/>
        <v>591.24088611958996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236.52145830678816</v>
      </c>
      <c r="EW128" s="21">
        <f>EXP(-LN(2)/25)*EW127+(1-EXP(-LN(2)/25))/(LN(2)/25)*Calculateur!ER128*Calculateur!ET128*VLOOKUP('Données projet'!$B$15,Paramètres!$A$1:$I$89,3,0)*0.475*44/12</f>
        <v>61.657058535885064</v>
      </c>
      <c r="EX128" s="21">
        <f>EXP(-LN(2)/2)*EX127+(1-EXP(-LN(2)/2))/(LN(2)/2)*ER128*EU128*VLOOKUP('Données projet'!$B$15,Paramètres!$A$1:$I$89,3,0)*0.475*44/12</f>
        <v>4.7749472797435813E-2</v>
      </c>
      <c r="EY128" s="22">
        <f t="shared" si="75"/>
        <v>298.22626631547064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-8.5265128291212022E-14</v>
      </c>
      <c r="FF128" s="17">
        <f>FE128*VLOOKUP('Données projet'!$B$16,Paramètres!$A$1:$I$89,3,0)*VLOOKUP('Données projet'!$B$16,Paramètres!$A$1:$I$89,5,0)</f>
        <v>-6.9167072069831198E-14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159.4660488566085</v>
      </c>
      <c r="FK128" s="59">
        <f t="shared" si="102"/>
        <v>135.33030558297088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</v>
      </c>
      <c r="FR128" s="21">
        <f>EXP(-LN(2)/25)*FR127+(1-EXP(-LN(2)/25))/(LN(2)/25)*Calculateur!FM128*Calculateur!FO128*VLOOKUP('Données projet'!$B$16,Paramètres!$A$1:$I$89,3,0)*0.475*44/12</f>
        <v>6.1308200157125015</v>
      </c>
      <c r="FS128" s="21">
        <f>EXP(-LN(2)/2)*FS127+(1-EXP(-LN(2)/2))/(LN(2)/2)*FM128*FP128*VLOOKUP('Données projet'!$B$16,Paramètres!$A$1:$I$89,3,0)*0.475*44/12</f>
        <v>1.3511303942210338E-4</v>
      </c>
      <c r="FT128" s="22">
        <f t="shared" si="78"/>
        <v>6.1309551287519239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9.0229999999999961</v>
      </c>
      <c r="N129" s="13">
        <f>IF('Données projet'!$A$36&gt;35,N128+M129-V128,IF(A129&lt;'Données projet'!$A$36,$K$205^A129,IF(A129='Données projet'!$A$36,'Données projet'!$B$36,N128+M129-V128)))</f>
        <v>412.09600000000069</v>
      </c>
      <c r="O129" s="13">
        <f>N129*VLOOKUP('Données projet'!$B$9,Paramètres!$A$1:$I$89,3,0)*VLOOKUP('Données projet'!$B$9,Paramètres!$A$1:$I$89,5,0)</f>
        <v>417.86534400000068</v>
      </c>
      <c r="P129" s="13">
        <f t="shared" si="87"/>
        <v>95.389327572593899</v>
      </c>
      <c r="Q129" s="20">
        <f t="shared" si="107"/>
        <v>893.91855298893552</v>
      </c>
      <c r="R129" s="59">
        <f t="shared" si="55"/>
        <v>1187.2518863222688</v>
      </c>
      <c r="S129" s="59">
        <f ca="1">AVERAGE(OFFSET($R$3,0,0,'Données projet'!$E$9+1,1))-AVERAGE(OFFSET($H$3,0,0,'Données projet'!$E$9+1,1))</f>
        <v>706.69239849991595</v>
      </c>
      <c r="T129" s="59">
        <f t="shared" si="88"/>
        <v>310.59887275116529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41.592668844303617</v>
      </c>
      <c r="AA129" s="21">
        <f>EXP(-LN(2)/25)*AA128+(1-EXP(-LN(2)/25))/(LN(2)/25)*Calculateur!V129*Calculateur!X129*VLOOKUP('Données projet'!$B$9,Paramètres!$A$1:$I$89,3,0)*0.475*44/12</f>
        <v>25.966765640969406</v>
      </c>
      <c r="AB129" s="21">
        <f>EXP(-LN(2)/2)*AB128+(1-EXP(-LN(2)/2))/(LN(2)/2)*V129*Y129*VLOOKUP('Données projet'!$B$9,Paramètres!$A$1:$I$89,3,0)*0.475*44/12</f>
        <v>2.8611096718888009</v>
      </c>
      <c r="AC129" s="22">
        <f t="shared" si="57"/>
        <v>70.420544157161814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239.26156489359892</v>
      </c>
      <c r="AO129" s="59">
        <f t="shared" si="90"/>
        <v>213.97034450798111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5.3010012944966318</v>
      </c>
      <c r="AV129" s="21">
        <f>EXP(-LN(2)/25)*AV128+(1-EXP(-LN(2)/25))/(LN(2)/25)*Calculateur!AQ129*Calculateur!AS129*VLOOKUP('Données projet'!$B$10,Paramètres!$A$1:$I$89,3,0)*0.475*44/12</f>
        <v>23.537789742334088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28.83879103683072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-1.7053025658242404E-13</v>
      </c>
      <c r="BE129" s="13">
        <f>BD129*VLOOKUP('Données projet'!$B$11,Paramètres!$A$1:$I$89,3,0)*VLOOKUP('Données projet'!$B$11,Paramètres!$A$1:$I$89,5,0)</f>
        <v>-1.4897523215040567E-13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324.86930206492627</v>
      </c>
      <c r="BJ129" s="59">
        <f t="shared" si="92"/>
        <v>317.03005098025352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18.52809905065735</v>
      </c>
      <c r="BQ129" s="21">
        <f>EXP(-LN(2)/25)*BQ128+(1-EXP(-LN(2)/25))/(LN(2)/25)*Calculateur!BL129*Calculateur!BN129*VLOOKUP('Données projet'!$B$11,Paramètres!$A$1:$I$89,3,0)*0.475*44/12</f>
        <v>12.992713657214205</v>
      </c>
      <c r="BR129" s="21">
        <f>EXP(-LN(2)/2)*BR128+(1-EXP(-LN(2)/2))/(LN(2)/2)*BL129*BO129*VLOOKUP('Données projet'!$B$11,Paramètres!$A$1:$I$89,3,0)*0.475*44/12</f>
        <v>6.8039904855888002E-6</v>
      </c>
      <c r="BS129" s="22">
        <f t="shared" si="63"/>
        <v>31.52081951186204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7.1129999999999995</v>
      </c>
      <c r="BY129" s="12">
        <f>IF('Données projet'!$A$114&gt;35,BY128+BX129-CG128,IF(A129&lt;'Données projet'!$A$114,$BV$205^A129,IF(A129='Données projet'!$A$114,'Données projet'!$B$114,BY128+BX129-CG128)))</f>
        <v>297.89200000000005</v>
      </c>
      <c r="BZ129" s="13">
        <f>BY129*VLOOKUP('Données projet'!$B$12,Paramètres!$A$1:$I$89,3,0)*VLOOKUP('Données projet'!$B$12,Paramètres!$A$1:$I$89,5,0)</f>
        <v>339.23940960000004</v>
      </c>
      <c r="CA129" s="13">
        <f t="shared" si="93"/>
        <v>79.342783153306911</v>
      </c>
      <c r="CB129" s="20">
        <f t="shared" si="64"/>
        <v>729.03065237867622</v>
      </c>
      <c r="CC129" s="59">
        <f t="shared" si="65"/>
        <v>1022.3639857120095</v>
      </c>
      <c r="CD129" s="59">
        <f ca="1">AVERAGE(OFFSET($CC$3,0,0,'Données projet'!$E$12+1,1))-AVERAGE(OFFSET($H$3,0,0,'Données projet'!$E$12+1,1))</f>
        <v>593.28343396240075</v>
      </c>
      <c r="CE129" s="59">
        <f t="shared" si="94"/>
        <v>289.66477662068695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26.497271392976899</v>
      </c>
      <c r="CL129" s="21">
        <f>EXP(-LN(2)/25)*CL128+(1-EXP(-LN(2)/25))/(LN(2)/25)*Calculateur!CG129*Calculateur!CI129*VLOOKUP('Données projet'!$B$12,Paramètres!$A$1:$I$89,3,0)*0.475*44/12</f>
        <v>25.682541096694624</v>
      </c>
      <c r="CM129" s="21">
        <f>EXP(-LN(2)/2)*CM128+(1-EXP(-LN(2)/2))/(LN(2)/2)*CG129*CJ129*VLOOKUP('Données projet'!$B$12,Paramètres!$A$1:$I$89,3,0)*0.475*44/12</f>
        <v>1.2826973611237218</v>
      </c>
      <c r="CN129" s="22">
        <f t="shared" si="66"/>
        <v>53.462509850795243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9.0229999999999961</v>
      </c>
      <c r="CT129" s="12">
        <f>IF('Données projet'!$A$140&gt;35,CT128+CS129-DB128,IF(A129&lt;'Données projet'!$A$140,$CQ$205^A129,IF(A129='Données projet'!$A$140,'Données projet'!$B$140,CT128+CS129-DB128)))</f>
        <v>412.09600000000069</v>
      </c>
      <c r="CU129" s="17">
        <f>CT129*VLOOKUP('Données projet'!$B$13,Paramètres!$A$1:$I$89,3,0)*VLOOKUP('Données projet'!$B$13,Paramètres!$A$1:$I$89,5,0)</f>
        <v>443.58013440000076</v>
      </c>
      <c r="CV129" s="13">
        <f t="shared" si="95"/>
        <v>100.55799418874339</v>
      </c>
      <c r="CW129" s="20">
        <f t="shared" si="67"/>
        <v>947.70724062539603</v>
      </c>
      <c r="CX129" s="59">
        <f t="shared" si="68"/>
        <v>1241.0405739587293</v>
      </c>
      <c r="CY129" s="59">
        <f ca="1">AVERAGE(OFFSET($CX$3,0,0,'Données projet'!$E$13+1,1))-AVERAGE(OFFSET($H$3,0,0,'Données projet'!$E$13+1,1))</f>
        <v>747.18304127457918</v>
      </c>
      <c r="CZ129" s="59">
        <f t="shared" si="96"/>
        <v>327.03701004966723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44.152217696260735</v>
      </c>
      <c r="DG129" s="21">
        <f>EXP(-LN(2)/25)*DG128+(1-EXP(-LN(2)/25))/(LN(2)/25)*Calculateur!DB129*Calculateur!DD129*VLOOKUP('Données projet'!$B$13,Paramètres!$A$1:$I$89,3,0)*0.475*44/12</f>
        <v>27.564720449644444</v>
      </c>
      <c r="DH129" s="21">
        <f>EXP(-LN(2)/2)*DH128+(1-EXP(-LN(2)/2))/(LN(2)/2)*DB129*DE129*VLOOKUP('Données projet'!$B$13,Paramètres!$A$1:$I$89,3,0)*0.475*44/12</f>
        <v>3.0371779593896502</v>
      </c>
      <c r="DI129" s="22">
        <f t="shared" si="69"/>
        <v>74.754116105294827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353.37479213497227</v>
      </c>
      <c r="DU129" s="59">
        <f t="shared" si="98"/>
        <v>345.4750813433123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20.90327326550468</v>
      </c>
      <c r="EB129" s="21">
        <f>EXP(-LN(2)/25)*EB128+(1-EXP(-LN(2)/25))/(LN(2)/25)*Calculateur!DW129*Calculateur!DY129*VLOOKUP('Données projet'!$B$14,Paramètres!$A$1:$I$89,3,0)*0.475*44/12</f>
        <v>14.335840556568181</v>
      </c>
      <c r="EC129" s="21">
        <f>EXP(-LN(2)/2)*EC128+(1-EXP(-LN(2)/2))/(LN(2)/2)*DW129*DZ129*VLOOKUP('Données projet'!$B$14,Paramètres!$A$1:$I$89,3,0)*0.475*44/12</f>
        <v>7.4412013535977962E-6</v>
      </c>
      <c r="ED129" s="22">
        <f t="shared" si="72"/>
        <v>35.239121263274214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-4.5474735088646412E-13</v>
      </c>
      <c r="EK129" s="17">
        <f>EJ129*VLOOKUP('Données projet'!$B$15,Paramètres!$A$1:$I$89,3,0)*VLOOKUP('Données projet'!$B$15,Paramètres!$A$1:$I$89,5,0)</f>
        <v>-2.1282176021486519E-13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433.05041777893922</v>
      </c>
      <c r="EP129" s="59">
        <f t="shared" si="100"/>
        <v>591.24088611958996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231.88341677323675</v>
      </c>
      <c r="EW129" s="21">
        <f>EXP(-LN(2)/25)*EW128+(1-EXP(-LN(2)/25))/(LN(2)/25)*Calculateur!ER129*Calculateur!ET129*VLOOKUP('Données projet'!$B$15,Paramètres!$A$1:$I$89,3,0)*0.475*44/12</f>
        <v>59.971043027817494</v>
      </c>
      <c r="EX129" s="21">
        <f>EXP(-LN(2)/2)*EX128+(1-EXP(-LN(2)/2))/(LN(2)/2)*ER129*EU129*VLOOKUP('Données projet'!$B$15,Paramètres!$A$1:$I$89,3,0)*0.475*44/12</f>
        <v>3.3763976013149448E-2</v>
      </c>
      <c r="EY129" s="22">
        <f t="shared" si="75"/>
        <v>291.88822377706742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-8.5265128291212022E-14</v>
      </c>
      <c r="FF129" s="17">
        <f>FE129*VLOOKUP('Données projet'!$B$16,Paramètres!$A$1:$I$89,3,0)*VLOOKUP('Données projet'!$B$16,Paramètres!$A$1:$I$89,5,0)</f>
        <v>-6.9167072069831198E-14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159.4660488566085</v>
      </c>
      <c r="FK129" s="59">
        <f t="shared" si="102"/>
        <v>135.33030558297088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</v>
      </c>
      <c r="FR129" s="21">
        <f>EXP(-LN(2)/25)*FR128+(1-EXP(-LN(2)/25))/(LN(2)/25)*Calculateur!FM129*Calculateur!FO129*VLOOKUP('Données projet'!$B$16,Paramètres!$A$1:$I$89,3,0)*0.475*44/12</f>
        <v>5.9631724199770311</v>
      </c>
      <c r="FS129" s="21">
        <f>EXP(-LN(2)/2)*FS128+(1-EXP(-LN(2)/2))/(LN(2)/2)*FM129*FP129*VLOOKUP('Données projet'!$B$16,Paramètres!$A$1:$I$89,3,0)*0.475*44/12</f>
        <v>9.5539346402094625E-5</v>
      </c>
      <c r="FT129" s="22">
        <f t="shared" si="78"/>
        <v>5.9632679593234332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9.0229999999999961</v>
      </c>
      <c r="N130" s="13">
        <f>IF('Données projet'!$A$36&gt;35,N129+M130-V129,IF(A130&lt;'Données projet'!$A$36,$K$205^A130,IF(A130='Données projet'!$A$36,'Données projet'!$B$36,N129+M130-V129)))</f>
        <v>421.11900000000071</v>
      </c>
      <c r="O130" s="13">
        <f>N130*VLOOKUP('Données projet'!$B$9,Paramètres!$A$1:$I$89,3,0)*VLOOKUP('Données projet'!$B$9,Paramètres!$A$1:$I$89,5,0)</f>
        <v>427.01466600000072</v>
      </c>
      <c r="P130" s="13">
        <f t="shared" si="87"/>
        <v>97.232469323868258</v>
      </c>
      <c r="Q130" s="20">
        <f t="shared" si="107"/>
        <v>913.06376068907173</v>
      </c>
      <c r="R130" s="59">
        <f t="shared" si="55"/>
        <v>1206.3970940224051</v>
      </c>
      <c r="S130" s="59">
        <f ca="1">AVERAGE(OFFSET($R$3,0,0,'Données projet'!$E$9+1,1))-AVERAGE(OFFSET($H$3,0,0,'Données projet'!$E$9+1,1))</f>
        <v>706.69239849991595</v>
      </c>
      <c r="T130" s="59">
        <f t="shared" si="88"/>
        <v>310.59887275116529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40.777061977289833</v>
      </c>
      <c r="AA130" s="21">
        <f>EXP(-LN(2)/25)*AA129+(1-EXP(-LN(2)/25))/(LN(2)/25)*Calculateur!V130*Calculateur!X130*VLOOKUP('Données projet'!$B$9,Paramètres!$A$1:$I$89,3,0)*0.475*44/12</f>
        <v>25.25670306898424</v>
      </c>
      <c r="AB130" s="21">
        <f>EXP(-LN(2)/2)*AB129+(1-EXP(-LN(2)/2))/(LN(2)/2)*V130*Y130*VLOOKUP('Données projet'!$B$9,Paramètres!$A$1:$I$89,3,0)*0.475*44/12</f>
        <v>2.0231100507109891</v>
      </c>
      <c r="AC130" s="22">
        <f t="shared" si="57"/>
        <v>68.056875096985053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239.26156489359892</v>
      </c>
      <c r="AO130" s="59">
        <f t="shared" si="90"/>
        <v>213.97034450798111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5.1970518924030813</v>
      </c>
      <c r="AV130" s="21">
        <f>EXP(-LN(2)/25)*AV129+(1-EXP(-LN(2)/25))/(LN(2)/25)*Calculateur!AQ130*Calculateur!AS130*VLOOKUP('Données projet'!$B$10,Paramètres!$A$1:$I$89,3,0)*0.475*44/12</f>
        <v>22.894147644031396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28.091199536434477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-1.7053025658242404E-13</v>
      </c>
      <c r="BE130" s="13">
        <f>BD130*VLOOKUP('Données projet'!$B$11,Paramètres!$A$1:$I$89,3,0)*VLOOKUP('Données projet'!$B$11,Paramètres!$A$1:$I$89,5,0)</f>
        <v>-1.4897523215040567E-13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324.86930206492627</v>
      </c>
      <c r="BJ130" s="59">
        <f t="shared" si="92"/>
        <v>317.03005098025352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18.164774329298496</v>
      </c>
      <c r="BQ130" s="21">
        <f>EXP(-LN(2)/25)*BQ129+(1-EXP(-LN(2)/25))/(LN(2)/25)*Calculateur!BL130*Calculateur!BN130*VLOOKUP('Données projet'!$B$11,Paramètres!$A$1:$I$89,3,0)*0.475*44/12</f>
        <v>12.637427219000566</v>
      </c>
      <c r="BR130" s="21">
        <f>EXP(-LN(2)/2)*BR129+(1-EXP(-LN(2)/2))/(LN(2)/2)*BL130*BO130*VLOOKUP('Données projet'!$B$11,Paramètres!$A$1:$I$89,3,0)*0.475*44/12</f>
        <v>4.8111478114885909E-6</v>
      </c>
      <c r="BS130" s="22">
        <f t="shared" si="63"/>
        <v>30.80220635944687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7.1129999999999995</v>
      </c>
      <c r="BY130" s="12">
        <f>IF('Données projet'!$A$114&gt;35,BY129+BX130-CG129,IF(A130&lt;'Données projet'!$A$114,$BV$205^A130,IF(A130='Données projet'!$A$114,'Données projet'!$B$114,BY129+BX130-CG129)))</f>
        <v>305.00500000000005</v>
      </c>
      <c r="BZ130" s="13">
        <f>BY130*VLOOKUP('Données projet'!$B$12,Paramètres!$A$1:$I$89,3,0)*VLOOKUP('Données projet'!$B$12,Paramètres!$A$1:$I$89,5,0)</f>
        <v>347.33969400000007</v>
      </c>
      <c r="CA130" s="13">
        <f t="shared" si="93"/>
        <v>81.014483591844552</v>
      </c>
      <c r="CB130" s="20">
        <f t="shared" si="64"/>
        <v>746.05019263912936</v>
      </c>
      <c r="CC130" s="59">
        <f t="shared" si="65"/>
        <v>1039.3835259724626</v>
      </c>
      <c r="CD130" s="59">
        <f ca="1">AVERAGE(OFFSET($CC$3,0,0,'Données projet'!$E$12+1,1))-AVERAGE(OFFSET($H$3,0,0,'Données projet'!$E$12+1,1))</f>
        <v>593.28343396240075</v>
      </c>
      <c r="CE130" s="59">
        <f t="shared" si="94"/>
        <v>289.66477662068695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25.977676062700333</v>
      </c>
      <c r="CL130" s="21">
        <f>EXP(-LN(2)/25)*CL129+(1-EXP(-LN(2)/25))/(LN(2)/25)*Calculateur!CG130*Calculateur!CI130*VLOOKUP('Données projet'!$B$12,Paramètres!$A$1:$I$89,3,0)*0.475*44/12</f>
        <v>24.980250659819372</v>
      </c>
      <c r="CM130" s="21">
        <f>EXP(-LN(2)/2)*CM129+(1-EXP(-LN(2)/2))/(LN(2)/2)*CG130*CJ130*VLOOKUP('Données projet'!$B$12,Paramètres!$A$1:$I$89,3,0)*0.475*44/12</f>
        <v>0.90700400226067357</v>
      </c>
      <c r="CN130" s="22">
        <f t="shared" si="66"/>
        <v>51.864930724780372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9.0229999999999961</v>
      </c>
      <c r="CT130" s="12">
        <f>IF('Données projet'!$A$140&gt;35,CT129+CS130-DB129,IF(A130&lt;'Données projet'!$A$140,$CQ$205^A130,IF(A130='Données projet'!$A$140,'Données projet'!$B$140,CT129+CS130-DB129)))</f>
        <v>421.11900000000071</v>
      </c>
      <c r="CU130" s="17">
        <f>CT130*VLOOKUP('Données projet'!$B$13,Paramètres!$A$1:$I$89,3,0)*VLOOKUP('Données projet'!$B$13,Paramètres!$A$1:$I$89,5,0)</f>
        <v>453.29249160000074</v>
      </c>
      <c r="CV130" s="13">
        <f t="shared" si="95"/>
        <v>102.50100649662066</v>
      </c>
      <c r="CW130" s="20">
        <f t="shared" si="67"/>
        <v>968.00700918494886</v>
      </c>
      <c r="CX130" s="59">
        <f t="shared" si="68"/>
        <v>1261.3403425182821</v>
      </c>
      <c r="CY130" s="59">
        <f ca="1">AVERAGE(OFFSET($CX$3,0,0,'Données projet'!$E$13+1,1))-AVERAGE(OFFSET($H$3,0,0,'Données projet'!$E$13+1,1))</f>
        <v>747.18304127457918</v>
      </c>
      <c r="CZ130" s="59">
        <f t="shared" si="96"/>
        <v>327.03701004966723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43.286419637430718</v>
      </c>
      <c r="DG130" s="21">
        <f>EXP(-LN(2)/25)*DG129+(1-EXP(-LN(2)/25))/(LN(2)/25)*Calculateur!DB130*Calculateur!DD130*VLOOKUP('Données projet'!$B$13,Paramètres!$A$1:$I$89,3,0)*0.475*44/12</f>
        <v>26.810961719383268</v>
      </c>
      <c r="DH130" s="21">
        <f>EXP(-LN(2)/2)*DH129+(1-EXP(-LN(2)/2))/(LN(2)/2)*DB130*DE130*VLOOKUP('Données projet'!$B$13,Paramètres!$A$1:$I$89,3,0)*0.475*44/12</f>
        <v>2.1476091307547422</v>
      </c>
      <c r="DI130" s="22">
        <f t="shared" si="69"/>
        <v>72.244990487568728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353.37479213497227</v>
      </c>
      <c r="DU130" s="59">
        <f t="shared" si="98"/>
        <v>345.4750813433123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20.493372826505894</v>
      </c>
      <c r="EB130" s="21">
        <f>EXP(-LN(2)/25)*EB129+(1-EXP(-LN(2)/25))/(LN(2)/25)*Calculateur!DW130*Calculateur!DY130*VLOOKUP('Données projet'!$B$14,Paramètres!$A$1:$I$89,3,0)*0.475*44/12</f>
        <v>13.943826242659734</v>
      </c>
      <c r="EC130" s="21">
        <f>EXP(-LN(2)/2)*EC129+(1-EXP(-LN(2)/2))/(LN(2)/2)*DW130*DZ130*VLOOKUP('Données projet'!$B$14,Paramètres!$A$1:$I$89,3,0)*0.475*44/12</f>
        <v>5.2617239373035189E-6</v>
      </c>
      <c r="ED130" s="22">
        <f t="shared" si="72"/>
        <v>34.437204330889564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-4.5474735088646412E-13</v>
      </c>
      <c r="EK130" s="17">
        <f>EJ130*VLOOKUP('Données projet'!$B$15,Paramètres!$A$1:$I$89,3,0)*VLOOKUP('Données projet'!$B$15,Paramètres!$A$1:$I$89,5,0)</f>
        <v>-2.1282176021486519E-13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433.05041777893922</v>
      </c>
      <c r="EP130" s="59">
        <f t="shared" si="100"/>
        <v>591.24088611958996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227.33632440523226</v>
      </c>
      <c r="EW130" s="21">
        <f>EXP(-LN(2)/25)*EW129+(1-EXP(-LN(2)/25))/(LN(2)/25)*Calculateur!ER130*Calculateur!ET130*VLOOKUP('Données projet'!$B$15,Paramètres!$A$1:$I$89,3,0)*0.475*44/12</f>
        <v>58.331131702481734</v>
      </c>
      <c r="EX130" s="21">
        <f>EXP(-LN(2)/2)*EX129+(1-EXP(-LN(2)/2))/(LN(2)/2)*ER130*EU130*VLOOKUP('Données projet'!$B$15,Paramètres!$A$1:$I$89,3,0)*0.475*44/12</f>
        <v>2.3874736398717906E-2</v>
      </c>
      <c r="EY130" s="22">
        <f t="shared" si="75"/>
        <v>285.69133084411271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-8.5265128291212022E-14</v>
      </c>
      <c r="FF130" s="17">
        <f>FE130*VLOOKUP('Données projet'!$B$16,Paramètres!$A$1:$I$89,3,0)*VLOOKUP('Données projet'!$B$16,Paramètres!$A$1:$I$89,5,0)</f>
        <v>-6.9167072069831198E-14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159.4660488566085</v>
      </c>
      <c r="FK130" s="59">
        <f t="shared" si="102"/>
        <v>135.33030558297088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</v>
      </c>
      <c r="FR130" s="21">
        <f>EXP(-LN(2)/25)*FR129+(1-EXP(-LN(2)/25))/(LN(2)/25)*Calculateur!FM130*Calculateur!FO130*VLOOKUP('Données projet'!$B$16,Paramètres!$A$1:$I$89,3,0)*0.475*44/12</f>
        <v>5.8001091565631508</v>
      </c>
      <c r="FS130" s="21">
        <f>EXP(-LN(2)/2)*FS129+(1-EXP(-LN(2)/2))/(LN(2)/2)*FM130*FP130*VLOOKUP('Données projet'!$B$16,Paramètres!$A$1:$I$89,3,0)*0.475*44/12</f>
        <v>6.7556519711051689E-5</v>
      </c>
      <c r="FT130" s="22">
        <f t="shared" si="78"/>
        <v>5.8001767130828616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9.0229999999999961</v>
      </c>
      <c r="N131" s="13">
        <f>IF('Données projet'!$A$36&gt;35,N130+M131-V130,IF(A131&lt;'Données projet'!$A$36,$K$205^A131,IF(A131='Données projet'!$A$36,'Données projet'!$B$36,N130+M131-V130)))</f>
        <v>430.14200000000073</v>
      </c>
      <c r="O131" s="13">
        <f>N131*VLOOKUP('Données projet'!$B$9,Paramètres!$A$1:$I$89,3,0)*VLOOKUP('Données projet'!$B$9,Paramètres!$A$1:$I$89,5,0)</f>
        <v>436.16398800000076</v>
      </c>
      <c r="P131" s="13">
        <f t="shared" si="87"/>
        <v>99.071019607718114</v>
      </c>
      <c r="Q131" s="20">
        <f t="shared" ref="Q131:Q153" si="108">(O131+P131)*0.475*44/12</f>
        <v>932.20097158344367</v>
      </c>
      <c r="R131" s="59">
        <f t="shared" ref="R131:R194" si="109">Q131+(I131+J131)*44/12</f>
        <v>1225.534304916777</v>
      </c>
      <c r="S131" s="59">
        <f ca="1">AVERAGE(OFFSET($R$3,0,0,'Données projet'!$E$9+1,1))-AVERAGE(OFFSET($H$3,0,0,'Données projet'!$E$9+1,1))</f>
        <v>706.69239849991595</v>
      </c>
      <c r="T131" s="59">
        <f t="shared" si="88"/>
        <v>310.59887275116529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39.977448663467122</v>
      </c>
      <c r="AA131" s="21">
        <f>EXP(-LN(2)/25)*AA130+(1-EXP(-LN(2)/25))/(LN(2)/25)*Calculateur!V131*Calculateur!X131*VLOOKUP('Données projet'!$B$9,Paramètres!$A$1:$I$89,3,0)*0.475*44/12</f>
        <v>24.566057195370576</v>
      </c>
      <c r="AB131" s="21">
        <f>EXP(-LN(2)/2)*AB130+(1-EXP(-LN(2)/2))/(LN(2)/2)*V131*Y131*VLOOKUP('Données projet'!$B$9,Paramètres!$A$1:$I$89,3,0)*0.475*44/12</f>
        <v>1.4305548359444005</v>
      </c>
      <c r="AC131" s="22">
        <f t="shared" si="57"/>
        <v>65.974060694782111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239.26156489359892</v>
      </c>
      <c r="AO131" s="59">
        <f t="shared" si="90"/>
        <v>213.97034450798111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5.0951408746817108</v>
      </c>
      <c r="AV131" s="21">
        <f>EXP(-LN(2)/25)*AV130+(1-EXP(-LN(2)/25))/(LN(2)/25)*Calculateur!AQ131*Calculateur!AS131*VLOOKUP('Données projet'!$B$10,Paramètres!$A$1:$I$89,3,0)*0.475*44/12</f>
        <v>22.268105972754459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27.363246847436169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-1.7053025658242404E-13</v>
      </c>
      <c r="BE131" s="13">
        <f>BD131*VLOOKUP('Données projet'!$B$11,Paramètres!$A$1:$I$89,3,0)*VLOOKUP('Données projet'!$B$11,Paramètres!$A$1:$I$89,5,0)</f>
        <v>-1.4897523215040567E-13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324.86930206492627</v>
      </c>
      <c r="BJ131" s="59">
        <f t="shared" si="92"/>
        <v>317.03005098025352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17.808574184119291</v>
      </c>
      <c r="BQ131" s="21">
        <f>EXP(-LN(2)/25)*BQ130+(1-EXP(-LN(2)/25))/(LN(2)/25)*Calculateur!BL131*Calculateur!BN131*VLOOKUP('Données projet'!$B$11,Paramètres!$A$1:$I$89,3,0)*0.475*44/12</f>
        <v>12.29185610712358</v>
      </c>
      <c r="BR131" s="21">
        <f>EXP(-LN(2)/2)*BR130+(1-EXP(-LN(2)/2))/(LN(2)/2)*BL131*BO131*VLOOKUP('Données projet'!$B$11,Paramètres!$A$1:$I$89,3,0)*0.475*44/12</f>
        <v>3.4019952427944001E-6</v>
      </c>
      <c r="BS131" s="22">
        <f t="shared" si="63"/>
        <v>30.100433693238116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7.1129999999999995</v>
      </c>
      <c r="BY131" s="12">
        <f>IF('Données projet'!$A$114&gt;35,BY130+BX131-CG130,IF(A131&lt;'Données projet'!$A$114,$BV$205^A131,IF(A131='Données projet'!$A$114,'Données projet'!$B$114,BY130+BX131-CG130)))</f>
        <v>312.11800000000005</v>
      </c>
      <c r="BZ131" s="13">
        <f>BY131*VLOOKUP('Données projet'!$B$12,Paramètres!$A$1:$I$89,3,0)*VLOOKUP('Données projet'!$B$12,Paramètres!$A$1:$I$89,5,0)</f>
        <v>355.43997840000003</v>
      </c>
      <c r="CA131" s="13">
        <f t="shared" si="93"/>
        <v>82.681651825128526</v>
      </c>
      <c r="CB131" s="20">
        <f t="shared" si="64"/>
        <v>763.06183930876557</v>
      </c>
      <c r="CC131" s="59">
        <f t="shared" si="65"/>
        <v>1056.3951726420989</v>
      </c>
      <c r="CD131" s="59">
        <f ca="1">AVERAGE(OFFSET($CC$3,0,0,'Données projet'!$E$12+1,1))-AVERAGE(OFFSET($H$3,0,0,'Données projet'!$E$12+1,1))</f>
        <v>593.28343396240075</v>
      </c>
      <c r="CE131" s="59">
        <f t="shared" si="94"/>
        <v>289.66477662068695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25.468269679928632</v>
      </c>
      <c r="CL131" s="21">
        <f>EXP(-LN(2)/25)*CL130+(1-EXP(-LN(2)/25))/(LN(2)/25)*Calculateur!CG131*Calculateur!CI131*VLOOKUP('Données projet'!$B$12,Paramètres!$A$1:$I$89,3,0)*0.475*44/12</f>
        <v>24.297164391872322</v>
      </c>
      <c r="CM131" s="21">
        <f>EXP(-LN(2)/2)*CM130+(1-EXP(-LN(2)/2))/(LN(2)/2)*CG131*CJ131*VLOOKUP('Données projet'!$B$12,Paramètres!$A$1:$I$89,3,0)*0.475*44/12</f>
        <v>0.64134868056186101</v>
      </c>
      <c r="CN131" s="22">
        <f t="shared" si="66"/>
        <v>50.406782752362815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9.0229999999999961</v>
      </c>
      <c r="CT131" s="12">
        <f>IF('Données projet'!$A$140&gt;35,CT130+CS131-DB130,IF(A131&lt;'Données projet'!$A$140,$CQ$205^A131,IF(A131='Données projet'!$A$140,'Données projet'!$B$140,CT130+CS131-DB130)))</f>
        <v>430.14200000000073</v>
      </c>
      <c r="CU131" s="17">
        <f>CT131*VLOOKUP('Données projet'!$B$13,Paramètres!$A$1:$I$89,3,0)*VLOOKUP('Données projet'!$B$13,Paramètres!$A$1:$I$89,5,0)</f>
        <v>463.00484880000079</v>
      </c>
      <c r="CV131" s="13">
        <f t="shared" si="95"/>
        <v>104.4391785486081</v>
      </c>
      <c r="CW131" s="20">
        <f t="shared" si="67"/>
        <v>988.29834763216047</v>
      </c>
      <c r="CX131" s="59">
        <f t="shared" si="68"/>
        <v>1281.6316809654938</v>
      </c>
      <c r="CY131" s="59">
        <f ca="1">AVERAGE(OFFSET($CX$3,0,0,'Données projet'!$E$13+1,1))-AVERAGE(OFFSET($H$3,0,0,'Données projet'!$E$13+1,1))</f>
        <v>747.18304127457918</v>
      </c>
      <c r="CZ131" s="59">
        <f t="shared" si="96"/>
        <v>327.03701004966723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42.437599350449688</v>
      </c>
      <c r="DG131" s="21">
        <f>EXP(-LN(2)/25)*DG130+(1-EXP(-LN(2)/25))/(LN(2)/25)*Calculateur!DB131*Calculateur!DD131*VLOOKUP('Données projet'!$B$13,Paramètres!$A$1:$I$89,3,0)*0.475*44/12</f>
        <v>26.077814561239535</v>
      </c>
      <c r="DH131" s="21">
        <f>EXP(-LN(2)/2)*DH130+(1-EXP(-LN(2)/2))/(LN(2)/2)*DB131*DE131*VLOOKUP('Données projet'!$B$13,Paramètres!$A$1:$I$89,3,0)*0.475*44/12</f>
        <v>1.5185889796948251</v>
      </c>
      <c r="DI131" s="22">
        <f t="shared" si="69"/>
        <v>70.034002891384048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353.37479213497227</v>
      </c>
      <c r="DU131" s="59">
        <f t="shared" si="98"/>
        <v>345.4750813433123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20.091510285101293</v>
      </c>
      <c r="EB131" s="21">
        <f>EXP(-LN(2)/25)*EB130+(1-EXP(-LN(2)/25))/(LN(2)/25)*Calculateur!DW131*Calculateur!DY131*VLOOKUP('Données projet'!$B$14,Paramètres!$A$1:$I$89,3,0)*0.475*44/12</f>
        <v>13.56253158078025</v>
      </c>
      <c r="EC131" s="21">
        <f>EXP(-LN(2)/2)*EC130+(1-EXP(-LN(2)/2))/(LN(2)/2)*DW131*DZ131*VLOOKUP('Données projet'!$B$14,Paramètres!$A$1:$I$89,3,0)*0.475*44/12</f>
        <v>3.7206006767988989E-6</v>
      </c>
      <c r="ED131" s="22">
        <f t="shared" si="72"/>
        <v>33.654045586482219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-4.5474735088646412E-13</v>
      </c>
      <c r="EK131" s="17">
        <f>EJ131*VLOOKUP('Données projet'!$B$15,Paramètres!$A$1:$I$89,3,0)*VLOOKUP('Données projet'!$B$15,Paramètres!$A$1:$I$89,5,0)</f>
        <v>-2.1282176021486519E-13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433.05041777893922</v>
      </c>
      <c r="EP131" s="59">
        <f t="shared" si="100"/>
        <v>591.24088611958996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222.87839774511187</v>
      </c>
      <c r="EW131" s="21">
        <f>EXP(-LN(2)/25)*EW130+(1-EXP(-LN(2)/25))/(LN(2)/25)*Calculateur!ER131*Calculateur!ET131*VLOOKUP('Données projet'!$B$15,Paramètres!$A$1:$I$89,3,0)*0.475*44/12</f>
        <v>56.73606383857647</v>
      </c>
      <c r="EX131" s="21">
        <f>EXP(-LN(2)/2)*EX130+(1-EXP(-LN(2)/2))/(LN(2)/2)*ER131*EU131*VLOOKUP('Données projet'!$B$15,Paramètres!$A$1:$I$89,3,0)*0.475*44/12</f>
        <v>1.6881988006574724E-2</v>
      </c>
      <c r="EY131" s="22">
        <f t="shared" si="75"/>
        <v>279.63134357169491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-8.5265128291212022E-14</v>
      </c>
      <c r="FF131" s="17">
        <f>FE131*VLOOKUP('Données projet'!$B$16,Paramètres!$A$1:$I$89,3,0)*VLOOKUP('Données projet'!$B$16,Paramètres!$A$1:$I$89,5,0)</f>
        <v>-6.9167072069831198E-14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159.4660488566085</v>
      </c>
      <c r="FK131" s="59">
        <f t="shared" si="102"/>
        <v>135.33030558297088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</v>
      </c>
      <c r="FR131" s="21">
        <f>EXP(-LN(2)/25)*FR130+(1-EXP(-LN(2)/25))/(LN(2)/25)*Calculateur!FM131*Calculateur!FO131*VLOOKUP('Données projet'!$B$16,Paramètres!$A$1:$I$89,3,0)*0.475*44/12</f>
        <v>5.641504866662447</v>
      </c>
      <c r="FS131" s="21">
        <f>EXP(-LN(2)/2)*FS130+(1-EXP(-LN(2)/2))/(LN(2)/2)*FM131*FP131*VLOOKUP('Données projet'!$B$16,Paramètres!$A$1:$I$89,3,0)*0.475*44/12</f>
        <v>4.7769673201047313E-5</v>
      </c>
      <c r="FT131" s="22">
        <f t="shared" si="78"/>
        <v>5.6415526363356481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9.0229999999999961</v>
      </c>
      <c r="N132" s="13">
        <f>IF('Données projet'!$A$36&gt;35,N131+M132-V131,IF(A132&lt;'Données projet'!$A$36,$K$205^A132,IF(A132='Données projet'!$A$36,'Données projet'!$B$36,N131+M132-V131)))</f>
        <v>439.16500000000076</v>
      </c>
      <c r="O132" s="13">
        <f>N132*VLOOKUP('Données projet'!$B$9,Paramètres!$A$1:$I$89,3,0)*VLOOKUP('Données projet'!$B$9,Paramètres!$A$1:$I$89,5,0)</f>
        <v>445.3133100000008</v>
      </c>
      <c r="P132" s="13">
        <f t="shared" si="87"/>
        <v>100.90508583412877</v>
      </c>
      <c r="Q132" s="20">
        <f t="shared" si="108"/>
        <v>951.33037274444223</v>
      </c>
      <c r="R132" s="59">
        <f t="shared" si="109"/>
        <v>1244.6637060777755</v>
      </c>
      <c r="S132" s="59">
        <f ca="1">AVERAGE(OFFSET($R$3,0,0,'Données projet'!$E$9+1,1))-AVERAGE(OFFSET($H$3,0,0,'Données projet'!$E$9+1,1))</f>
        <v>706.69239849991595</v>
      </c>
      <c r="T132" s="59">
        <f t="shared" si="88"/>
        <v>310.59887275116529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39.193515279012516</v>
      </c>
      <c r="AA132" s="21">
        <f>EXP(-LN(2)/25)*AA131+(1-EXP(-LN(2)/25))/(LN(2)/25)*Calculateur!V132*Calculateur!X132*VLOOKUP('Données projet'!$B$9,Paramètres!$A$1:$I$89,3,0)*0.475*44/12</f>
        <v>23.894297069490367</v>
      </c>
      <c r="AB132" s="21">
        <f>EXP(-LN(2)/2)*AB131+(1-EXP(-LN(2)/2))/(LN(2)/2)*V132*Y132*VLOOKUP('Données projet'!$B$9,Paramètres!$A$1:$I$89,3,0)*0.475*44/12</f>
        <v>1.0115550253554946</v>
      </c>
      <c r="AC132" s="22">
        <f t="shared" ref="AC132:AC153" si="111">SUM(Z132:AB132)</f>
        <v>64.099367373858371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239.26156489359892</v>
      </c>
      <c r="AO132" s="59">
        <f t="shared" si="90"/>
        <v>213.97034450798111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4.9952282698582735</v>
      </c>
      <c r="AV132" s="21">
        <f>EXP(-LN(2)/25)*AV131+(1-EXP(-LN(2)/25))/(LN(2)/25)*Calculateur!AQ132*Calculateur!AS132*VLOOKUP('Données projet'!$B$10,Paramètres!$A$1:$I$89,3,0)*0.475*44/12</f>
        <v>21.659183443900691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26.654411713758964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-1.7053025658242404E-13</v>
      </c>
      <c r="BE132" s="13">
        <f>BD132*VLOOKUP('Données projet'!$B$11,Paramètres!$A$1:$I$89,3,0)*VLOOKUP('Données projet'!$B$11,Paramètres!$A$1:$I$89,5,0)</f>
        <v>-1.4897523215040567E-13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324.86930206492627</v>
      </c>
      <c r="BJ132" s="59">
        <f t="shared" si="92"/>
        <v>317.03005098025352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17.459358906526415</v>
      </c>
      <c r="BQ132" s="21">
        <f>EXP(-LN(2)/25)*BQ131+(1-EXP(-LN(2)/25))/(LN(2)/25)*Calculateur!BL132*Calculateur!BN132*VLOOKUP('Données projet'!$B$11,Paramètres!$A$1:$I$89,3,0)*0.475*44/12</f>
        <v>11.955734655473666</v>
      </c>
      <c r="BR132" s="21">
        <f>EXP(-LN(2)/2)*BR131+(1-EXP(-LN(2)/2))/(LN(2)/2)*BL132*BO132*VLOOKUP('Données projet'!$B$11,Paramètres!$A$1:$I$89,3,0)*0.475*44/12</f>
        <v>2.4055739057442955E-6</v>
      </c>
      <c r="BS132" s="22">
        <f t="shared" ref="BS132:BS153" si="117">SUM(BP132:BR132)</f>
        <v>29.415095967573986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7.1129999999999995</v>
      </c>
      <c r="BY132" s="12">
        <f>IF('Données projet'!$A$114&gt;35,BY131+BX132-CG131,IF(A132&lt;'Données projet'!$A$114,$BV$205^A132,IF(A132='Données projet'!$A$114,'Données projet'!$B$114,BY131+BX132-CG131)))</f>
        <v>319.23100000000005</v>
      </c>
      <c r="BZ132" s="13">
        <f>BY132*VLOOKUP('Données projet'!$B$12,Paramètres!$A$1:$I$89,3,0)*VLOOKUP('Données projet'!$B$12,Paramètres!$A$1:$I$89,5,0)</f>
        <v>363.54026280000005</v>
      </c>
      <c r="CA132" s="13">
        <f t="shared" si="93"/>
        <v>84.344403029550918</v>
      </c>
      <c r="CB132" s="20">
        <f t="shared" ref="CB132:CB153" si="118">(BZ132+CA132)*0.475*44/12</f>
        <v>780.06579298646784</v>
      </c>
      <c r="CC132" s="59">
        <f t="shared" ref="CC132:CC195" si="119">CB132+(BT132+BU132)*44/12</f>
        <v>1073.3991263198011</v>
      </c>
      <c r="CD132" s="59">
        <f ca="1">AVERAGE(OFFSET($CC$3,0,0,'Données projet'!$E$12+1,1))-AVERAGE(OFFSET($H$3,0,0,'Données projet'!$E$12+1,1))</f>
        <v>593.28343396240075</v>
      </c>
      <c r="CE132" s="59">
        <f t="shared" si="94"/>
        <v>289.66477662068695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24.96885244561587</v>
      </c>
      <c r="CL132" s="21">
        <f>EXP(-LN(2)/25)*CL131+(1-EXP(-LN(2)/25))/(LN(2)/25)*Calculateur!CG132*Calculateur!CI132*VLOOKUP('Données projet'!$B$12,Paramètres!$A$1:$I$89,3,0)*0.475*44/12</f>
        <v>23.632757153844231</v>
      </c>
      <c r="CM132" s="21">
        <f>EXP(-LN(2)/2)*CM131+(1-EXP(-LN(2)/2))/(LN(2)/2)*CG132*CJ132*VLOOKUP('Données projet'!$B$12,Paramètres!$A$1:$I$89,3,0)*0.475*44/12</f>
        <v>0.45350200113033684</v>
      </c>
      <c r="CN132" s="22">
        <f t="shared" ref="CN132:CN153" si="120">SUM(CK132:CM132)</f>
        <v>49.055111600590443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9.0229999999999961</v>
      </c>
      <c r="CT132" s="12">
        <f>IF('Données projet'!$A$140&gt;35,CT131+CS132-DB131,IF(A132&lt;'Données projet'!$A$140,$CQ$205^A132,IF(A132='Données projet'!$A$140,'Données projet'!$B$140,CT131+CS132-DB131)))</f>
        <v>439.16500000000076</v>
      </c>
      <c r="CU132" s="17">
        <f>CT132*VLOOKUP('Données projet'!$B$13,Paramètres!$A$1:$I$89,3,0)*VLOOKUP('Données projet'!$B$13,Paramètres!$A$1:$I$89,5,0)</f>
        <v>472.71720600000077</v>
      </c>
      <c r="CV132" s="13">
        <f t="shared" si="95"/>
        <v>106.37262357469676</v>
      </c>
      <c r="CW132" s="20">
        <f t="shared" ref="CW132:CW153" si="121">(CU132+CV132)*0.475*44/12</f>
        <v>1008.5814531759315</v>
      </c>
      <c r="CX132" s="59">
        <f t="shared" ref="CX132:CX195" si="122">CW132+(CO132+CP132)*44/12</f>
        <v>1301.9147865092648</v>
      </c>
      <c r="CY132" s="59">
        <f ca="1">AVERAGE(OFFSET($CX$3,0,0,'Données projet'!$E$13+1,1))-AVERAGE(OFFSET($H$3,0,0,'Données projet'!$E$13+1,1))</f>
        <v>747.18304127457918</v>
      </c>
      <c r="CZ132" s="59">
        <f t="shared" si="96"/>
        <v>327.03701004966723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41.605423911567101</v>
      </c>
      <c r="DG132" s="21">
        <f>EXP(-LN(2)/25)*DG131+(1-EXP(-LN(2)/25))/(LN(2)/25)*Calculateur!DB132*Calculateur!DD132*VLOOKUP('Données projet'!$B$13,Paramètres!$A$1:$I$89,3,0)*0.475*44/12</f>
        <v>25.364715350689774</v>
      </c>
      <c r="DH132" s="21">
        <f>EXP(-LN(2)/2)*DH131+(1-EXP(-LN(2)/2))/(LN(2)/2)*DB132*DE132*VLOOKUP('Données projet'!$B$13,Paramètres!$A$1:$I$89,3,0)*0.475*44/12</f>
        <v>1.0738045653773711</v>
      </c>
      <c r="DI132" s="22">
        <f t="shared" ref="DI132:DI153" si="123">SUM(DF132:DH132)</f>
        <v>68.043943827634251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353.37479213497227</v>
      </c>
      <c r="DU132" s="59">
        <f t="shared" si="98"/>
        <v>345.4750813433123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19.69752802302169</v>
      </c>
      <c r="EB132" s="21">
        <f>EXP(-LN(2)/25)*EB131+(1-EXP(-LN(2)/25))/(LN(2)/25)*Calculateur!DW132*Calculateur!DY132*VLOOKUP('Données projet'!$B$14,Paramètres!$A$1:$I$89,3,0)*0.475*44/12</f>
        <v>13.191663441481277</v>
      </c>
      <c r="EC132" s="21">
        <f>EXP(-LN(2)/2)*EC131+(1-EXP(-LN(2)/2))/(LN(2)/2)*DW132*DZ132*VLOOKUP('Données projet'!$B$14,Paramètres!$A$1:$I$89,3,0)*0.475*44/12</f>
        <v>2.6308619686517599E-6</v>
      </c>
      <c r="ED132" s="22">
        <f t="shared" ref="ED132:ED153" si="126">SUM(EA132:EC132)</f>
        <v>32.889194095364935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-4.5474735088646412E-13</v>
      </c>
      <c r="EK132" s="17">
        <f>EJ132*VLOOKUP('Données projet'!$B$15,Paramètres!$A$1:$I$89,3,0)*VLOOKUP('Données projet'!$B$15,Paramètres!$A$1:$I$89,5,0)</f>
        <v>-2.1282176021486519E-13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433.05041777893922</v>
      </c>
      <c r="EP132" s="59">
        <f t="shared" si="100"/>
        <v>591.24088611958996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218.50788830772964</v>
      </c>
      <c r="EW132" s="21">
        <f>EXP(-LN(2)/25)*EW131+(1-EXP(-LN(2)/25))/(LN(2)/25)*Calculateur!ER132*Calculateur!ET132*VLOOKUP('Données projet'!$B$15,Paramètres!$A$1:$I$89,3,0)*0.475*44/12</f>
        <v>55.184613189290673</v>
      </c>
      <c r="EX132" s="21">
        <f>EXP(-LN(2)/2)*EX131+(1-EXP(-LN(2)/2))/(LN(2)/2)*ER132*EU132*VLOOKUP('Données projet'!$B$15,Paramètres!$A$1:$I$89,3,0)*0.475*44/12</f>
        <v>1.1937368199358953E-2</v>
      </c>
      <c r="EY132" s="22">
        <f t="shared" ref="EY132:EY153" si="129">SUM(EV132:EX132)</f>
        <v>273.70443886521969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-8.5265128291212022E-14</v>
      </c>
      <c r="FF132" s="17">
        <f>FE132*VLOOKUP('Données projet'!$B$16,Paramètres!$A$1:$I$89,3,0)*VLOOKUP('Données projet'!$B$16,Paramètres!$A$1:$I$89,5,0)</f>
        <v>-6.9167072069831198E-14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159.4660488566085</v>
      </c>
      <c r="FK132" s="59">
        <f t="shared" si="102"/>
        <v>135.33030558297088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</v>
      </c>
      <c r="FR132" s="21">
        <f>EXP(-LN(2)/25)*FR131+(1-EXP(-LN(2)/25))/(LN(2)/25)*Calculateur!FM132*Calculateur!FO132*VLOOKUP('Données projet'!$B$16,Paramètres!$A$1:$I$89,3,0)*0.475*44/12</f>
        <v>5.487237619409715</v>
      </c>
      <c r="FS132" s="21">
        <f>EXP(-LN(2)/2)*FS131+(1-EXP(-LN(2)/2))/(LN(2)/2)*FM132*FP132*VLOOKUP('Données projet'!$B$16,Paramètres!$A$1:$I$89,3,0)*0.475*44/12</f>
        <v>3.3778259855525844E-5</v>
      </c>
      <c r="FT132" s="22">
        <f t="shared" ref="FT132:FT153" si="132">SUM(FQ132:FS132)</f>
        <v>5.4872713976695708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9.0229999999999961</v>
      </c>
      <c r="N133" s="13">
        <f>IF('Données projet'!$A$36&gt;35,N132+M133-V132,IF(A133&lt;'Données projet'!$A$36,$K$205^A133,IF(A133='Données projet'!$A$36,'Données projet'!$B$36,N132+M133-V132)))</f>
        <v>448.18800000000078</v>
      </c>
      <c r="O133" s="13">
        <f>N133*VLOOKUP('Données projet'!$B$9,Paramètres!$A$1:$I$89,3,0)*VLOOKUP('Données projet'!$B$9,Paramètres!$A$1:$I$89,5,0)</f>
        <v>454.46263200000084</v>
      </c>
      <c r="P133" s="13">
        <f t="shared" ref="P133:P196" si="141">EXP(-1.0587+0.8836*LN(O133)+0.284)</f>
        <v>102.73477074715666</v>
      </c>
      <c r="Q133" s="20">
        <f t="shared" si="108"/>
        <v>970.45214311796599</v>
      </c>
      <c r="R133" s="59">
        <f t="shared" si="109"/>
        <v>1263.7854764512992</v>
      </c>
      <c r="S133" s="59">
        <f ca="1">AVERAGE(OFFSET($R$3,0,0,'Données projet'!$E$9+1,1))-AVERAGE(OFFSET($H$3,0,0,'Données projet'!$E$9+1,1))</f>
        <v>706.69239849991595</v>
      </c>
      <c r="T133" s="59">
        <f t="shared" ref="T133:T196" si="142">$T$3</f>
        <v>310.59887275116529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38.424954350074913</v>
      </c>
      <c r="AA133" s="21">
        <f>EXP(-LN(2)/25)*AA132+(1-EXP(-LN(2)/25))/(LN(2)/25)*Calculateur!V133*Calculateur!X133*VLOOKUP('Données projet'!$B$9,Paramètres!$A$1:$I$89,3,0)*0.475*44/12</f>
        <v>23.240906259578683</v>
      </c>
      <c r="AB133" s="21">
        <f>EXP(-LN(2)/2)*AB132+(1-EXP(-LN(2)/2))/(LN(2)/2)*V133*Y133*VLOOKUP('Données projet'!$B$9,Paramètres!$A$1:$I$89,3,0)*0.475*44/12</f>
        <v>0.71527741797220024</v>
      </c>
      <c r="AC133" s="22">
        <f t="shared" si="111"/>
        <v>62.381138027625795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239.26156489359892</v>
      </c>
      <c r="AO133" s="59">
        <f t="shared" ref="AO133:AO196" si="144">$AO$3</f>
        <v>213.97034450798111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4.897274890274752</v>
      </c>
      <c r="AV133" s="21">
        <f>EXP(-LN(2)/25)*AV132+(1-EXP(-LN(2)/25))/(LN(2)/25)*Calculateur!AQ133*Calculateur!AS133*VLOOKUP('Données projet'!$B$10,Paramètres!$A$1:$I$89,3,0)*0.475*44/12</f>
        <v>21.066911933620272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25.964186823895023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-1.7053025658242404E-13</v>
      </c>
      <c r="BE133" s="13">
        <f>BD133*VLOOKUP('Données projet'!$B$11,Paramètres!$A$1:$I$89,3,0)*VLOOKUP('Données projet'!$B$11,Paramètres!$A$1:$I$89,5,0)</f>
        <v>-1.4897523215040567E-13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324.86930206492627</v>
      </c>
      <c r="BJ133" s="59">
        <f t="shared" ref="BJ133:BJ196" si="146">$BJ$3</f>
        <v>317.03005098025352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17.116991527526849</v>
      </c>
      <c r="BQ133" s="21">
        <f>EXP(-LN(2)/25)*BQ132+(1-EXP(-LN(2)/25))/(LN(2)/25)*Calculateur!BL133*Calculateur!BN133*VLOOKUP('Données projet'!$B$11,Paramètres!$A$1:$I$89,3,0)*0.475*44/12</f>
        <v>11.628804462594978</v>
      </c>
      <c r="BR133" s="21">
        <f>EXP(-LN(2)/2)*BR132+(1-EXP(-LN(2)/2))/(LN(2)/2)*BL133*BO133*VLOOKUP('Données projet'!$B$11,Paramètres!$A$1:$I$89,3,0)*0.475*44/12</f>
        <v>1.7009976213972001E-6</v>
      </c>
      <c r="BS133" s="22">
        <f t="shared" si="117"/>
        <v>28.745797691119449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7.1129999999999995</v>
      </c>
      <c r="BY133" s="12">
        <f>IF('Données projet'!$A$114&gt;35,BY132+BX133-CG132,IF(A133&lt;'Données projet'!$A$114,$BV$205^A133,IF(A133='Données projet'!$A$114,'Données projet'!$B$114,BY132+BX133-CG132)))</f>
        <v>326.34400000000005</v>
      </c>
      <c r="BZ133" s="13">
        <f>BY133*VLOOKUP('Données projet'!$B$12,Paramètres!$A$1:$I$89,3,0)*VLOOKUP('Données projet'!$B$12,Paramètres!$A$1:$I$89,5,0)</f>
        <v>371.64054720000007</v>
      </c>
      <c r="CA133" s="13">
        <f t="shared" ref="CA133:CA153" si="147">EXP(-1.0587+0.8836*LN(BZ133)+0.284)</f>
        <v>86.002846955826783</v>
      </c>
      <c r="CB133" s="20">
        <f t="shared" si="118"/>
        <v>797.06224482139839</v>
      </c>
      <c r="CC133" s="59">
        <f t="shared" si="119"/>
        <v>1090.3955781547318</v>
      </c>
      <c r="CD133" s="59">
        <f ca="1">AVERAGE(OFFSET($CC$3,0,0,'Données projet'!$E$12+1,1))-AVERAGE(OFFSET($H$3,0,0,'Données projet'!$E$12+1,1))</f>
        <v>593.28343396240075</v>
      </c>
      <c r="CE133" s="59">
        <f t="shared" ref="CE133:CE196" si="148">$CE$3</f>
        <v>289.66477662068695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24.479228478653546</v>
      </c>
      <c r="CL133" s="21">
        <f>EXP(-LN(2)/25)*CL132+(1-EXP(-LN(2)/25))/(LN(2)/25)*Calculateur!CG133*Calculateur!CI133*VLOOKUP('Données projet'!$B$12,Paramètres!$A$1:$I$89,3,0)*0.475*44/12</f>
        <v>22.986518166679677</v>
      </c>
      <c r="CM133" s="21">
        <f>EXP(-LN(2)/2)*CM132+(1-EXP(-LN(2)/2))/(LN(2)/2)*CG133*CJ133*VLOOKUP('Données projet'!$B$12,Paramètres!$A$1:$I$89,3,0)*0.475*44/12</f>
        <v>0.32067434028093056</v>
      </c>
      <c r="CN133" s="22">
        <f t="shared" si="120"/>
        <v>47.786420985614157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9.0229999999999961</v>
      </c>
      <c r="CT133" s="12">
        <f>IF('Données projet'!$A$140&gt;35,CT132+CS133-DB132,IF(A133&lt;'Données projet'!$A$140,$CQ$205^A133,IF(A133='Données projet'!$A$140,'Données projet'!$B$140,CT132+CS133-DB132)))</f>
        <v>448.18800000000078</v>
      </c>
      <c r="CU133" s="17">
        <f>CT133*VLOOKUP('Données projet'!$B$13,Paramètres!$A$1:$I$89,3,0)*VLOOKUP('Données projet'!$B$13,Paramètres!$A$1:$I$89,5,0)</f>
        <v>482.42956320000087</v>
      </c>
      <c r="CV133" s="13">
        <f t="shared" ref="CV133:CV153" si="149">EXP(-1.0587+0.8836*LN(CU133)+0.284)</f>
        <v>108.30144988612524</v>
      </c>
      <c r="CW133" s="20">
        <f t="shared" si="121"/>
        <v>1028.8565144583363</v>
      </c>
      <c r="CX133" s="59">
        <f t="shared" si="122"/>
        <v>1322.1898477916695</v>
      </c>
      <c r="CY133" s="59">
        <f ca="1">AVERAGE(OFFSET($CX$3,0,0,'Données projet'!$E$13+1,1))-AVERAGE(OFFSET($H$3,0,0,'Données projet'!$E$13+1,1))</f>
        <v>747.18304127457918</v>
      </c>
      <c r="CZ133" s="59">
        <f t="shared" ref="CZ133:CZ196" si="150">$CZ$3</f>
        <v>327.03701004966723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40.789566925464108</v>
      </c>
      <c r="DG133" s="21">
        <f>EXP(-LN(2)/25)*DG132+(1-EXP(-LN(2)/25))/(LN(2)/25)*Calculateur!DB133*Calculateur!DD133*VLOOKUP('Données projet'!$B$13,Paramètres!$A$1:$I$89,3,0)*0.475*44/12</f>
        <v>24.671115875552754</v>
      </c>
      <c r="DH133" s="21">
        <f>EXP(-LN(2)/2)*DH132+(1-EXP(-LN(2)/2))/(LN(2)/2)*DB133*DE133*VLOOKUP('Données projet'!$B$13,Paramètres!$A$1:$I$89,3,0)*0.475*44/12</f>
        <v>0.75929448984741255</v>
      </c>
      <c r="DI133" s="22">
        <f t="shared" si="123"/>
        <v>66.219977290864264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353.37479213497227</v>
      </c>
      <c r="DU133" s="59">
        <f t="shared" ref="DU133:DU196" si="152">$DU$3</f>
        <v>345.4750813433123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19.311271512796015</v>
      </c>
      <c r="EB133" s="21">
        <f>EXP(-LN(2)/25)*EB132+(1-EXP(-LN(2)/25))/(LN(2)/25)*Calculateur!DW133*Calculateur!DY133*VLOOKUP('Données projet'!$B$14,Paramètres!$A$1:$I$89,3,0)*0.475*44/12</f>
        <v>12.830936710954541</v>
      </c>
      <c r="EC133" s="21">
        <f>EXP(-LN(2)/2)*EC132+(1-EXP(-LN(2)/2))/(LN(2)/2)*DW133*DZ133*VLOOKUP('Données projet'!$B$14,Paramètres!$A$1:$I$89,3,0)*0.475*44/12</f>
        <v>1.8603003383994497E-6</v>
      </c>
      <c r="ED133" s="22">
        <f t="shared" si="126"/>
        <v>32.142210084050895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-4.5474735088646412E-13</v>
      </c>
      <c r="EK133" s="17">
        <f>EJ133*VLOOKUP('Données projet'!$B$15,Paramètres!$A$1:$I$89,3,0)*VLOOKUP('Données projet'!$B$15,Paramètres!$A$1:$I$89,5,0)</f>
        <v>-2.1282176021486519E-13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433.05041777893922</v>
      </c>
      <c r="EP133" s="59">
        <f t="shared" ref="EP133:EP196" si="154">$EP$3</f>
        <v>591.24088611958996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214.22308189466696</v>
      </c>
      <c r="EW133" s="21">
        <f>EXP(-LN(2)/25)*EW132+(1-EXP(-LN(2)/25))/(LN(2)/25)*Calculateur!ER133*Calculateur!ET133*VLOOKUP('Données projet'!$B$15,Paramètres!$A$1:$I$89,3,0)*0.475*44/12</f>
        <v>53.675587039596834</v>
      </c>
      <c r="EX133" s="21">
        <f>EXP(-LN(2)/2)*EX132+(1-EXP(-LN(2)/2))/(LN(2)/2)*ER133*EU133*VLOOKUP('Données projet'!$B$15,Paramètres!$A$1:$I$89,3,0)*0.475*44/12</f>
        <v>8.440994003287362E-3</v>
      </c>
      <c r="EY133" s="22">
        <f t="shared" si="129"/>
        <v>267.90710992826712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-8.5265128291212022E-14</v>
      </c>
      <c r="FF133" s="17">
        <f>FE133*VLOOKUP('Données projet'!$B$16,Paramètres!$A$1:$I$89,3,0)*VLOOKUP('Données projet'!$B$16,Paramètres!$A$1:$I$89,5,0)</f>
        <v>-6.9167072069831198E-14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159.4660488566085</v>
      </c>
      <c r="FK133" s="59">
        <f t="shared" ref="FK133:FK196" si="156">$FK$3</f>
        <v>135.33030558297088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</v>
      </c>
      <c r="FR133" s="21">
        <f>EXP(-LN(2)/25)*FR132+(1-EXP(-LN(2)/25))/(LN(2)/25)*Calculateur!FM133*Calculateur!FO133*VLOOKUP('Données projet'!$B$16,Paramètres!$A$1:$I$89,3,0)*0.475*44/12</f>
        <v>5.3371888181456715</v>
      </c>
      <c r="FS133" s="21">
        <f>EXP(-LN(2)/2)*FS132+(1-EXP(-LN(2)/2))/(LN(2)/2)*FM133*FP133*VLOOKUP('Données projet'!$B$16,Paramètres!$A$1:$I$89,3,0)*0.475*44/12</f>
        <v>2.3884836600523656E-5</v>
      </c>
      <c r="FT133" s="22">
        <f t="shared" si="132"/>
        <v>5.3372127029822716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9.0229999999999961</v>
      </c>
      <c r="N134" s="13">
        <f>IF('Données projet'!$A$36&gt;35,N133+M134-V133,IF(A134&lt;'Données projet'!$A$36,$K$205^A134,IF(A134='Données projet'!$A$36,'Données projet'!$B$36,N133+M134-V133)))</f>
        <v>457.21100000000081</v>
      </c>
      <c r="O134" s="13">
        <f>N134*VLOOKUP('Données projet'!$B$9,Paramètres!$A$1:$I$89,3,0)*VLOOKUP('Données projet'!$B$9,Paramètres!$A$1:$I$89,5,0)</f>
        <v>463.61195400000088</v>
      </c>
      <c r="P134" s="13">
        <f t="shared" si="141"/>
        <v>104.56017271740512</v>
      </c>
      <c r="Q134" s="20">
        <f t="shared" si="108"/>
        <v>989.56645403281527</v>
      </c>
      <c r="R134" s="59">
        <f t="shared" si="109"/>
        <v>1282.8997873661485</v>
      </c>
      <c r="S134" s="59">
        <f ca="1">AVERAGE(OFFSET($R$3,0,0,'Données projet'!$E$9+1,1))-AVERAGE(OFFSET($H$3,0,0,'Données projet'!$E$9+1,1))</f>
        <v>706.69239849991595</v>
      </c>
      <c r="T134" s="59">
        <f t="shared" si="142"/>
        <v>310.59887275116529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37.671464432177892</v>
      </c>
      <c r="AA134" s="21">
        <f>EXP(-LN(2)/25)*AA133+(1-EXP(-LN(2)/25))/(LN(2)/25)*Calculateur!V134*Calculateur!X134*VLOOKUP('Données projet'!$B$9,Paramètres!$A$1:$I$89,3,0)*0.475*44/12</f>
        <v>22.60538245572436</v>
      </c>
      <c r="AB134" s="21">
        <f>EXP(-LN(2)/2)*AB133+(1-EXP(-LN(2)/2))/(LN(2)/2)*V134*Y134*VLOOKUP('Données projet'!$B$9,Paramètres!$A$1:$I$89,3,0)*0.475*44/12</f>
        <v>0.50577751267774729</v>
      </c>
      <c r="AC134" s="22">
        <f t="shared" si="111"/>
        <v>60.782624400579998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239.26156489359892</v>
      </c>
      <c r="AO134" s="59">
        <f t="shared" si="144"/>
        <v>213.97034450798111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4.8012423167192013</v>
      </c>
      <c r="AV134" s="21">
        <f>EXP(-LN(2)/25)*AV133+(1-EXP(-LN(2)/25))/(LN(2)/25)*Calculateur!AQ134*Calculateur!AS134*VLOOKUP('Données projet'!$B$10,Paramètres!$A$1:$I$89,3,0)*0.475*44/12</f>
        <v>20.490836118934677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25.292078435653877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-1.7053025658242404E-13</v>
      </c>
      <c r="BE134" s="13">
        <f>BD134*VLOOKUP('Données projet'!$B$11,Paramètres!$A$1:$I$89,3,0)*VLOOKUP('Données projet'!$B$11,Paramètres!$A$1:$I$89,5,0)</f>
        <v>-1.4897523215040567E-13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324.86930206492627</v>
      </c>
      <c r="BJ134" s="59">
        <f t="shared" si="146"/>
        <v>317.03005098025352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16.781337764005983</v>
      </c>
      <c r="BQ134" s="21">
        <f>EXP(-LN(2)/25)*BQ133+(1-EXP(-LN(2)/25))/(LN(2)/25)*Calculateur!BL134*Calculateur!BN134*VLOOKUP('Données projet'!$B$11,Paramètres!$A$1:$I$89,3,0)*0.475*44/12</f>
        <v>11.310814193033069</v>
      </c>
      <c r="BR134" s="21">
        <f>EXP(-LN(2)/2)*BR133+(1-EXP(-LN(2)/2))/(LN(2)/2)*BL134*BO134*VLOOKUP('Données projet'!$B$11,Paramètres!$A$1:$I$89,3,0)*0.475*44/12</f>
        <v>1.2027869528721477E-6</v>
      </c>
      <c r="BS134" s="22">
        <f t="shared" si="117"/>
        <v>28.092153159826005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7.1129999999999995</v>
      </c>
      <c r="BY134" s="12">
        <f>IF('Données projet'!$A$114&gt;35,BY133+BX134-CG133,IF(A134&lt;'Données projet'!$A$114,$BV$205^A134,IF(A134='Données projet'!$A$114,'Données projet'!$B$114,BY133+BX134-CG133)))</f>
        <v>333.45700000000005</v>
      </c>
      <c r="BZ134" s="13">
        <f>BY134*VLOOKUP('Données projet'!$B$12,Paramètres!$A$1:$I$89,3,0)*VLOOKUP('Données projet'!$B$12,Paramètres!$A$1:$I$89,5,0)</f>
        <v>379.74083160000004</v>
      </c>
      <c r="CA134" s="13">
        <f t="shared" si="147"/>
        <v>87.657088297183577</v>
      </c>
      <c r="CB134" s="20">
        <f t="shared" si="118"/>
        <v>814.05137715426144</v>
      </c>
      <c r="CC134" s="59">
        <f t="shared" si="119"/>
        <v>1107.3847104875947</v>
      </c>
      <c r="CD134" s="59">
        <f ca="1">AVERAGE(OFFSET($CC$3,0,0,'Données projet'!$E$12+1,1))-AVERAGE(OFFSET($H$3,0,0,'Données projet'!$E$12+1,1))</f>
        <v>593.28343396240075</v>
      </c>
      <c r="CE134" s="59">
        <f t="shared" si="148"/>
        <v>289.66477662068695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23.999205739042221</v>
      </c>
      <c r="CL134" s="21">
        <f>EXP(-LN(2)/25)*CL133+(1-EXP(-LN(2)/25))/(LN(2)/25)*Calculateur!CG134*Calculateur!CI134*VLOOKUP('Données projet'!$B$12,Paramètres!$A$1:$I$89,3,0)*0.475*44/12</f>
        <v>22.357950618603368</v>
      </c>
      <c r="CM134" s="21">
        <f>EXP(-LN(2)/2)*CM133+(1-EXP(-LN(2)/2))/(LN(2)/2)*CG134*CJ134*VLOOKUP('Données projet'!$B$12,Paramètres!$A$1:$I$89,3,0)*0.475*44/12</f>
        <v>0.22675100056516848</v>
      </c>
      <c r="CN134" s="22">
        <f t="shared" si="120"/>
        <v>46.583907358210759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9.0229999999999961</v>
      </c>
      <c r="CT134" s="12">
        <f>IF('Données projet'!$A$140&gt;35,CT133+CS134-DB133,IF(A134&lt;'Données projet'!$A$140,$CQ$205^A134,IF(A134='Données projet'!$A$140,'Données projet'!$B$140,CT133+CS134-DB133)))</f>
        <v>457.21100000000081</v>
      </c>
      <c r="CU134" s="17">
        <f>CT134*VLOOKUP('Données projet'!$B$13,Paramètres!$A$1:$I$89,3,0)*VLOOKUP('Données projet'!$B$13,Paramètres!$A$1:$I$89,5,0)</f>
        <v>492.14192040000086</v>
      </c>
      <c r="CV134" s="13">
        <f t="shared" si="149"/>
        <v>110.22576118370382</v>
      </c>
      <c r="CW134" s="20">
        <f t="shared" si="121"/>
        <v>1049.1237120916189</v>
      </c>
      <c r="CX134" s="59">
        <f t="shared" si="122"/>
        <v>1342.4570454249522</v>
      </c>
      <c r="CY134" s="59">
        <f ca="1">AVERAGE(OFFSET($CX$3,0,0,'Données projet'!$E$13+1,1))-AVERAGE(OFFSET($H$3,0,0,'Données projet'!$E$13+1,1))</f>
        <v>747.18304127457918</v>
      </c>
      <c r="CZ134" s="59">
        <f t="shared" si="150"/>
        <v>327.03701004966723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39.989708397234963</v>
      </c>
      <c r="DG134" s="21">
        <f>EXP(-LN(2)/25)*DG133+(1-EXP(-LN(2)/25))/(LN(2)/25)*Calculateur!DB134*Calculateur!DD134*VLOOKUP('Données projet'!$B$13,Paramètres!$A$1:$I$89,3,0)*0.475*44/12</f>
        <v>23.996482914538166</v>
      </c>
      <c r="DH134" s="21">
        <f>EXP(-LN(2)/2)*DH133+(1-EXP(-LN(2)/2))/(LN(2)/2)*DB134*DE134*VLOOKUP('Données projet'!$B$13,Paramètres!$A$1:$I$89,3,0)*0.475*44/12</f>
        <v>0.53690228268868556</v>
      </c>
      <c r="DI134" s="22">
        <f t="shared" si="123"/>
        <v>64.523093594461812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353.37479213497227</v>
      </c>
      <c r="DU134" s="59">
        <f t="shared" si="152"/>
        <v>345.4750813433123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18.932589257142656</v>
      </c>
      <c r="EB134" s="21">
        <f>EXP(-LN(2)/25)*EB133+(1-EXP(-LN(2)/25))/(LN(2)/25)*Calculateur!DW134*Calculateur!DY134*VLOOKUP('Données projet'!$B$14,Paramètres!$A$1:$I$89,3,0)*0.475*44/12</f>
        <v>12.480074071843854</v>
      </c>
      <c r="EC134" s="21">
        <f>EXP(-LN(2)/2)*EC133+(1-EXP(-LN(2)/2))/(LN(2)/2)*DW134*DZ134*VLOOKUP('Données projet'!$B$14,Paramètres!$A$1:$I$89,3,0)*0.475*44/12</f>
        <v>1.3154309843258801E-6</v>
      </c>
      <c r="ED134" s="22">
        <f t="shared" si="126"/>
        <v>31.412664644417497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-4.5474735088646412E-13</v>
      </c>
      <c r="EK134" s="17">
        <f>EJ134*VLOOKUP('Données projet'!$B$15,Paramètres!$A$1:$I$89,3,0)*VLOOKUP('Données projet'!$B$15,Paramètres!$A$1:$I$89,5,0)</f>
        <v>-2.1282176021486519E-13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433.05041777893922</v>
      </c>
      <c r="EP134" s="59">
        <f t="shared" si="154"/>
        <v>591.24088611958996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210.02229792189058</v>
      </c>
      <c r="EW134" s="21">
        <f>EXP(-LN(2)/25)*EW133+(1-EXP(-LN(2)/25))/(LN(2)/25)*Calculateur!ER134*Calculateur!ET134*VLOOKUP('Données projet'!$B$15,Paramètres!$A$1:$I$89,3,0)*0.475*44/12</f>
        <v>52.207825289322614</v>
      </c>
      <c r="EX134" s="21">
        <f>EXP(-LN(2)/2)*EX133+(1-EXP(-LN(2)/2))/(LN(2)/2)*ER134*EU134*VLOOKUP('Données projet'!$B$15,Paramètres!$A$1:$I$89,3,0)*0.475*44/12</f>
        <v>5.9686840996794766E-3</v>
      </c>
      <c r="EY134" s="22">
        <f t="shared" si="129"/>
        <v>262.23609189531288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-8.5265128291212022E-14</v>
      </c>
      <c r="FF134" s="17">
        <f>FE134*VLOOKUP('Données projet'!$B$16,Paramètres!$A$1:$I$89,3,0)*VLOOKUP('Données projet'!$B$16,Paramètres!$A$1:$I$89,5,0)</f>
        <v>-6.9167072069831198E-14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159.4660488566085</v>
      </c>
      <c r="FK134" s="59">
        <f t="shared" si="156"/>
        <v>135.33030558297088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</v>
      </c>
      <c r="FR134" s="21">
        <f>EXP(-LN(2)/25)*FR133+(1-EXP(-LN(2)/25))/(LN(2)/25)*Calculateur!FM134*Calculateur!FO134*VLOOKUP('Données projet'!$B$16,Paramètres!$A$1:$I$89,3,0)*0.475*44/12</f>
        <v>5.1912431092429161</v>
      </c>
      <c r="FS134" s="21">
        <f>EXP(-LN(2)/2)*FS133+(1-EXP(-LN(2)/2))/(LN(2)/2)*FM134*FP134*VLOOKUP('Données projet'!$B$16,Paramètres!$A$1:$I$89,3,0)*0.475*44/12</f>
        <v>1.6889129927762922E-5</v>
      </c>
      <c r="FT134" s="22">
        <f t="shared" si="132"/>
        <v>5.1912599983728436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9.0229999999999961</v>
      </c>
      <c r="N135" s="13">
        <f>IF('Données projet'!$A$36&gt;35,N134+M135-V134,IF(A135&lt;'Données projet'!$A$36,$K$205^A135,IF(A135='Données projet'!$A$36,'Données projet'!$B$36,N134+M135-V134)))</f>
        <v>466.23400000000083</v>
      </c>
      <c r="O135" s="13">
        <f>N135*VLOOKUP('Données projet'!$B$9,Paramètres!$A$1:$I$89,3,0)*VLOOKUP('Données projet'!$B$9,Paramètres!$A$1:$I$89,5,0)</f>
        <v>472.76127600000092</v>
      </c>
      <c r="P135" s="13">
        <f t="shared" si="141"/>
        <v>106.38138601076099</v>
      </c>
      <c r="Q135" s="20">
        <f t="shared" si="108"/>
        <v>1008.6734696687436</v>
      </c>
      <c r="R135" s="59">
        <f t="shared" si="109"/>
        <v>1302.0068030020768</v>
      </c>
      <c r="S135" s="59">
        <f ca="1">AVERAGE(OFFSET($R$3,0,0,'Données projet'!$E$9+1,1))-AVERAGE(OFFSET($H$3,0,0,'Données projet'!$E$9+1,1))</f>
        <v>706.69239849991595</v>
      </c>
      <c r="T135" s="59">
        <f t="shared" si="142"/>
        <v>310.59887275116529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36.932749991987365</v>
      </c>
      <c r="AA135" s="21">
        <f>EXP(-LN(2)/25)*AA134+(1-EXP(-LN(2)/25))/(LN(2)/25)*Calculateur!V135*Calculateur!X135*VLOOKUP('Données projet'!$B$9,Paramètres!$A$1:$I$89,3,0)*0.475*44/12</f>
        <v>21.987237083707178</v>
      </c>
      <c r="AB135" s="21">
        <f>EXP(-LN(2)/2)*AB134+(1-EXP(-LN(2)/2))/(LN(2)/2)*V135*Y135*VLOOKUP('Données projet'!$B$9,Paramètres!$A$1:$I$89,3,0)*0.475*44/12</f>
        <v>0.35763870898610012</v>
      </c>
      <c r="AC135" s="22">
        <f t="shared" si="111"/>
        <v>59.277625784680644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239.26156489359892</v>
      </c>
      <c r="AO135" s="59">
        <f t="shared" si="144"/>
        <v>213.97034450798111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4.7070928833569887</v>
      </c>
      <c r="AV135" s="21">
        <f>EXP(-LN(2)/25)*AV134+(1-EXP(-LN(2)/25))/(LN(2)/25)*Calculateur!AQ135*Calculateur!AS135*VLOOKUP('Données projet'!$B$10,Paramètres!$A$1:$I$89,3,0)*0.475*44/12</f>
        <v>19.93051312769617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24.637606011053158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-1.7053025658242404E-13</v>
      </c>
      <c r="BE135" s="13">
        <f>BD135*VLOOKUP('Données projet'!$B$11,Paramètres!$A$1:$I$89,3,0)*VLOOKUP('Données projet'!$B$11,Paramètres!$A$1:$I$89,5,0)</f>
        <v>-1.4897523215040567E-13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324.86930206492627</v>
      </c>
      <c r="BJ135" s="59">
        <f t="shared" si="146"/>
        <v>317.03005098025352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16.45226596605918</v>
      </c>
      <c r="BQ135" s="21">
        <f>EXP(-LN(2)/25)*BQ134+(1-EXP(-LN(2)/25))/(LN(2)/25)*Calculateur!BL135*Calculateur!BN135*VLOOKUP('Données projet'!$B$11,Paramètres!$A$1:$I$89,3,0)*0.475*44/12</f>
        <v>11.001519384114713</v>
      </c>
      <c r="BR135" s="21">
        <f>EXP(-LN(2)/2)*BR134+(1-EXP(-LN(2)/2))/(LN(2)/2)*BL135*BO135*VLOOKUP('Données projet'!$B$11,Paramètres!$A$1:$I$89,3,0)*0.475*44/12</f>
        <v>8.5049881069860003E-7</v>
      </c>
      <c r="BS135" s="22">
        <f t="shared" si="117"/>
        <v>27.453786200672706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>
        <f>VLOOKUP(A135,'Données projet'!$A$113:$I$133,2,0)</f>
        <v>340.57</v>
      </c>
      <c r="BW135" s="12">
        <f>VLOOKUP(A135,'Données projet'!$A$113:$I$133,9,0)</f>
        <v>7.1129999999999995</v>
      </c>
      <c r="BX135" s="12">
        <f t="array" ref="BX135">INDEX(BW:BW,MIN(IF(ISNUMBER(BW135:BW331),ROW(BW135:BW331),"")))</f>
        <v>7.1129999999999995</v>
      </c>
      <c r="BY135" s="12">
        <f>IF('Données projet'!$A$114&gt;35,BY134+BX135-CG134,IF(A135&lt;'Données projet'!$A$114,$BV$205^A135,IF(A135='Données projet'!$A$114,'Données projet'!$B$114,BY134+BX135-CG134)))</f>
        <v>340.57000000000005</v>
      </c>
      <c r="BZ135" s="13">
        <f>BY135*VLOOKUP('Données projet'!$B$12,Paramètres!$A$1:$I$89,3,0)*VLOOKUP('Données projet'!$B$12,Paramètres!$A$1:$I$89,5,0)</f>
        <v>387.84111600000006</v>
      </c>
      <c r="CA135" s="13">
        <f t="shared" si="147"/>
        <v>89.307227025248523</v>
      </c>
      <c r="CB135" s="20">
        <f t="shared" si="118"/>
        <v>831.03336410230793</v>
      </c>
      <c r="CC135" s="59">
        <f t="shared" si="119"/>
        <v>1124.3666974356413</v>
      </c>
      <c r="CD135" s="59">
        <f ca="1">AVERAGE(OFFSET($CC$3,0,0,'Données projet'!$E$12+1,1))-AVERAGE(OFFSET($H$3,0,0,'Données projet'!$E$12+1,1))</f>
        <v>593.28343396240075</v>
      </c>
      <c r="CE135" s="59">
        <f t="shared" si="148"/>
        <v>289.66477662068695</v>
      </c>
      <c r="CF135" s="15">
        <f>IF(ISNA(VLOOKUP(A135,'Données projet'!$A$113:$I$133,3,0)),0,VLOOKUP(A135,'Données projet'!$A$113:$I$133,3,0))</f>
        <v>9</v>
      </c>
      <c r="CG135" s="15">
        <f>IF(ISNA(VLOOKUP(A135,'Données projet'!$A$113:$I$133,4,0)),0,VLOOKUP(A135,'Données projet'!$A$113:$I$133,4,0))</f>
        <v>48.699999999999989</v>
      </c>
      <c r="CH135" s="16">
        <f>IF(ISNA(VLOOKUP(A135,'Données projet'!$A$113:$I$133,5,0)),0%,VLOOKUP(A135,'Données projet'!$A$113:$I$133,5,0)*VLOOKUP('Données projet'!$B$12,Paramètres!$A$1:$I$89,7,0))</f>
        <v>0.15049999999999999</v>
      </c>
      <c r="CI135" s="16">
        <f>IF(ISNA(VLOOKUP(A135,'Données projet'!$A$113:$I$133,6,0)),0%,VLOOKUP(A135,'Données projet'!$A$113:$I$133,6,0)*VLOOKUP('Données projet'!$B$12,Paramètres!$A$1:$I$89,7,0))</f>
        <v>8.6000000000000007E-2</v>
      </c>
      <c r="CJ135" s="16">
        <f>IF(ISNA(VLOOKUP(A135,'Données projet'!$A$113:$I$133,7,0)),0%,VLOOKUP(A135,'Données projet'!$A$113:$I$133,7,0))</f>
        <v>0.1</v>
      </c>
      <c r="CK135" s="21">
        <f>EXP(-LN(2)/35)*CK134+(1-EXP(-LN(2)/35))/(LN(2)/35)*CG135*CH135*VLOOKUP('Données projet'!$B$12,Paramètres!$A$1:$I$89,3,0)*0.475*44/12</f>
        <v>32.755585529280239</v>
      </c>
      <c r="CL135" s="21">
        <f>EXP(-LN(2)/25)*CL134+(1-EXP(-LN(2)/25))/(LN(2)/25)*Calculateur!CG135*Calculateur!CI135*VLOOKUP('Données projet'!$B$12,Paramètres!$A$1:$I$89,3,0)*0.475*44/12</f>
        <v>26.998376656320339</v>
      </c>
      <c r="CM135" s="21">
        <f>EXP(-LN(2)/2)*CM134+(1-EXP(-LN(2)/2))/(LN(2)/2)*CG135*CJ135*VLOOKUP('Données projet'!$B$12,Paramètres!$A$1:$I$89,3,0)*0.475*44/12</f>
        <v>5.3930959233577047</v>
      </c>
      <c r="CN135" s="22">
        <f t="shared" si="120"/>
        <v>65.147058108958277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9.0229999999999961</v>
      </c>
      <c r="CT135" s="12">
        <f>IF('Données projet'!$A$140&gt;35,CT134+CS135-DB134,IF(A135&lt;'Données projet'!$A$140,$CQ$205^A135,IF(A135='Données projet'!$A$140,'Données projet'!$B$140,CT134+CS135-DB134)))</f>
        <v>466.23400000000083</v>
      </c>
      <c r="CU135" s="17">
        <f>CT135*VLOOKUP('Données projet'!$B$13,Paramètres!$A$1:$I$89,3,0)*VLOOKUP('Données projet'!$B$13,Paramètres!$A$1:$I$89,5,0)</f>
        <v>501.8542776000009</v>
      </c>
      <c r="CV135" s="13">
        <f t="shared" si="149"/>
        <v>112.14565684111234</v>
      </c>
      <c r="CW135" s="20">
        <f t="shared" si="121"/>
        <v>1069.3832191516055</v>
      </c>
      <c r="CX135" s="59">
        <f t="shared" si="122"/>
        <v>1362.7165524849388</v>
      </c>
      <c r="CY135" s="59">
        <f ca="1">AVERAGE(OFFSET($CX$3,0,0,'Données projet'!$E$13+1,1))-AVERAGE(OFFSET($H$3,0,0,'Données projet'!$E$13+1,1))</f>
        <v>747.18304127457918</v>
      </c>
      <c r="CZ135" s="59">
        <f t="shared" si="150"/>
        <v>327.03701004966723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39.205534606878864</v>
      </c>
      <c r="DG135" s="21">
        <f>EXP(-LN(2)/25)*DG134+(1-EXP(-LN(2)/25))/(LN(2)/25)*Calculateur!DB135*Calculateur!DD135*VLOOKUP('Données projet'!$B$13,Paramètres!$A$1:$I$89,3,0)*0.475*44/12</f>
        <v>23.34029782731993</v>
      </c>
      <c r="DH135" s="21">
        <f>EXP(-LN(2)/2)*DH134+(1-EXP(-LN(2)/2))/(LN(2)/2)*DB135*DE135*VLOOKUP('Données projet'!$B$13,Paramètres!$A$1:$I$89,3,0)*0.475*44/12</f>
        <v>0.37964724492370627</v>
      </c>
      <c r="DI135" s="22">
        <f t="shared" si="123"/>
        <v>62.925479679122496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353.37479213497227</v>
      </c>
      <c r="DU135" s="59">
        <f t="shared" si="152"/>
        <v>345.4750813433123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18.561332729549292</v>
      </c>
      <c r="EB135" s="21">
        <f>EXP(-LN(2)/25)*EB134+(1-EXP(-LN(2)/25))/(LN(2)/25)*Calculateur!DW135*Calculateur!DY135*VLOOKUP('Données projet'!$B$14,Paramètres!$A$1:$I$89,3,0)*0.475*44/12</f>
        <v>12.138805790050712</v>
      </c>
      <c r="EC135" s="21">
        <f>EXP(-LN(2)/2)*EC134+(1-EXP(-LN(2)/2))/(LN(2)/2)*DW135*DZ135*VLOOKUP('Données projet'!$B$14,Paramètres!$A$1:$I$89,3,0)*0.475*44/12</f>
        <v>9.3015016919972505E-7</v>
      </c>
      <c r="ED135" s="22">
        <f t="shared" si="126"/>
        <v>30.700139449750171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-4.5474735088646412E-13</v>
      </c>
      <c r="EK135" s="17">
        <f>EJ135*VLOOKUP('Données projet'!$B$15,Paramètres!$A$1:$I$89,3,0)*VLOOKUP('Données projet'!$B$15,Paramètres!$A$1:$I$89,5,0)</f>
        <v>-2.1282176021486519E-13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433.05041777893922</v>
      </c>
      <c r="EP135" s="59">
        <f t="shared" si="154"/>
        <v>591.24088611958996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205.90388876059512</v>
      </c>
      <c r="EW135" s="21">
        <f>EXP(-LN(2)/25)*EW134+(1-EXP(-LN(2)/25))/(LN(2)/25)*Calculateur!ER135*Calculateur!ET135*VLOOKUP('Données projet'!$B$15,Paramètres!$A$1:$I$89,3,0)*0.475*44/12</f>
        <v>50.780199561295881</v>
      </c>
      <c r="EX135" s="21">
        <f>EXP(-LN(2)/2)*EX134+(1-EXP(-LN(2)/2))/(LN(2)/2)*ER135*EU135*VLOOKUP('Données projet'!$B$15,Paramètres!$A$1:$I$89,3,0)*0.475*44/12</f>
        <v>4.220497001643681E-3</v>
      </c>
      <c r="EY135" s="22">
        <f t="shared" si="129"/>
        <v>256.68830881889266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-8.5265128291212022E-14</v>
      </c>
      <c r="FF135" s="17">
        <f>FE135*VLOOKUP('Données projet'!$B$16,Paramètres!$A$1:$I$89,3,0)*VLOOKUP('Données projet'!$B$16,Paramètres!$A$1:$I$89,5,0)</f>
        <v>-6.9167072069831198E-14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159.4660488566085</v>
      </c>
      <c r="FK135" s="59">
        <f t="shared" si="156"/>
        <v>135.33030558297088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</v>
      </c>
      <c r="FR135" s="21">
        <f>EXP(-LN(2)/25)*FR134+(1-EXP(-LN(2)/25))/(LN(2)/25)*Calculateur!FM135*Calculateur!FO135*VLOOKUP('Données projet'!$B$16,Paramètres!$A$1:$I$89,3,0)*0.475*44/12</f>
        <v>5.0492882934250582</v>
      </c>
      <c r="FS135" s="21">
        <f>EXP(-LN(2)/2)*FS134+(1-EXP(-LN(2)/2))/(LN(2)/2)*FM135*FP135*VLOOKUP('Données projet'!$B$16,Paramètres!$A$1:$I$89,3,0)*0.475*44/12</f>
        <v>1.1942418300261828E-5</v>
      </c>
      <c r="FT135" s="22">
        <f t="shared" si="132"/>
        <v>5.0493002358433587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9.0229999999999961</v>
      </c>
      <c r="N136" s="13">
        <f>IF('Données projet'!$A$36&gt;35,N135+M136-V135,IF(A136&lt;'Données projet'!$A$36,$K$205^A136,IF(A136='Données projet'!$A$36,'Données projet'!$B$36,N135+M136-V135)))</f>
        <v>475.25700000000086</v>
      </c>
      <c r="O136" s="13">
        <f>N136*VLOOKUP('Données projet'!$B$9,Paramètres!$A$1:$I$89,3,0)*VLOOKUP('Données projet'!$B$9,Paramètres!$A$1:$I$89,5,0)</f>
        <v>481.9105980000009</v>
      </c>
      <c r="P136" s="13">
        <f t="shared" si="141"/>
        <v>108.19850103573877</v>
      </c>
      <c r="Q136" s="20">
        <f t="shared" si="108"/>
        <v>1027.7733474872464</v>
      </c>
      <c r="R136" s="59">
        <f t="shared" si="109"/>
        <v>1321.1066808205796</v>
      </c>
      <c r="S136" s="59">
        <f ca="1">AVERAGE(OFFSET($R$3,0,0,'Données projet'!$E$9+1,1))-AVERAGE(OFFSET($H$3,0,0,'Données projet'!$E$9+1,1))</f>
        <v>706.69239849991595</v>
      </c>
      <c r="T136" s="59">
        <f t="shared" si="142"/>
        <v>310.59887275116529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36.208521291397652</v>
      </c>
      <c r="AA136" s="21">
        <f>EXP(-LN(2)/25)*AA135+(1-EXP(-LN(2)/25))/(LN(2)/25)*Calculateur!V136*Calculateur!X136*VLOOKUP('Données projet'!$B$9,Paramètres!$A$1:$I$89,3,0)*0.475*44/12</f>
        <v>21.385994929394659</v>
      </c>
      <c r="AB136" s="21">
        <f>EXP(-LN(2)/2)*AB135+(1-EXP(-LN(2)/2))/(LN(2)/2)*V136*Y136*VLOOKUP('Données projet'!$B$9,Paramètres!$A$1:$I$89,3,0)*0.475*44/12</f>
        <v>0.25288875633887364</v>
      </c>
      <c r="AC136" s="22">
        <f t="shared" si="111"/>
        <v>57.847404977131191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239.26156489359892</v>
      </c>
      <c r="AO136" s="59">
        <f t="shared" si="144"/>
        <v>213.97034450798111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4.6147896629575254</v>
      </c>
      <c r="AV136" s="21">
        <f>EXP(-LN(2)/25)*AV135+(1-EXP(-LN(2)/25))/(LN(2)/25)*Calculateur!AQ136*Calculateur!AS136*VLOOKUP('Données projet'!$B$10,Paramètres!$A$1:$I$89,3,0)*0.475*44/12</f>
        <v>19.385512198119184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24.000301861076707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-1.7053025658242404E-13</v>
      </c>
      <c r="BE136" s="13">
        <f>BD136*VLOOKUP('Données projet'!$B$11,Paramètres!$A$1:$I$89,3,0)*VLOOKUP('Données projet'!$B$11,Paramètres!$A$1:$I$89,5,0)</f>
        <v>-1.4897523215040567E-13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324.86930206492627</v>
      </c>
      <c r="BJ136" s="59">
        <f t="shared" si="146"/>
        <v>317.03005098025352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16.129647065356135</v>
      </c>
      <c r="BQ136" s="21">
        <f>EXP(-LN(2)/25)*BQ135+(1-EXP(-LN(2)/25))/(LN(2)/25)*Calculateur!BL136*Calculateur!BN136*VLOOKUP('Données projet'!$B$11,Paramètres!$A$1:$I$89,3,0)*0.475*44/12</f>
        <v>10.700682258011337</v>
      </c>
      <c r="BR136" s="21">
        <f>EXP(-LN(2)/2)*BR135+(1-EXP(-LN(2)/2))/(LN(2)/2)*BL136*BO136*VLOOKUP('Données projet'!$B$11,Paramètres!$A$1:$I$89,3,0)*0.475*44/12</f>
        <v>6.0139347643607387E-7</v>
      </c>
      <c r="BS136" s="22">
        <f t="shared" si="117"/>
        <v>26.830329924760949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7.3375000000000012</v>
      </c>
      <c r="BY136" s="12">
        <f>IF('Données projet'!$A$114&gt;35,BY135+BX136-CG135,IF(A136&lt;'Données projet'!$A$114,$BV$205^A136,IF(A136='Données projet'!$A$114,'Données projet'!$B$114,BY135+BX136-CG135)))</f>
        <v>299.20750000000004</v>
      </c>
      <c r="BZ136" s="13">
        <f>BY136*VLOOKUP('Données projet'!$B$12,Paramètres!$A$1:$I$89,3,0)*VLOOKUP('Données projet'!$B$12,Paramètres!$A$1:$I$89,5,0)</f>
        <v>340.73750100000001</v>
      </c>
      <c r="CA136" s="13">
        <f t="shared" si="147"/>
        <v>79.6522995773622</v>
      </c>
      <c r="CB136" s="20">
        <f t="shared" si="118"/>
        <v>732.17890267223913</v>
      </c>
      <c r="CC136" s="59">
        <f t="shared" si="119"/>
        <v>1025.5122360055725</v>
      </c>
      <c r="CD136" s="59">
        <f ca="1">AVERAGE(OFFSET($CC$3,0,0,'Données projet'!$E$12+1,1))-AVERAGE(OFFSET($H$3,0,0,'Données projet'!$E$12+1,1))</f>
        <v>593.28343396240075</v>
      </c>
      <c r="CE136" s="59">
        <f t="shared" si="148"/>
        <v>289.66477662068695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32.113268475985471</v>
      </c>
      <c r="CL136" s="21">
        <f>EXP(-LN(2)/25)*CL135+(1-EXP(-LN(2)/25))/(LN(2)/25)*Calculateur!CG136*Calculateur!CI136*VLOOKUP('Données projet'!$B$12,Paramètres!$A$1:$I$89,3,0)*0.475*44/12</f>
        <v>26.260104626870337</v>
      </c>
      <c r="CM136" s="21">
        <f>EXP(-LN(2)/2)*CM135+(1-EXP(-LN(2)/2))/(LN(2)/2)*CG136*CJ136*VLOOKUP('Données projet'!$B$12,Paramètres!$A$1:$I$89,3,0)*0.475*44/12</f>
        <v>3.8134946989957581</v>
      </c>
      <c r="CN136" s="22">
        <f t="shared" si="120"/>
        <v>62.186867801851569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9.0229999999999961</v>
      </c>
      <c r="CT136" s="12">
        <f>IF('Données projet'!$A$140&gt;35,CT135+CS136-DB135,IF(A136&lt;'Données projet'!$A$140,$CQ$205^A136,IF(A136='Données projet'!$A$140,'Données projet'!$B$140,CT135+CS136-DB135)))</f>
        <v>475.25700000000086</v>
      </c>
      <c r="CU136" s="17">
        <f>CT136*VLOOKUP('Données projet'!$B$13,Paramètres!$A$1:$I$89,3,0)*VLOOKUP('Données projet'!$B$13,Paramètres!$A$1:$I$89,5,0)</f>
        <v>511.56663480000088</v>
      </c>
      <c r="CV136" s="13">
        <f t="shared" si="149"/>
        <v>114.0612321656468</v>
      </c>
      <c r="CW136" s="20">
        <f t="shared" si="121"/>
        <v>1089.6352016318363</v>
      </c>
      <c r="CX136" s="59">
        <f t="shared" si="122"/>
        <v>1382.9685349651695</v>
      </c>
      <c r="CY136" s="59">
        <f ca="1">AVERAGE(OFFSET($CX$3,0,0,'Données projet'!$E$13+1,1))-AVERAGE(OFFSET($H$3,0,0,'Données projet'!$E$13+1,1))</f>
        <v>747.18304127457918</v>
      </c>
      <c r="CZ136" s="59">
        <f t="shared" si="150"/>
        <v>327.03701004966723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38.436737986252865</v>
      </c>
      <c r="DG136" s="21">
        <f>EXP(-LN(2)/25)*DG135+(1-EXP(-LN(2)/25))/(LN(2)/25)*Calculateur!DB136*Calculateur!DD136*VLOOKUP('Données projet'!$B$13,Paramètres!$A$1:$I$89,3,0)*0.475*44/12</f>
        <v>22.702056155818948</v>
      </c>
      <c r="DH136" s="21">
        <f>EXP(-LN(2)/2)*DH135+(1-EXP(-LN(2)/2))/(LN(2)/2)*DB136*DE136*VLOOKUP('Données projet'!$B$13,Paramètres!$A$1:$I$89,3,0)*0.475*44/12</f>
        <v>0.26845114134434278</v>
      </c>
      <c r="DI136" s="22">
        <f t="shared" si="123"/>
        <v>61.40724528341616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353.37479213497227</v>
      </c>
      <c r="DU136" s="59">
        <f t="shared" si="152"/>
        <v>345.4750813433123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18.19735631601791</v>
      </c>
      <c r="EB136" s="21">
        <f>EXP(-LN(2)/25)*EB135+(1-EXP(-LN(2)/25))/(LN(2)/25)*Calculateur!DW136*Calculateur!DY136*VLOOKUP('Données projet'!$B$14,Paramètres!$A$1:$I$89,3,0)*0.475*44/12</f>
        <v>11.806869507369722</v>
      </c>
      <c r="EC136" s="21">
        <f>EXP(-LN(2)/2)*EC135+(1-EXP(-LN(2)/2))/(LN(2)/2)*DW136*DZ136*VLOOKUP('Données projet'!$B$14,Paramètres!$A$1:$I$89,3,0)*0.475*44/12</f>
        <v>6.5771549216294018E-7</v>
      </c>
      <c r="ED136" s="22">
        <f t="shared" si="126"/>
        <v>30.004226481103125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-4.5474735088646412E-13</v>
      </c>
      <c r="EK136" s="17">
        <f>EJ136*VLOOKUP('Données projet'!$B$15,Paramètres!$A$1:$I$89,3,0)*VLOOKUP('Données projet'!$B$15,Paramètres!$A$1:$I$89,5,0)</f>
        <v>-2.1282176021486519E-13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433.05041777893922</v>
      </c>
      <c r="EP136" s="59">
        <f t="shared" si="154"/>
        <v>591.24088611958996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201.86623909097111</v>
      </c>
      <c r="EW136" s="21">
        <f>EXP(-LN(2)/25)*EW135+(1-EXP(-LN(2)/25))/(LN(2)/25)*Calculateur!ER136*Calculateur!ET136*VLOOKUP('Données projet'!$B$15,Paramètres!$A$1:$I$89,3,0)*0.475*44/12</f>
        <v>49.39161233387761</v>
      </c>
      <c r="EX136" s="21">
        <f>EXP(-LN(2)/2)*EX135+(1-EXP(-LN(2)/2))/(LN(2)/2)*ER136*EU136*VLOOKUP('Données projet'!$B$15,Paramètres!$A$1:$I$89,3,0)*0.475*44/12</f>
        <v>2.9843420498397383E-3</v>
      </c>
      <c r="EY136" s="22">
        <f t="shared" si="129"/>
        <v>251.26083576689857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-8.5265128291212022E-14</v>
      </c>
      <c r="FF136" s="17">
        <f>FE136*VLOOKUP('Données projet'!$B$16,Paramètres!$A$1:$I$89,3,0)*VLOOKUP('Données projet'!$B$16,Paramètres!$A$1:$I$89,5,0)</f>
        <v>-6.9167072069831198E-14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159.4660488566085</v>
      </c>
      <c r="FK136" s="59">
        <f t="shared" si="156"/>
        <v>135.33030558297088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</v>
      </c>
      <c r="FR136" s="21">
        <f>EXP(-LN(2)/25)*FR135+(1-EXP(-LN(2)/25))/(LN(2)/25)*Calculateur!FM136*Calculateur!FO136*VLOOKUP('Données projet'!$B$16,Paramètres!$A$1:$I$89,3,0)*0.475*44/12</f>
        <v>4.9112152395108186</v>
      </c>
      <c r="FS136" s="21">
        <f>EXP(-LN(2)/2)*FS135+(1-EXP(-LN(2)/2))/(LN(2)/2)*FM136*FP136*VLOOKUP('Données projet'!$B$16,Paramètres!$A$1:$I$89,3,0)*0.475*44/12</f>
        <v>8.4445649638814611E-6</v>
      </c>
      <c r="FT136" s="22">
        <f t="shared" si="132"/>
        <v>4.9112236840757824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484.28</v>
      </c>
      <c r="L137" s="12">
        <f>VLOOKUP(A137,'Données projet'!$A$35:$I$55,9,0)</f>
        <v>9.0229999999999961</v>
      </c>
      <c r="M137" s="12">
        <f t="array" ref="M137">INDEX(L:L,MIN(IF(ISNUMBER(L137:L333),ROW(L137:L333),"")))</f>
        <v>9.0229999999999961</v>
      </c>
      <c r="N137" s="13">
        <f>IF('Données projet'!$A$36&gt;35,N136+M137-V136,IF(A137&lt;'Données projet'!$A$36,$K$205^A137,IF(A137='Données projet'!$A$36,'Données projet'!$B$36,N136+M137-V136)))</f>
        <v>484.28000000000088</v>
      </c>
      <c r="O137" s="13">
        <f>N137*VLOOKUP('Données projet'!$B$9,Paramètres!$A$1:$I$89,3,0)*VLOOKUP('Données projet'!$B$9,Paramètres!$A$1:$I$89,5,0)</f>
        <v>491.05992000000094</v>
      </c>
      <c r="P137" s="13">
        <f t="shared" si="141"/>
        <v>110.01160457151111</v>
      </c>
      <c r="Q137" s="20">
        <f t="shared" si="108"/>
        <v>1046.8662386287169</v>
      </c>
      <c r="R137" s="59">
        <f t="shared" si="109"/>
        <v>1340.1995719620502</v>
      </c>
      <c r="S137" s="59">
        <f ca="1">AVERAGE(OFFSET($R$3,0,0,'Données projet'!$E$9+1,1))-AVERAGE(OFFSET($H$3,0,0,'Données projet'!$E$9+1,1))</f>
        <v>706.69239849991595</v>
      </c>
      <c r="T137" s="59">
        <f t="shared" si="142"/>
        <v>310.59887275116529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60.779999999999973</v>
      </c>
      <c r="W137" s="16">
        <f>IF(ISNA(VLOOKUP(A137,'Données projet'!$A$35:$I$55,5,0)),0%,VLOOKUP(A137,'Données projet'!$A$35:$I$55,5,0)*VLOOKUP('Données projet'!$B$9,Paramètres!$A$1:$I$89,7,0))</f>
        <v>0.215</v>
      </c>
      <c r="X137" s="16">
        <f>IF(ISNA(VLOOKUP(A137,'Données projet'!$A$35:$I$55,6,0)),0%,VLOOKUP(A137,'Données projet'!$A$35:$I$55,6,0)*VLOOKUP('Données projet'!$B$9,Paramètres!$A$1:$I$89,7,0))</f>
        <v>8.6000000000000007E-2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50.146692926414062</v>
      </c>
      <c r="AA137" s="21">
        <f>EXP(-LN(2)/25)*AA136+(1-EXP(-LN(2)/25))/(LN(2)/25)*Calculateur!V137*Calculateur!X137*VLOOKUP('Données projet'!$B$9,Paramètres!$A$1:$I$89,3,0)*0.475*44/12</f>
        <v>26.637403018620649</v>
      </c>
      <c r="AB137" s="21">
        <f>EXP(-LN(2)/2)*AB136+(1-EXP(-LN(2)/2))/(LN(2)/2)*V137*Y137*VLOOKUP('Données projet'!$B$9,Paramètres!$A$1:$I$89,3,0)*0.475*44/12</f>
        <v>0.17881935449305006</v>
      </c>
      <c r="AC137" s="22">
        <f t="shared" si="111"/>
        <v>76.962915299527751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239.26156489359892</v>
      </c>
      <c r="AO137" s="59">
        <f t="shared" si="144"/>
        <v>213.97034450798111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4.5242964524106899</v>
      </c>
      <c r="AV137" s="21">
        <f>EXP(-LN(2)/25)*AV136+(1-EXP(-LN(2)/25))/(LN(2)/25)*Calculateur!AQ137*Calculateur!AS137*VLOOKUP('Données projet'!$B$10,Paramètres!$A$1:$I$89,3,0)*0.475*44/12</f>
        <v>18.855414347621835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23.379710800032527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-1.7053025658242404E-13</v>
      </c>
      <c r="BE137" s="13">
        <f>BD137*VLOOKUP('Données projet'!$B$11,Paramètres!$A$1:$I$89,3,0)*VLOOKUP('Données projet'!$B$11,Paramètres!$A$1:$I$89,5,0)</f>
        <v>-1.4897523215040567E-13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324.86930206492627</v>
      </c>
      <c r="BJ137" s="59">
        <f t="shared" si="146"/>
        <v>317.03005098025352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15.813354524517779</v>
      </c>
      <c r="BQ137" s="21">
        <f>EXP(-LN(2)/25)*BQ136+(1-EXP(-LN(2)/25))/(LN(2)/25)*Calculateur!BL137*Calculateur!BN137*VLOOKUP('Données projet'!$B$11,Paramètres!$A$1:$I$89,3,0)*0.475*44/12</f>
        <v>10.408071538941593</v>
      </c>
      <c r="BR137" s="21">
        <f>EXP(-LN(2)/2)*BR136+(1-EXP(-LN(2)/2))/(LN(2)/2)*BL137*BO137*VLOOKUP('Données projet'!$B$11,Paramètres!$A$1:$I$89,3,0)*0.475*44/12</f>
        <v>4.2524940534930001E-7</v>
      </c>
      <c r="BS137" s="22">
        <f t="shared" si="117"/>
        <v>26.221426488708776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7.3375000000000012</v>
      </c>
      <c r="BY137" s="12">
        <f>IF('Données projet'!$A$114&gt;35,BY136+BX137-CG136,IF(A137&lt;'Données projet'!$A$114,$BV$205^A137,IF(A137='Données projet'!$A$114,'Données projet'!$B$114,BY136+BX137-CG136)))</f>
        <v>306.54500000000002</v>
      </c>
      <c r="BZ137" s="13">
        <f>BY137*VLOOKUP('Données projet'!$B$12,Paramètres!$A$1:$I$89,3,0)*VLOOKUP('Données projet'!$B$12,Paramètres!$A$1:$I$89,5,0)</f>
        <v>349.09344600000003</v>
      </c>
      <c r="CA137" s="13">
        <f t="shared" si="147"/>
        <v>81.375814187494555</v>
      </c>
      <c r="CB137" s="20">
        <f t="shared" si="118"/>
        <v>749.73396149321979</v>
      </c>
      <c r="CC137" s="59">
        <f t="shared" si="119"/>
        <v>1043.0672948265531</v>
      </c>
      <c r="CD137" s="59">
        <f ca="1">AVERAGE(OFFSET($CC$3,0,0,'Données projet'!$E$12+1,1))-AVERAGE(OFFSET($H$3,0,0,'Données projet'!$E$12+1,1))</f>
        <v>593.28343396240075</v>
      </c>
      <c r="CE137" s="59">
        <f t="shared" si="148"/>
        <v>289.66477662068695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31.483546868331096</v>
      </c>
      <c r="CL137" s="21">
        <f>EXP(-LN(2)/25)*CL136+(1-EXP(-LN(2)/25))/(LN(2)/25)*Calculateur!CG137*Calculateur!CI137*VLOOKUP('Données projet'!$B$12,Paramètres!$A$1:$I$89,3,0)*0.475*44/12</f>
        <v>25.542020684889685</v>
      </c>
      <c r="CM137" s="21">
        <f>EXP(-LN(2)/2)*CM136+(1-EXP(-LN(2)/2))/(LN(2)/2)*CG137*CJ137*VLOOKUP('Données projet'!$B$12,Paramètres!$A$1:$I$89,3,0)*0.475*44/12</f>
        <v>2.6965479616788528</v>
      </c>
      <c r="CN137" s="22">
        <f t="shared" si="120"/>
        <v>59.722115514899635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>
        <f>VLOOKUP(A137,'Données projet'!$A$139:$I$159,2,0)</f>
        <v>484.28</v>
      </c>
      <c r="CR137" s="12">
        <f>VLOOKUP(A137,'Données projet'!$A$139:$I$159,9,0)</f>
        <v>9.0229999999999961</v>
      </c>
      <c r="CS137" s="12">
        <f t="array" ref="CS137">INDEX(CR:CR,MIN(IF(ISNUMBER(CR137:CR333),ROW(CR137:CR333),"")))</f>
        <v>9.0229999999999961</v>
      </c>
      <c r="CT137" s="12">
        <f>IF('Données projet'!$A$140&gt;35,CT136+CS137-DB136,IF(A137&lt;'Données projet'!$A$140,$CQ$205^A137,IF(A137='Données projet'!$A$140,'Données projet'!$B$140,CT136+CS137-DB136)))</f>
        <v>484.28000000000088</v>
      </c>
      <c r="CU137" s="17">
        <f>CT137*VLOOKUP('Données projet'!$B$13,Paramètres!$A$1:$I$89,3,0)*VLOOKUP('Données projet'!$B$13,Paramètres!$A$1:$I$89,5,0)</f>
        <v>521.27899200000093</v>
      </c>
      <c r="CV137" s="13">
        <f t="shared" si="149"/>
        <v>115.97257863860555</v>
      </c>
      <c r="CW137" s="20">
        <f t="shared" si="121"/>
        <v>1109.8798188622395</v>
      </c>
      <c r="CX137" s="59">
        <f t="shared" si="122"/>
        <v>1403.2131521955728</v>
      </c>
      <c r="CY137" s="59">
        <f ca="1">AVERAGE(OFFSET($CX$3,0,0,'Données projet'!$E$13+1,1))-AVERAGE(OFFSET($H$3,0,0,'Données projet'!$E$13+1,1))</f>
        <v>747.18304127457918</v>
      </c>
      <c r="CZ137" s="59">
        <f t="shared" si="150"/>
        <v>327.03701004966723</v>
      </c>
      <c r="DA137" s="15">
        <f>IF(ISNA(VLOOKUP(A137,'Données projet'!$A$139:$I$159,3,0)),0,VLOOKUP(A137,'Données projet'!$A$139:$I$159,3,0))</f>
        <v>11</v>
      </c>
      <c r="DB137" s="15">
        <f>IF(ISNA(VLOOKUP(A137,'Données projet'!$A$139:$I$159,4,0)),0,VLOOKUP(A137,'Données projet'!$A$139:$I$159,4,0))</f>
        <v>60.779999999999973</v>
      </c>
      <c r="DC137" s="16">
        <f>IF(ISNA(VLOOKUP(A137,'Données projet'!$A$139:$I$159,5,0)),0%,VLOOKUP(A137,'Données projet'!$A$139:$I$159,5,0)*VLOOKUP('Données projet'!$B$13,Paramètres!$A$1:$I$89,7,0))</f>
        <v>0.215</v>
      </c>
      <c r="DD137" s="16">
        <f>IF(ISNA(VLOOKUP(A137,'Données projet'!$A$139:$I$159,6,0)),0%,VLOOKUP(A137,'Données projet'!$A$139:$I$159,6,0)*VLOOKUP('Données projet'!$B$13,Paramètres!$A$1:$I$89,7,0))</f>
        <v>8.6000000000000007E-2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53.232643260347203</v>
      </c>
      <c r="DG137" s="21">
        <f>EXP(-LN(2)/25)*DG136+(1-EXP(-LN(2)/25))/(LN(2)/25)*Calculateur!DB137*Calculateur!DD137*VLOOKUP('Données projet'!$B$13,Paramètres!$A$1:$I$89,3,0)*0.475*44/12</f>
        <v>28.276627819766535</v>
      </c>
      <c r="DH137" s="21">
        <f>EXP(-LN(2)/2)*DH136+(1-EXP(-LN(2)/2))/(LN(2)/2)*DB137*DE137*VLOOKUP('Données projet'!$B$13,Paramètres!$A$1:$I$89,3,0)*0.475*44/12</f>
        <v>0.18982362246185314</v>
      </c>
      <c r="DI137" s="22">
        <f t="shared" si="123"/>
        <v>81.699094702575593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353.37479213497227</v>
      </c>
      <c r="DU137" s="59">
        <f t="shared" si="152"/>
        <v>345.4750813433123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17.840517257952186</v>
      </c>
      <c r="EB137" s="21">
        <f>EXP(-LN(2)/25)*EB136+(1-EXP(-LN(2)/25))/(LN(2)/25)*Calculateur!DW137*Calculateur!DY137*VLOOKUP('Données projet'!$B$14,Paramètres!$A$1:$I$89,3,0)*0.475*44/12</f>
        <v>11.484010039794414</v>
      </c>
      <c r="EC137" s="21">
        <f>EXP(-LN(2)/2)*EC136+(1-EXP(-LN(2)/2))/(LN(2)/2)*DW137*DZ137*VLOOKUP('Données projet'!$B$14,Paramètres!$A$1:$I$89,3,0)*0.475*44/12</f>
        <v>4.6507508459986258E-7</v>
      </c>
      <c r="ED137" s="22">
        <f t="shared" si="126"/>
        <v>29.324527762821685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-4.5474735088646412E-13</v>
      </c>
      <c r="EK137" s="17">
        <f>EJ137*VLOOKUP('Données projet'!$B$15,Paramètres!$A$1:$I$89,3,0)*VLOOKUP('Données projet'!$B$15,Paramètres!$A$1:$I$89,5,0)</f>
        <v>-2.1282176021486519E-13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433.05041777893922</v>
      </c>
      <c r="EP137" s="59">
        <f t="shared" si="154"/>
        <v>591.24088611958996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197.90776526864531</v>
      </c>
      <c r="EW137" s="21">
        <f>EXP(-LN(2)/25)*EW136+(1-EXP(-LN(2)/25))/(LN(2)/25)*Calculateur!ER137*Calculateur!ET137*VLOOKUP('Données projet'!$B$15,Paramètres!$A$1:$I$89,3,0)*0.475*44/12</f>
        <v>48.040996097215718</v>
      </c>
      <c r="EX137" s="21">
        <f>EXP(-LN(2)/2)*EX136+(1-EXP(-LN(2)/2))/(LN(2)/2)*ER137*EU137*VLOOKUP('Données projet'!$B$15,Paramètres!$A$1:$I$89,3,0)*0.475*44/12</f>
        <v>2.1102485008218405E-3</v>
      </c>
      <c r="EY137" s="22">
        <f t="shared" si="129"/>
        <v>245.95087161436186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-8.5265128291212022E-14</v>
      </c>
      <c r="FF137" s="17">
        <f>FE137*VLOOKUP('Données projet'!$B$16,Paramètres!$A$1:$I$89,3,0)*VLOOKUP('Données projet'!$B$16,Paramètres!$A$1:$I$89,5,0)</f>
        <v>-6.9167072069831198E-14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159.4660488566085</v>
      </c>
      <c r="FK137" s="59">
        <f t="shared" si="156"/>
        <v>135.33030558297088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</v>
      </c>
      <c r="FR137" s="21">
        <f>EXP(-LN(2)/25)*FR136+(1-EXP(-LN(2)/25))/(LN(2)/25)*Calculateur!FM137*Calculateur!FO137*VLOOKUP('Données projet'!$B$16,Paramètres!$A$1:$I$89,3,0)*0.475*44/12</f>
        <v>4.7769178005168103</v>
      </c>
      <c r="FS137" s="21">
        <f>EXP(-LN(2)/2)*FS136+(1-EXP(-LN(2)/2))/(LN(2)/2)*FM137*FP137*VLOOKUP('Données projet'!$B$16,Paramètres!$A$1:$I$89,3,0)*0.475*44/12</f>
        <v>5.9712091501309141E-6</v>
      </c>
      <c r="FT137" s="22">
        <f t="shared" si="132"/>
        <v>4.7769237717259605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9.1440000000000055</v>
      </c>
      <c r="N138" s="13">
        <f>IF('Données projet'!$A$36&gt;35,N137+M138-V137,IF(A138&lt;'Données projet'!$A$36,$K$205^A138,IF(A138='Données projet'!$A$36,'Données projet'!$B$36,N137+M138-V137)))</f>
        <v>432.64400000000091</v>
      </c>
      <c r="O138" s="13">
        <f>N138*VLOOKUP('Données projet'!$B$9,Paramètres!$A$1:$I$89,3,0)*VLOOKUP('Données projet'!$B$9,Paramètres!$A$1:$I$89,5,0)</f>
        <v>438.70101600000095</v>
      </c>
      <c r="P138" s="13">
        <f t="shared" si="141"/>
        <v>99.580035175975198</v>
      </c>
      <c r="Q138" s="20">
        <f t="shared" si="108"/>
        <v>937.50616413149157</v>
      </c>
      <c r="R138" s="59">
        <f t="shared" si="109"/>
        <v>1230.8394974648249</v>
      </c>
      <c r="S138" s="59">
        <f ca="1">AVERAGE(OFFSET($R$3,0,0,'Données projet'!$E$9+1,1))-AVERAGE(OFFSET($H$3,0,0,'Données projet'!$E$9+1,1))</f>
        <v>706.69239849991595</v>
      </c>
      <c r="T138" s="59">
        <f t="shared" si="142"/>
        <v>310.59887275116529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49.163346864589606</v>
      </c>
      <c r="AA138" s="21">
        <f>EXP(-LN(2)/25)*AA137+(1-EXP(-LN(2)/25))/(LN(2)/25)*Calculateur!V138*Calculateur!X138*VLOOKUP('Données projet'!$B$9,Paramètres!$A$1:$I$89,3,0)*0.475*44/12</f>
        <v>25.909001832276324</v>
      </c>
      <c r="AB138" s="21">
        <f>EXP(-LN(2)/2)*AB137+(1-EXP(-LN(2)/2))/(LN(2)/2)*V138*Y138*VLOOKUP('Données projet'!$B$9,Paramètres!$A$1:$I$89,3,0)*0.475*44/12</f>
        <v>0.12644437816943682</v>
      </c>
      <c r="AC138" s="22">
        <f t="shared" si="111"/>
        <v>75.198793075035368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239.26156489359892</v>
      </c>
      <c r="AO138" s="59">
        <f t="shared" si="144"/>
        <v>213.97034450798111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4.4355777585272698</v>
      </c>
      <c r="AV138" s="21">
        <f>EXP(-LN(2)/25)*AV137+(1-EXP(-LN(2)/25))/(LN(2)/25)*Calculateur!AQ138*Calculateur!AS138*VLOOKUP('Données projet'!$B$10,Paramètres!$A$1:$I$89,3,0)*0.475*44/12</f>
        <v>18.339812050722969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22.775389809250239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-1.7053025658242404E-13</v>
      </c>
      <c r="BE138" s="13">
        <f>BD138*VLOOKUP('Données projet'!$B$11,Paramètres!$A$1:$I$89,3,0)*VLOOKUP('Données projet'!$B$11,Paramètres!$A$1:$I$89,5,0)</f>
        <v>-1.4897523215040567E-13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324.86930206492627</v>
      </c>
      <c r="BJ138" s="59">
        <f t="shared" si="146"/>
        <v>317.03005098025352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15.503264287485861</v>
      </c>
      <c r="BQ138" s="21">
        <f>EXP(-LN(2)/25)*BQ137+(1-EXP(-LN(2)/25))/(LN(2)/25)*Calculateur!BL138*Calculateur!BN138*VLOOKUP('Données projet'!$B$11,Paramètres!$A$1:$I$89,3,0)*0.475*44/12</f>
        <v>10.123462275372541</v>
      </c>
      <c r="BR138" s="21">
        <f>EXP(-LN(2)/2)*BR137+(1-EXP(-LN(2)/2))/(LN(2)/2)*BL138*BO138*VLOOKUP('Données projet'!$B$11,Paramètres!$A$1:$I$89,3,0)*0.475*44/12</f>
        <v>3.0069673821803693E-7</v>
      </c>
      <c r="BS138" s="22">
        <f t="shared" si="117"/>
        <v>25.626726863555138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7.3375000000000012</v>
      </c>
      <c r="BY138" s="12">
        <f>IF('Données projet'!$A$114&gt;35,BY137+BX138-CG137,IF(A138&lt;'Données projet'!$A$114,$BV$205^A138,IF(A138='Données projet'!$A$114,'Données projet'!$B$114,BY137+BX138-CG137)))</f>
        <v>313.88249999999999</v>
      </c>
      <c r="BZ138" s="13">
        <f>BY138*VLOOKUP('Données projet'!$B$12,Paramètres!$A$1:$I$89,3,0)*VLOOKUP('Données projet'!$B$12,Paramètres!$A$1:$I$89,5,0)</f>
        <v>357.44939099999999</v>
      </c>
      <c r="CA138" s="13">
        <f t="shared" si="147"/>
        <v>83.094533000636375</v>
      </c>
      <c r="CB138" s="20">
        <f t="shared" si="118"/>
        <v>767.28066763444167</v>
      </c>
      <c r="CC138" s="59">
        <f t="shared" si="119"/>
        <v>1060.6140009677749</v>
      </c>
      <c r="CD138" s="59">
        <f ca="1">AVERAGE(OFFSET($CC$3,0,0,'Données projet'!$E$12+1,1))-AVERAGE(OFFSET($H$3,0,0,'Données projet'!$E$12+1,1))</f>
        <v>593.28343396240075</v>
      </c>
      <c r="CE138" s="59">
        <f t="shared" si="148"/>
        <v>289.66477662068695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30.866173717310566</v>
      </c>
      <c r="CL138" s="21">
        <f>EXP(-LN(2)/25)*CL137+(1-EXP(-LN(2)/25))/(LN(2)/25)*Calculateur!CG138*Calculateur!CI138*VLOOKUP('Données projet'!$B$12,Paramètres!$A$1:$I$89,3,0)*0.475*44/12</f>
        <v>24.843572786064886</v>
      </c>
      <c r="CM138" s="21">
        <f>EXP(-LN(2)/2)*CM137+(1-EXP(-LN(2)/2))/(LN(2)/2)*CG138*CJ138*VLOOKUP('Données projet'!$B$12,Paramètres!$A$1:$I$89,3,0)*0.475*44/12</f>
        <v>1.9067473494978795</v>
      </c>
      <c r="CN138" s="22">
        <f t="shared" si="120"/>
        <v>57.616493852873333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9.1440000000000055</v>
      </c>
      <c r="CT138" s="12">
        <f>IF('Données projet'!$A$140&gt;35,CT137+CS138-DB137,IF(A138&lt;'Données projet'!$A$140,$CQ$205^A138,IF(A138='Données projet'!$A$140,'Données projet'!$B$140,CT137+CS138-DB137)))</f>
        <v>432.64400000000091</v>
      </c>
      <c r="CU138" s="17">
        <f>CT138*VLOOKUP('Données projet'!$B$13,Paramètres!$A$1:$I$89,3,0)*VLOOKUP('Données projet'!$B$13,Paramètres!$A$1:$I$89,5,0)</f>
        <v>465.69800160000102</v>
      </c>
      <c r="CV138" s="13">
        <f t="shared" si="149"/>
        <v>104.97577510356142</v>
      </c>
      <c r="CW138" s="20">
        <f t="shared" si="121"/>
        <v>993.92349442537125</v>
      </c>
      <c r="CX138" s="59">
        <f t="shared" si="122"/>
        <v>1287.2568277587045</v>
      </c>
      <c r="CY138" s="59">
        <f ca="1">AVERAGE(OFFSET($CX$3,0,0,'Données projet'!$E$13+1,1))-AVERAGE(OFFSET($H$3,0,0,'Données projet'!$E$13+1,1))</f>
        <v>747.18304127457918</v>
      </c>
      <c r="CZ138" s="59">
        <f t="shared" si="150"/>
        <v>327.03701004966723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52.188783594718167</v>
      </c>
      <c r="DG138" s="21">
        <f>EXP(-LN(2)/25)*DG137+(1-EXP(-LN(2)/25))/(LN(2)/25)*Calculateur!DB138*Calculateur!DD138*VLOOKUP('Données projet'!$B$13,Paramètres!$A$1:$I$89,3,0)*0.475*44/12</f>
        <v>27.50340194503179</v>
      </c>
      <c r="DH138" s="21">
        <f>EXP(-LN(2)/2)*DH137+(1-EXP(-LN(2)/2))/(LN(2)/2)*DB138*DE138*VLOOKUP('Données projet'!$B$13,Paramètres!$A$1:$I$89,3,0)*0.475*44/12</f>
        <v>0.13422557067217139</v>
      </c>
      <c r="DI138" s="22">
        <f t="shared" si="123"/>
        <v>79.826411110422129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353.37479213497227</v>
      </c>
      <c r="DU138" s="59">
        <f t="shared" si="152"/>
        <v>345.4750813433123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17.490675596164799</v>
      </c>
      <c r="EB138" s="21">
        <f>EXP(-LN(2)/25)*EB137+(1-EXP(-LN(2)/25))/(LN(2)/25)*Calculateur!DW138*Calculateur!DY138*VLOOKUP('Données projet'!$B$14,Paramètres!$A$1:$I$89,3,0)*0.475*44/12</f>
        <v>11.169979181338395</v>
      </c>
      <c r="EC138" s="21">
        <f>EXP(-LN(2)/2)*EC137+(1-EXP(-LN(2)/2))/(LN(2)/2)*DW138*DZ138*VLOOKUP('Données projet'!$B$14,Paramètres!$A$1:$I$89,3,0)*0.475*44/12</f>
        <v>3.2885774608147014E-7</v>
      </c>
      <c r="ED138" s="22">
        <f t="shared" si="126"/>
        <v>28.660655106360938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-4.5474735088646412E-13</v>
      </c>
      <c r="EK138" s="17">
        <f>EJ138*VLOOKUP('Données projet'!$B$15,Paramètres!$A$1:$I$89,3,0)*VLOOKUP('Données projet'!$B$15,Paramètres!$A$1:$I$89,5,0)</f>
        <v>-2.1282176021486519E-13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433.05041777893922</v>
      </c>
      <c r="EP138" s="59">
        <f t="shared" si="154"/>
        <v>591.24088611958996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194.02691470354469</v>
      </c>
      <c r="EW138" s="21">
        <f>EXP(-LN(2)/25)*EW137+(1-EXP(-LN(2)/25))/(LN(2)/25)*Calculateur!ER138*Calculateur!ET138*VLOOKUP('Données projet'!$B$15,Paramètres!$A$1:$I$89,3,0)*0.475*44/12</f>
        <v>46.727312532571169</v>
      </c>
      <c r="EX138" s="21">
        <f>EXP(-LN(2)/2)*EX137+(1-EXP(-LN(2)/2))/(LN(2)/2)*ER138*EU138*VLOOKUP('Données projet'!$B$15,Paramètres!$A$1:$I$89,3,0)*0.475*44/12</f>
        <v>1.4921710249198692E-3</v>
      </c>
      <c r="EY138" s="22">
        <f t="shared" si="129"/>
        <v>240.75571940714079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-8.5265128291212022E-14</v>
      </c>
      <c r="FF138" s="17">
        <f>FE138*VLOOKUP('Données projet'!$B$16,Paramètres!$A$1:$I$89,3,0)*VLOOKUP('Données projet'!$B$16,Paramètres!$A$1:$I$89,5,0)</f>
        <v>-6.9167072069831198E-14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159.4660488566085</v>
      </c>
      <c r="FK138" s="59">
        <f t="shared" si="156"/>
        <v>135.33030558297088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</v>
      </c>
      <c r="FR138" s="21">
        <f>EXP(-LN(2)/25)*FR137+(1-EXP(-LN(2)/25))/(LN(2)/25)*Calculateur!FM138*Calculateur!FO138*VLOOKUP('Données projet'!$B$16,Paramètres!$A$1:$I$89,3,0)*0.475*44/12</f>
        <v>4.6462927320544889</v>
      </c>
      <c r="FS138" s="21">
        <f>EXP(-LN(2)/2)*FS137+(1-EXP(-LN(2)/2))/(LN(2)/2)*FM138*FP138*VLOOKUP('Données projet'!$B$16,Paramètres!$A$1:$I$89,3,0)*0.475*44/12</f>
        <v>4.2222824819407305E-6</v>
      </c>
      <c r="FT138" s="22">
        <f t="shared" si="132"/>
        <v>4.6462969543369708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9.1440000000000055</v>
      </c>
      <c r="N139" s="13">
        <f>IF('Données projet'!$A$36&gt;35,N138+M139-V138,IF(A139&lt;'Données projet'!$A$36,$K$205^A139,IF(A139='Données projet'!$A$36,'Données projet'!$B$36,N138+M139-V138)))</f>
        <v>441.78800000000092</v>
      </c>
      <c r="O139" s="13">
        <f>N139*VLOOKUP('Données projet'!$B$9,Paramètres!$A$1:$I$89,3,0)*VLOOKUP('Données projet'!$B$9,Paramètres!$A$1:$I$89,5,0)</f>
        <v>447.97303200000096</v>
      </c>
      <c r="P139" s="13">
        <f t="shared" si="141"/>
        <v>101.43742531380877</v>
      </c>
      <c r="Q139" s="20">
        <f t="shared" si="108"/>
        <v>956.88987982155186</v>
      </c>
      <c r="R139" s="59">
        <f t="shared" si="109"/>
        <v>1250.2232131548851</v>
      </c>
      <c r="S139" s="59">
        <f ca="1">AVERAGE(OFFSET($R$3,0,0,'Données projet'!$E$9+1,1))-AVERAGE(OFFSET($H$3,0,0,'Données projet'!$E$9+1,1))</f>
        <v>706.69239849991595</v>
      </c>
      <c r="T139" s="59">
        <f t="shared" si="142"/>
        <v>310.59887275116529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48.199283619255652</v>
      </c>
      <c r="AA139" s="21">
        <f>EXP(-LN(2)/25)*AA138+(1-EXP(-LN(2)/25))/(LN(2)/25)*Calculateur!V139*Calculateur!X139*VLOOKUP('Données projet'!$B$9,Paramètres!$A$1:$I$89,3,0)*0.475*44/12</f>
        <v>25.200518814677537</v>
      </c>
      <c r="AB139" s="21">
        <f>EXP(-LN(2)/2)*AB138+(1-EXP(-LN(2)/2))/(LN(2)/2)*V139*Y139*VLOOKUP('Données projet'!$B$9,Paramètres!$A$1:$I$89,3,0)*0.475*44/12</f>
        <v>8.9409677246525029E-2</v>
      </c>
      <c r="AC139" s="22">
        <f t="shared" si="111"/>
        <v>73.489212111179711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239.26156489359892</v>
      </c>
      <c r="AO139" s="59">
        <f t="shared" si="144"/>
        <v>213.97034450798111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4.3485987841178435</v>
      </c>
      <c r="AV139" s="21">
        <f>EXP(-LN(2)/25)*AV138+(1-EXP(-LN(2)/25))/(LN(2)/25)*Calculateur!AQ139*Calculateur!AS139*VLOOKUP('Données projet'!$B$10,Paramètres!$A$1:$I$89,3,0)*0.475*44/12</f>
        <v>17.83830892574715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22.186907709864993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-1.7053025658242404E-13</v>
      </c>
      <c r="BE139" s="13">
        <f>BD139*VLOOKUP('Données projet'!$B$11,Paramètres!$A$1:$I$89,3,0)*VLOOKUP('Données projet'!$B$11,Paramètres!$A$1:$I$89,5,0)</f>
        <v>-1.4897523215040567E-13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324.86930206492627</v>
      </c>
      <c r="BJ139" s="59">
        <f t="shared" si="146"/>
        <v>317.03005098025352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15.19925473086577</v>
      </c>
      <c r="BQ139" s="21">
        <f>EXP(-LN(2)/25)*BQ138+(1-EXP(-LN(2)/25))/(LN(2)/25)*Calculateur!BL139*Calculateur!BN139*VLOOKUP('Données projet'!$B$11,Paramètres!$A$1:$I$89,3,0)*0.475*44/12</f>
        <v>9.8466356670827349</v>
      </c>
      <c r="BR139" s="21">
        <f>EXP(-LN(2)/2)*BR138+(1-EXP(-LN(2)/2))/(LN(2)/2)*BL139*BO139*VLOOKUP('Données projet'!$B$11,Paramètres!$A$1:$I$89,3,0)*0.475*44/12</f>
        <v>2.1262470267465001E-7</v>
      </c>
      <c r="BS139" s="22">
        <f t="shared" si="117"/>
        <v>25.045890610573206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7.3375000000000012</v>
      </c>
      <c r="BY139" s="12">
        <f>IF('Données projet'!$A$114&gt;35,BY138+BX139-CG138,IF(A139&lt;'Données projet'!$A$114,$BV$205^A139,IF(A139='Données projet'!$A$114,'Données projet'!$B$114,BY138+BX139-CG138)))</f>
        <v>321.21999999999997</v>
      </c>
      <c r="BZ139" s="13">
        <f>BY139*VLOOKUP('Données projet'!$B$12,Paramètres!$A$1:$I$89,3,0)*VLOOKUP('Données projet'!$B$12,Paramètres!$A$1:$I$89,5,0)</f>
        <v>365.80533599999995</v>
      </c>
      <c r="CA139" s="13">
        <f t="shared" si="147"/>
        <v>84.808581028546115</v>
      </c>
      <c r="CB139" s="20">
        <f t="shared" si="118"/>
        <v>784.81923882471767</v>
      </c>
      <c r="CC139" s="59">
        <f t="shared" si="119"/>
        <v>1078.152572158051</v>
      </c>
      <c r="CD139" s="59">
        <f ca="1">AVERAGE(OFFSET($CC$3,0,0,'Données projet'!$E$12+1,1))-AVERAGE(OFFSET($H$3,0,0,'Données projet'!$E$12+1,1))</f>
        <v>593.28343396240075</v>
      </c>
      <c r="CE139" s="59">
        <f t="shared" si="148"/>
        <v>289.66477662068695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30.26090687722111</v>
      </c>
      <c r="CL139" s="21">
        <f>EXP(-LN(2)/25)*CL138+(1-EXP(-LN(2)/25))/(LN(2)/25)*Calculateur!CG139*Calculateur!CI139*VLOOKUP('Données projet'!$B$12,Paramètres!$A$1:$I$89,3,0)*0.475*44/12</f>
        <v>24.164223981763229</v>
      </c>
      <c r="CM139" s="21">
        <f>EXP(-LN(2)/2)*CM138+(1-EXP(-LN(2)/2))/(LN(2)/2)*CG139*CJ139*VLOOKUP('Données projet'!$B$12,Paramètres!$A$1:$I$89,3,0)*0.475*44/12</f>
        <v>1.3482739808394266</v>
      </c>
      <c r="CN139" s="22">
        <f t="shared" si="120"/>
        <v>55.773404839823769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9.1440000000000055</v>
      </c>
      <c r="CT139" s="12">
        <f>IF('Données projet'!$A$140&gt;35,CT138+CS139-DB138,IF(A139&lt;'Données projet'!$A$140,$CQ$205^A139,IF(A139='Données projet'!$A$140,'Données projet'!$B$140,CT138+CS139-DB138)))</f>
        <v>441.78800000000092</v>
      </c>
      <c r="CU139" s="17">
        <f>CT139*VLOOKUP('Données projet'!$B$13,Paramètres!$A$1:$I$89,3,0)*VLOOKUP('Données projet'!$B$13,Paramètres!$A$1:$I$89,5,0)</f>
        <v>475.54060320000093</v>
      </c>
      <c r="CV139" s="13">
        <f t="shared" si="149"/>
        <v>106.93380784621144</v>
      </c>
      <c r="CW139" s="20">
        <f t="shared" si="121"/>
        <v>1014.4762659054865</v>
      </c>
      <c r="CX139" s="59">
        <f t="shared" si="122"/>
        <v>1307.8095992388198</v>
      </c>
      <c r="CY139" s="59">
        <f ca="1">AVERAGE(OFFSET($CX$3,0,0,'Données projet'!$E$13+1,1))-AVERAGE(OFFSET($H$3,0,0,'Données projet'!$E$13+1,1))</f>
        <v>747.18304127457918</v>
      </c>
      <c r="CZ139" s="59">
        <f t="shared" si="150"/>
        <v>327.03701004966723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51.165393380440584</v>
      </c>
      <c r="DG139" s="21">
        <f>EXP(-LN(2)/25)*DG138+(1-EXP(-LN(2)/25))/(LN(2)/25)*Calculateur!DB139*Calculateur!DD139*VLOOKUP('Données projet'!$B$13,Paramètres!$A$1:$I$89,3,0)*0.475*44/12</f>
        <v>26.751319972503847</v>
      </c>
      <c r="DH139" s="21">
        <f>EXP(-LN(2)/2)*DH138+(1-EXP(-LN(2)/2))/(LN(2)/2)*DB139*DE139*VLOOKUP('Données projet'!$B$13,Paramètres!$A$1:$I$89,3,0)*0.475*44/12</f>
        <v>9.4911811230926568E-2</v>
      </c>
      <c r="DI139" s="22">
        <f t="shared" si="123"/>
        <v>78.011625164175356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353.37479213497227</v>
      </c>
      <c r="DU139" s="59">
        <f t="shared" si="152"/>
        <v>345.4750813433123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17.147694115982716</v>
      </c>
      <c r="EB139" s="21">
        <f>EXP(-LN(2)/25)*EB138+(1-EXP(-LN(2)/25))/(LN(2)/25)*Calculateur!DW139*Calculateur!DY139*VLOOKUP('Données projet'!$B$14,Paramètres!$A$1:$I$89,3,0)*0.475*44/12</f>
        <v>10.864535513221021</v>
      </c>
      <c r="EC139" s="21">
        <f>EXP(-LN(2)/2)*EC138+(1-EXP(-LN(2)/2))/(LN(2)/2)*DW139*DZ139*VLOOKUP('Données projet'!$B$14,Paramètres!$A$1:$I$89,3,0)*0.475*44/12</f>
        <v>2.3253754229993132E-7</v>
      </c>
      <c r="ED139" s="22">
        <f t="shared" si="126"/>
        <v>28.012229861741279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-4.5474735088646412E-13</v>
      </c>
      <c r="EK139" s="17">
        <f>EJ139*VLOOKUP('Données projet'!$B$15,Paramètres!$A$1:$I$89,3,0)*VLOOKUP('Données projet'!$B$15,Paramètres!$A$1:$I$89,5,0)</f>
        <v>-2.1282176021486519E-13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433.05041777893922</v>
      </c>
      <c r="EP139" s="59">
        <f t="shared" si="154"/>
        <v>591.24088611958996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190.22216525094058</v>
      </c>
      <c r="EW139" s="21">
        <f>EXP(-LN(2)/25)*EW138+(1-EXP(-LN(2)/25))/(LN(2)/25)*Calculateur!ER139*Calculateur!ET139*VLOOKUP('Données projet'!$B$15,Paramètres!$A$1:$I$89,3,0)*0.475*44/12</f>
        <v>45.449551714085437</v>
      </c>
      <c r="EX139" s="21">
        <f>EXP(-LN(2)/2)*EX138+(1-EXP(-LN(2)/2))/(LN(2)/2)*ER139*EU139*VLOOKUP('Données projet'!$B$15,Paramètres!$A$1:$I$89,3,0)*0.475*44/12</f>
        <v>1.0551242504109202E-3</v>
      </c>
      <c r="EY139" s="22">
        <f t="shared" si="129"/>
        <v>235.67277208927641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-8.5265128291212022E-14</v>
      </c>
      <c r="FF139" s="17">
        <f>FE139*VLOOKUP('Données projet'!$B$16,Paramètres!$A$1:$I$89,3,0)*VLOOKUP('Données projet'!$B$16,Paramètres!$A$1:$I$89,5,0)</f>
        <v>-6.9167072069831198E-14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159.4660488566085</v>
      </c>
      <c r="FK139" s="59">
        <f t="shared" si="156"/>
        <v>135.33030558297088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</v>
      </c>
      <c r="FR139" s="21">
        <f>EXP(-LN(2)/25)*FR138+(1-EXP(-LN(2)/25))/(LN(2)/25)*Calculateur!FM139*Calculateur!FO139*VLOOKUP('Données projet'!$B$16,Paramètres!$A$1:$I$89,3,0)*0.475*44/12</f>
        <v>4.5192396129585433</v>
      </c>
      <c r="FS139" s="21">
        <f>EXP(-LN(2)/2)*FS138+(1-EXP(-LN(2)/2))/(LN(2)/2)*FM139*FP139*VLOOKUP('Données projet'!$B$16,Paramètres!$A$1:$I$89,3,0)*0.475*44/12</f>
        <v>2.985604575065457E-6</v>
      </c>
      <c r="FT139" s="22">
        <f t="shared" si="132"/>
        <v>4.5192425985631184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9.1440000000000055</v>
      </c>
      <c r="N140" s="13">
        <f>IF('Données projet'!$A$36&gt;35,N139+M140-V139,IF(A140&lt;'Données projet'!$A$36,$K$205^A140,IF(A140='Données projet'!$A$36,'Données projet'!$B$36,N139+M140-V139)))</f>
        <v>450.93200000000093</v>
      </c>
      <c r="O140" s="13">
        <f>N140*VLOOKUP('Données projet'!$B$9,Paramètres!$A$1:$I$89,3,0)*VLOOKUP('Données projet'!$B$9,Paramètres!$A$1:$I$89,5,0)</f>
        <v>457.24504800000096</v>
      </c>
      <c r="P140" s="13">
        <f t="shared" si="141"/>
        <v>103.29034565107023</v>
      </c>
      <c r="Q140" s="20">
        <f t="shared" si="108"/>
        <v>976.26581060894898</v>
      </c>
      <c r="R140" s="59">
        <f t="shared" si="109"/>
        <v>1269.5991439422824</v>
      </c>
      <c r="S140" s="59">
        <f ca="1">AVERAGE(OFFSET($R$3,0,0,'Données projet'!$E$9+1,1))-AVERAGE(OFFSET($H$3,0,0,'Données projet'!$E$9+1,1))</f>
        <v>706.69239849991595</v>
      </c>
      <c r="T140" s="59">
        <f t="shared" si="142"/>
        <v>310.59887275116529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47.25412506614218</v>
      </c>
      <c r="AA140" s="21">
        <f>EXP(-LN(2)/25)*AA139+(1-EXP(-LN(2)/25))/(LN(2)/25)*Calculateur!V140*Calculateur!X140*VLOOKUP('Données projet'!$B$9,Paramètres!$A$1:$I$89,3,0)*0.475*44/12</f>
        <v>24.511409302452492</v>
      </c>
      <c r="AB140" s="21">
        <f>EXP(-LN(2)/2)*AB139+(1-EXP(-LN(2)/2))/(LN(2)/2)*V140*Y140*VLOOKUP('Données projet'!$B$9,Paramètres!$A$1:$I$89,3,0)*0.475*44/12</f>
        <v>6.3222189084718411E-2</v>
      </c>
      <c r="AC140" s="22">
        <f t="shared" si="111"/>
        <v>71.828756557679384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239.26156489359892</v>
      </c>
      <c r="AO140" s="59">
        <f t="shared" si="144"/>
        <v>213.97034450798111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4.2633254143446502</v>
      </c>
      <c r="AV140" s="21">
        <f>EXP(-LN(2)/25)*AV139+(1-EXP(-LN(2)/25))/(LN(2)/25)*Calculateur!AQ140*Calculateur!AS140*VLOOKUP('Données projet'!$B$10,Paramètres!$A$1:$I$89,3,0)*0.475*44/12</f>
        <v>17.350519430096696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21.613844844441346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-1.7053025658242404E-13</v>
      </c>
      <c r="BE140" s="13">
        <f>BD140*VLOOKUP('Données projet'!$B$11,Paramètres!$A$1:$I$89,3,0)*VLOOKUP('Données projet'!$B$11,Paramètres!$A$1:$I$89,5,0)</f>
        <v>-1.4897523215040567E-13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324.86930206492627</v>
      </c>
      <c r="BJ140" s="59">
        <f t="shared" si="146"/>
        <v>317.03005098025352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14.90120661622348</v>
      </c>
      <c r="BQ140" s="21">
        <f>EXP(-LN(2)/25)*BQ139+(1-EXP(-LN(2)/25))/(LN(2)/25)*Calculateur!BL140*Calculateur!BN140*VLOOKUP('Données projet'!$B$11,Paramètres!$A$1:$I$89,3,0)*0.475*44/12</f>
        <v>9.5773788969542917</v>
      </c>
      <c r="BR140" s="21">
        <f>EXP(-LN(2)/2)*BR139+(1-EXP(-LN(2)/2))/(LN(2)/2)*BL140*BO140*VLOOKUP('Données projet'!$B$11,Paramètres!$A$1:$I$89,3,0)*0.475*44/12</f>
        <v>1.5034836910901847E-7</v>
      </c>
      <c r="BS140" s="22">
        <f t="shared" si="117"/>
        <v>24.47858566352614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7.3375000000000012</v>
      </c>
      <c r="BY140" s="12">
        <f>IF('Données projet'!$A$114&gt;35,BY139+BX140-CG139,IF(A140&lt;'Données projet'!$A$114,$BV$205^A140,IF(A140='Données projet'!$A$114,'Données projet'!$B$114,BY139+BX140-CG139)))</f>
        <v>328.55749999999995</v>
      </c>
      <c r="BZ140" s="13">
        <f>BY140*VLOOKUP('Données projet'!$B$12,Paramètres!$A$1:$I$89,3,0)*VLOOKUP('Données projet'!$B$12,Paramètres!$A$1:$I$89,5,0)</f>
        <v>374.16128099999997</v>
      </c>
      <c r="CA140" s="13">
        <f t="shared" si="147"/>
        <v>86.518077245851956</v>
      </c>
      <c r="CB140" s="20">
        <f t="shared" si="118"/>
        <v>802.34988227819213</v>
      </c>
      <c r="CC140" s="59">
        <f t="shared" si="119"/>
        <v>1095.6832156115254</v>
      </c>
      <c r="CD140" s="59">
        <f ca="1">AVERAGE(OFFSET($CC$3,0,0,'Données projet'!$E$12+1,1))-AVERAGE(OFFSET($H$3,0,0,'Données projet'!$E$12+1,1))</f>
        <v>593.28343396240075</v>
      </c>
      <c r="CE140" s="59">
        <f t="shared" si="148"/>
        <v>289.66477662068695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29.667508950689488</v>
      </c>
      <c r="CL140" s="21">
        <f>EXP(-LN(2)/25)*CL139+(1-EXP(-LN(2)/25))/(LN(2)/25)*Calculateur!CG140*Calculateur!CI140*VLOOKUP('Données projet'!$B$12,Paramètres!$A$1:$I$89,3,0)*0.475*44/12</f>
        <v>23.503452006240604</v>
      </c>
      <c r="CM140" s="21">
        <f>EXP(-LN(2)/2)*CM139+(1-EXP(-LN(2)/2))/(LN(2)/2)*CG140*CJ140*VLOOKUP('Données projet'!$B$12,Paramètres!$A$1:$I$89,3,0)*0.475*44/12</f>
        <v>0.95337367474893986</v>
      </c>
      <c r="CN140" s="22">
        <f t="shared" si="120"/>
        <v>54.124334631679027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9.1440000000000055</v>
      </c>
      <c r="CT140" s="12">
        <f>IF('Données projet'!$A$140&gt;35,CT139+CS140-DB139,IF(A140&lt;'Données projet'!$A$140,$CQ$205^A140,IF(A140='Données projet'!$A$140,'Données projet'!$B$140,CT139+CS140-DB139)))</f>
        <v>450.93200000000093</v>
      </c>
      <c r="CU140" s="17">
        <f>CT140*VLOOKUP('Données projet'!$B$13,Paramètres!$A$1:$I$89,3,0)*VLOOKUP('Données projet'!$B$13,Paramètres!$A$1:$I$89,5,0)</f>
        <v>485.38320480000101</v>
      </c>
      <c r="CV140" s="13">
        <f t="shared" si="149"/>
        <v>108.88712859233728</v>
      </c>
      <c r="CW140" s="20">
        <f t="shared" si="121"/>
        <v>1035.0208306583224</v>
      </c>
      <c r="CX140" s="59">
        <f t="shared" si="122"/>
        <v>1328.3541639916557</v>
      </c>
      <c r="CY140" s="59">
        <f ca="1">AVERAGE(OFFSET($CX$3,0,0,'Données projet'!$E$13+1,1))-AVERAGE(OFFSET($H$3,0,0,'Données projet'!$E$13+1,1))</f>
        <v>747.18304127457918</v>
      </c>
      <c r="CZ140" s="59">
        <f t="shared" si="150"/>
        <v>327.03701004966723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50.162071224058593</v>
      </c>
      <c r="DG140" s="21">
        <f>EXP(-LN(2)/25)*DG139+(1-EXP(-LN(2)/25))/(LN(2)/25)*Calculateur!DB140*Calculateur!DD140*VLOOKUP('Données projet'!$B$13,Paramètres!$A$1:$I$89,3,0)*0.475*44/12</f>
        <v>26.019803721064953</v>
      </c>
      <c r="DH140" s="21">
        <f>EXP(-LN(2)/2)*DH139+(1-EXP(-LN(2)/2))/(LN(2)/2)*DB140*DE140*VLOOKUP('Données projet'!$B$13,Paramètres!$A$1:$I$89,3,0)*0.475*44/12</f>
        <v>6.7112785336085695E-2</v>
      </c>
      <c r="DI140" s="22">
        <f t="shared" si="123"/>
        <v>76.248987730459632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353.37479213497227</v>
      </c>
      <c r="DU140" s="59">
        <f t="shared" si="152"/>
        <v>345.4750813433123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16.81143829342896</v>
      </c>
      <c r="EB140" s="21">
        <f>EXP(-LN(2)/25)*EB139+(1-EXP(-LN(2)/25))/(LN(2)/25)*Calculateur!DW140*Calculateur!DY140*VLOOKUP('Données projet'!$B$14,Paramètres!$A$1:$I$89,3,0)*0.475*44/12</f>
        <v>10.567444218270902</v>
      </c>
      <c r="EC140" s="21">
        <f>EXP(-LN(2)/2)*EC139+(1-EXP(-LN(2)/2))/(LN(2)/2)*DW140*DZ140*VLOOKUP('Données projet'!$B$14,Paramètres!$A$1:$I$89,3,0)*0.475*44/12</f>
        <v>1.6442887304073507E-7</v>
      </c>
      <c r="ED140" s="22">
        <f t="shared" si="126"/>
        <v>27.378882676128736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-4.5474735088646412E-13</v>
      </c>
      <c r="EK140" s="17">
        <f>EJ140*VLOOKUP('Données projet'!$B$15,Paramètres!$A$1:$I$89,3,0)*VLOOKUP('Données projet'!$B$15,Paramètres!$A$1:$I$89,5,0)</f>
        <v>-2.1282176021486519E-13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433.05041777893922</v>
      </c>
      <c r="EP140" s="59">
        <f t="shared" si="154"/>
        <v>591.24088611958996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186.492024614434</v>
      </c>
      <c r="EW140" s="21">
        <f>EXP(-LN(2)/25)*EW139+(1-EXP(-LN(2)/25))/(LN(2)/25)*Calculateur!ER140*Calculateur!ET140*VLOOKUP('Données projet'!$B$15,Paramètres!$A$1:$I$89,3,0)*0.475*44/12</f>
        <v>44.206731332375725</v>
      </c>
      <c r="EX140" s="21">
        <f>EXP(-LN(2)/2)*EX139+(1-EXP(-LN(2)/2))/(LN(2)/2)*ER140*EU140*VLOOKUP('Données projet'!$B$15,Paramètres!$A$1:$I$89,3,0)*0.475*44/12</f>
        <v>7.4608551245993458E-4</v>
      </c>
      <c r="EY140" s="22">
        <f t="shared" si="129"/>
        <v>230.69950203232219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-8.5265128291212022E-14</v>
      </c>
      <c r="FF140" s="17">
        <f>FE140*VLOOKUP('Données projet'!$B$16,Paramètres!$A$1:$I$89,3,0)*VLOOKUP('Données projet'!$B$16,Paramètres!$A$1:$I$89,5,0)</f>
        <v>-6.9167072069831198E-14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159.4660488566085</v>
      </c>
      <c r="FK140" s="59">
        <f t="shared" si="156"/>
        <v>135.33030558297088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</v>
      </c>
      <c r="FR140" s="21">
        <f>EXP(-LN(2)/25)*FR139+(1-EXP(-LN(2)/25))/(LN(2)/25)*Calculateur!FM140*Calculateur!FO140*VLOOKUP('Données projet'!$B$16,Paramètres!$A$1:$I$89,3,0)*0.475*44/12</f>
        <v>4.3956607680857092</v>
      </c>
      <c r="FS140" s="21">
        <f>EXP(-LN(2)/2)*FS139+(1-EXP(-LN(2)/2))/(LN(2)/2)*FM140*FP140*VLOOKUP('Données projet'!$B$16,Paramètres!$A$1:$I$89,3,0)*0.475*44/12</f>
        <v>2.1111412409703653E-6</v>
      </c>
      <c r="FT140" s="22">
        <f t="shared" si="132"/>
        <v>4.3956628792269505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9.1440000000000055</v>
      </c>
      <c r="N141" s="13">
        <f>IF('Données projet'!$A$36&gt;35,N140+M141-V140,IF(A141&lt;'Données projet'!$A$36,$K$205^A141,IF(A141='Données projet'!$A$36,'Données projet'!$B$36,N140+M141-V140)))</f>
        <v>460.07600000000093</v>
      </c>
      <c r="O141" s="13">
        <f>N141*VLOOKUP('Données projet'!$B$9,Paramètres!$A$1:$I$89,3,0)*VLOOKUP('Données projet'!$B$9,Paramètres!$A$1:$I$89,5,0)</f>
        <v>466.51706400000097</v>
      </c>
      <c r="P141" s="13">
        <f t="shared" si="141"/>
        <v>105.13889727137632</v>
      </c>
      <c r="Q141" s="20">
        <f t="shared" si="108"/>
        <v>995.63413254764862</v>
      </c>
      <c r="R141" s="59">
        <f t="shared" si="109"/>
        <v>1288.967465880982</v>
      </c>
      <c r="S141" s="59">
        <f ca="1">AVERAGE(OFFSET($R$3,0,0,'Données projet'!$E$9+1,1))-AVERAGE(OFFSET($H$3,0,0,'Données projet'!$E$9+1,1))</f>
        <v>706.69239849991595</v>
      </c>
      <c r="T141" s="59">
        <f t="shared" si="142"/>
        <v>310.59887275116529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46.32750049576547</v>
      </c>
      <c r="AA141" s="21">
        <f>EXP(-LN(2)/25)*AA140+(1-EXP(-LN(2)/25))/(LN(2)/25)*Calculateur!V141*Calculateur!X141*VLOOKUP('Données projet'!$B$9,Paramètres!$A$1:$I$89,3,0)*0.475*44/12</f>
        <v>23.841143526077936</v>
      </c>
      <c r="AB141" s="21">
        <f>EXP(-LN(2)/2)*AB140+(1-EXP(-LN(2)/2))/(LN(2)/2)*V141*Y141*VLOOKUP('Données projet'!$B$9,Paramètres!$A$1:$I$89,3,0)*0.475*44/12</f>
        <v>4.4704838623262515E-2</v>
      </c>
      <c r="AC141" s="22">
        <f t="shared" si="111"/>
        <v>70.213348860466667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239.26156489359892</v>
      </c>
      <c r="AO141" s="59">
        <f t="shared" si="144"/>
        <v>213.97034450798111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4.1797242033410891</v>
      </c>
      <c r="AV141" s="21">
        <f>EXP(-LN(2)/25)*AV140+(1-EXP(-LN(2)/25))/(LN(2)/25)*Calculateur!AQ141*Calculateur!AS141*VLOOKUP('Données projet'!$B$10,Paramètres!$A$1:$I$89,3,0)*0.475*44/12</f>
        <v>16.876068563856542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21.05579276719763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-1.7053025658242404E-13</v>
      </c>
      <c r="BE141" s="13">
        <f>BD141*VLOOKUP('Données projet'!$B$11,Paramètres!$A$1:$I$89,3,0)*VLOOKUP('Données projet'!$B$11,Paramètres!$A$1:$I$89,5,0)</f>
        <v>-1.4897523215040567E-13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324.86930206492627</v>
      </c>
      <c r="BJ141" s="59">
        <f t="shared" si="146"/>
        <v>317.03005098025352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14.609003043317925</v>
      </c>
      <c r="BQ141" s="21">
        <f>EXP(-LN(2)/25)*BQ140+(1-EXP(-LN(2)/25))/(LN(2)/25)*Calculateur!BL141*Calculateur!BN141*VLOOKUP('Données projet'!$B$11,Paramètres!$A$1:$I$89,3,0)*0.475*44/12</f>
        <v>9.3154849673646094</v>
      </c>
      <c r="BR141" s="21">
        <f>EXP(-LN(2)/2)*BR140+(1-EXP(-LN(2)/2))/(LN(2)/2)*BL141*BO141*VLOOKUP('Données projet'!$B$11,Paramètres!$A$1:$I$89,3,0)*0.475*44/12</f>
        <v>1.06312351337325E-7</v>
      </c>
      <c r="BS141" s="22">
        <f t="shared" si="117"/>
        <v>23.924488116994887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7.3375000000000012</v>
      </c>
      <c r="BY141" s="12">
        <f>IF('Données projet'!$A$114&gt;35,BY140+BX141-CG140,IF(A141&lt;'Données projet'!$A$114,$BV$205^A141,IF(A141='Données projet'!$A$114,'Données projet'!$B$114,BY140+BX141-CG140)))</f>
        <v>335.89499999999992</v>
      </c>
      <c r="BZ141" s="13">
        <f>BY141*VLOOKUP('Données projet'!$B$12,Paramètres!$A$1:$I$89,3,0)*VLOOKUP('Données projet'!$B$12,Paramètres!$A$1:$I$89,5,0)</f>
        <v>382.51722599999994</v>
      </c>
      <c r="CA141" s="13">
        <f t="shared" si="147"/>
        <v>88.223135009812083</v>
      </c>
      <c r="CB141" s="20">
        <f t="shared" si="118"/>
        <v>819.87279542542262</v>
      </c>
      <c r="CC141" s="59">
        <f t="shared" si="119"/>
        <v>1113.206128758756</v>
      </c>
      <c r="CD141" s="59">
        <f ca="1">AVERAGE(OFFSET($CC$3,0,0,'Données projet'!$E$12+1,1))-AVERAGE(OFFSET($H$3,0,0,'Données projet'!$E$12+1,1))</f>
        <v>593.28343396240075</v>
      </c>
      <c r="CE141" s="59">
        <f t="shared" si="148"/>
        <v>289.66477662068695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29.085747195560156</v>
      </c>
      <c r="CL141" s="21">
        <f>EXP(-LN(2)/25)*CL140+(1-EXP(-LN(2)/25))/(LN(2)/25)*Calculateur!CG141*Calculateur!CI141*VLOOKUP('Données projet'!$B$12,Paramètres!$A$1:$I$89,3,0)*0.475*44/12</f>
        <v>22.86074887513713</v>
      </c>
      <c r="CM141" s="21">
        <f>EXP(-LN(2)/2)*CM140+(1-EXP(-LN(2)/2))/(LN(2)/2)*CG141*CJ141*VLOOKUP('Données projet'!$B$12,Paramètres!$A$1:$I$89,3,0)*0.475*44/12</f>
        <v>0.67413699041971342</v>
      </c>
      <c r="CN141" s="22">
        <f t="shared" si="120"/>
        <v>52.620633061116997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9.1440000000000055</v>
      </c>
      <c r="CT141" s="12">
        <f>IF('Données projet'!$A$140&gt;35,CT140+CS141-DB140,IF(A141&lt;'Données projet'!$A$140,$CQ$205^A141,IF(A141='Données projet'!$A$140,'Données projet'!$B$140,CT140+CS141-DB140)))</f>
        <v>460.07600000000093</v>
      </c>
      <c r="CU141" s="17">
        <f>CT141*VLOOKUP('Données projet'!$B$13,Paramètres!$A$1:$I$89,3,0)*VLOOKUP('Données projet'!$B$13,Paramètres!$A$1:$I$89,5,0)</f>
        <v>495.22580640000092</v>
      </c>
      <c r="CV141" s="13">
        <f t="shared" si="149"/>
        <v>110.83584390276725</v>
      </c>
      <c r="CW141" s="20">
        <f t="shared" si="121"/>
        <v>1055.5573742773213</v>
      </c>
      <c r="CX141" s="59">
        <f t="shared" si="122"/>
        <v>1348.8907076106545</v>
      </c>
      <c r="CY141" s="59">
        <f ca="1">AVERAGE(OFFSET($CX$3,0,0,'Données projet'!$E$13+1,1))-AVERAGE(OFFSET($H$3,0,0,'Données projet'!$E$13+1,1))</f>
        <v>747.18304127457918</v>
      </c>
      <c r="CZ141" s="59">
        <f t="shared" si="150"/>
        <v>327.03701004966723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49.17842360319716</v>
      </c>
      <c r="DG141" s="21">
        <f>EXP(-LN(2)/25)*DG140+(1-EXP(-LN(2)/25))/(LN(2)/25)*Calculateur!DB141*Calculateur!DD141*VLOOKUP('Données projet'!$B$13,Paramètres!$A$1:$I$89,3,0)*0.475*44/12</f>
        <v>25.308290819990422</v>
      </c>
      <c r="DH141" s="21">
        <f>EXP(-LN(2)/2)*DH140+(1-EXP(-LN(2)/2))/(LN(2)/2)*DB141*DE141*VLOOKUP('Données projet'!$B$13,Paramètres!$A$1:$I$89,3,0)*0.475*44/12</f>
        <v>4.7455905615463284E-2</v>
      </c>
      <c r="DI141" s="22">
        <f t="shared" si="123"/>
        <v>74.534170328803043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353.37479213497227</v>
      </c>
      <c r="DU141" s="59">
        <f t="shared" si="152"/>
        <v>345.4750813433123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16.481776242459681</v>
      </c>
      <c r="EB141" s="21">
        <f>EXP(-LN(2)/25)*EB140+(1-EXP(-LN(2)/25))/(LN(2)/25)*Calculateur!DW141*Calculateur!DY141*VLOOKUP('Données projet'!$B$14,Paramètres!$A$1:$I$89,3,0)*0.475*44/12</f>
        <v>10.278476900404545</v>
      </c>
      <c r="EC141" s="21">
        <f>EXP(-LN(2)/2)*EC140+(1-EXP(-LN(2)/2))/(LN(2)/2)*DW141*DZ141*VLOOKUP('Données projet'!$B$14,Paramètres!$A$1:$I$89,3,0)*0.475*44/12</f>
        <v>1.1626877114996566E-7</v>
      </c>
      <c r="ED141" s="22">
        <f t="shared" si="126"/>
        <v>26.760253259132998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-4.5474735088646412E-13</v>
      </c>
      <c r="EK141" s="17">
        <f>EJ141*VLOOKUP('Données projet'!$B$15,Paramètres!$A$1:$I$89,3,0)*VLOOKUP('Données projet'!$B$15,Paramètres!$A$1:$I$89,5,0)</f>
        <v>-2.1282176021486519E-13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433.05041777893922</v>
      </c>
      <c r="EP141" s="59">
        <f t="shared" si="154"/>
        <v>591.24088611958996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182.83502976064818</v>
      </c>
      <c r="EW141" s="21">
        <f>EXP(-LN(2)/25)*EW140+(1-EXP(-LN(2)/25))/(LN(2)/25)*Calculateur!ER141*Calculateur!ET141*VLOOKUP('Données projet'!$B$15,Paramètres!$A$1:$I$89,3,0)*0.475*44/12</f>
        <v>42.997895939360944</v>
      </c>
      <c r="EX141" s="21">
        <f>EXP(-LN(2)/2)*EX140+(1-EXP(-LN(2)/2))/(LN(2)/2)*ER141*EU141*VLOOKUP('Données projet'!$B$15,Paramètres!$A$1:$I$89,3,0)*0.475*44/12</f>
        <v>5.2756212520546012E-4</v>
      </c>
      <c r="EY141" s="22">
        <f t="shared" si="129"/>
        <v>225.83345326213433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-8.5265128291212022E-14</v>
      </c>
      <c r="FF141" s="17">
        <f>FE141*VLOOKUP('Données projet'!$B$16,Paramètres!$A$1:$I$89,3,0)*VLOOKUP('Données projet'!$B$16,Paramètres!$A$1:$I$89,5,0)</f>
        <v>-6.9167072069831198E-14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159.4660488566085</v>
      </c>
      <c r="FK141" s="59">
        <f t="shared" si="156"/>
        <v>135.33030558297088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</v>
      </c>
      <c r="FR141" s="21">
        <f>EXP(-LN(2)/25)*FR140+(1-EXP(-LN(2)/25))/(LN(2)/25)*Calculateur!FM141*Calculateur!FO141*VLOOKUP('Données projet'!$B$16,Paramètres!$A$1:$I$89,3,0)*0.475*44/12</f>
        <v>4.2754611932246522</v>
      </c>
      <c r="FS141" s="21">
        <f>EXP(-LN(2)/2)*FS140+(1-EXP(-LN(2)/2))/(LN(2)/2)*FM141*FP141*VLOOKUP('Données projet'!$B$16,Paramètres!$A$1:$I$89,3,0)*0.475*44/12</f>
        <v>1.4928022875327285E-6</v>
      </c>
      <c r="FT141" s="22">
        <f t="shared" si="132"/>
        <v>4.2754626860269394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9.1440000000000055</v>
      </c>
      <c r="N142" s="13">
        <f>IF('Données projet'!$A$36&gt;35,N141+M142-V141,IF(A142&lt;'Données projet'!$A$36,$K$205^A142,IF(A142='Données projet'!$A$36,'Données projet'!$B$36,N141+M142-V141)))</f>
        <v>469.22000000000094</v>
      </c>
      <c r="O142" s="13">
        <f>N142*VLOOKUP('Données projet'!$B$9,Paramètres!$A$1:$I$89,3,0)*VLOOKUP('Données projet'!$B$9,Paramètres!$A$1:$I$89,5,0)</f>
        <v>475.78908000000098</v>
      </c>
      <c r="P142" s="13">
        <f t="shared" si="141"/>
        <v>106.98317701049932</v>
      </c>
      <c r="Q142" s="20">
        <f t="shared" si="108"/>
        <v>1014.9950142932879</v>
      </c>
      <c r="R142" s="59">
        <f t="shared" si="109"/>
        <v>1308.3283476266213</v>
      </c>
      <c r="S142" s="59">
        <f ca="1">AVERAGE(OFFSET($R$3,0,0,'Données projet'!$E$9+1,1))-AVERAGE(OFFSET($H$3,0,0,'Données projet'!$E$9+1,1))</f>
        <v>706.69239849991595</v>
      </c>
      <c r="T142" s="59">
        <f t="shared" si="142"/>
        <v>310.59887275116529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45.419046468028668</v>
      </c>
      <c r="AA142" s="21">
        <f>EXP(-LN(2)/25)*AA141+(1-EXP(-LN(2)/25))/(LN(2)/25)*Calculateur!V142*Calculateur!X142*VLOOKUP('Données projet'!$B$9,Paramètres!$A$1:$I$89,3,0)*0.475*44/12</f>
        <v>23.189206202606087</v>
      </c>
      <c r="AB142" s="21">
        <f>EXP(-LN(2)/2)*AB141+(1-EXP(-LN(2)/2))/(LN(2)/2)*V142*Y142*VLOOKUP('Données projet'!$B$9,Paramètres!$A$1:$I$89,3,0)*0.475*44/12</f>
        <v>3.1611094542359205E-2</v>
      </c>
      <c r="AC142" s="22">
        <f t="shared" si="111"/>
        <v>68.639863765177111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239.26156489359892</v>
      </c>
      <c r="AO142" s="59">
        <f t="shared" si="144"/>
        <v>213.97034450798111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4.0977623610936043</v>
      </c>
      <c r="AV142" s="21">
        <f>EXP(-LN(2)/25)*AV141+(1-EXP(-LN(2)/25))/(LN(2)/25)*Calculateur!AQ142*Calculateur!AS142*VLOOKUP('Données projet'!$B$10,Paramètres!$A$1:$I$89,3,0)*0.475*44/12</f>
        <v>16.414591581504009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20.512353942597613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-1.7053025658242404E-13</v>
      </c>
      <c r="BE142" s="13">
        <f>BD142*VLOOKUP('Données projet'!$B$11,Paramètres!$A$1:$I$89,3,0)*VLOOKUP('Données projet'!$B$11,Paramètres!$A$1:$I$89,5,0)</f>
        <v>-1.4897523215040567E-13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324.86930206492627</v>
      </c>
      <c r="BJ142" s="59">
        <f t="shared" si="146"/>
        <v>317.03005098025352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14.322529404250467</v>
      </c>
      <c r="BQ142" s="21">
        <f>EXP(-LN(2)/25)*BQ141+(1-EXP(-LN(2)/25))/(LN(2)/25)*Calculateur!BL142*Calculateur!BN142*VLOOKUP('Données projet'!$B$11,Paramètres!$A$1:$I$89,3,0)*0.475*44/12</f>
        <v>9.0607525410519614</v>
      </c>
      <c r="BR142" s="21">
        <f>EXP(-LN(2)/2)*BR141+(1-EXP(-LN(2)/2))/(LN(2)/2)*BL142*BO142*VLOOKUP('Données projet'!$B$11,Paramètres!$A$1:$I$89,3,0)*0.475*44/12</f>
        <v>7.5174184554509233E-8</v>
      </c>
      <c r="BS142" s="22">
        <f t="shared" si="117"/>
        <v>23.383282020476614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7.3375000000000012</v>
      </c>
      <c r="BY142" s="12">
        <f>IF('Données projet'!$A$114&gt;35,BY141+BX142-CG141,IF(A142&lt;'Données projet'!$A$114,$BV$205^A142,IF(A142='Données projet'!$A$114,'Données projet'!$B$114,BY141+BX142-CG141)))</f>
        <v>343.2324999999999</v>
      </c>
      <c r="BZ142" s="13">
        <f>BY142*VLOOKUP('Données projet'!$B$12,Paramètres!$A$1:$I$89,3,0)*VLOOKUP('Données projet'!$B$12,Paramètres!$A$1:$I$89,5,0)</f>
        <v>390.8731709999999</v>
      </c>
      <c r="CA142" s="13">
        <f t="shared" si="147"/>
        <v>89.923862442362179</v>
      </c>
      <c r="CB142" s="20">
        <f t="shared" si="118"/>
        <v>837.38816657878067</v>
      </c>
      <c r="CC142" s="59">
        <f t="shared" si="119"/>
        <v>1130.721499912114</v>
      </c>
      <c r="CD142" s="59">
        <f ca="1">AVERAGE(OFFSET($CC$3,0,0,'Données projet'!$E$12+1,1))-AVERAGE(OFFSET($H$3,0,0,'Données projet'!$E$12+1,1))</f>
        <v>593.28343396240075</v>
      </c>
      <c r="CE142" s="59">
        <f t="shared" si="148"/>
        <v>289.66477662068695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28.515393433609276</v>
      </c>
      <c r="CL142" s="21">
        <f>EXP(-LN(2)/25)*CL141+(1-EXP(-LN(2)/25))/(LN(2)/25)*Calculateur!CG142*Calculateur!CI142*VLOOKUP('Données projet'!$B$12,Paramètres!$A$1:$I$89,3,0)*0.475*44/12</f>
        <v>22.23562049495197</v>
      </c>
      <c r="CM142" s="21">
        <f>EXP(-LN(2)/2)*CM141+(1-EXP(-LN(2)/2))/(LN(2)/2)*CG142*CJ142*VLOOKUP('Données projet'!$B$12,Paramètres!$A$1:$I$89,3,0)*0.475*44/12</f>
        <v>0.47668683737447004</v>
      </c>
      <c r="CN142" s="22">
        <f t="shared" si="120"/>
        <v>51.227700765935722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9.1440000000000055</v>
      </c>
      <c r="CT142" s="12">
        <f>IF('Données projet'!$A$140&gt;35,CT141+CS142-DB141,IF(A142&lt;'Données projet'!$A$140,$CQ$205^A142,IF(A142='Données projet'!$A$140,'Données projet'!$B$140,CT141+CS142-DB141)))</f>
        <v>469.22000000000094</v>
      </c>
      <c r="CU142" s="17">
        <f>CT142*VLOOKUP('Données projet'!$B$13,Paramètres!$A$1:$I$89,3,0)*VLOOKUP('Données projet'!$B$13,Paramètres!$A$1:$I$89,5,0)</f>
        <v>505.068408000001</v>
      </c>
      <c r="CV142" s="13">
        <f t="shared" si="149"/>
        <v>112.78005586031574</v>
      </c>
      <c r="CW142" s="20">
        <f t="shared" si="121"/>
        <v>1076.0860745567184</v>
      </c>
      <c r="CX142" s="59">
        <f t="shared" si="122"/>
        <v>1369.4194078900516</v>
      </c>
      <c r="CY142" s="59">
        <f ca="1">AVERAGE(OFFSET($CX$3,0,0,'Données projet'!$E$13+1,1))-AVERAGE(OFFSET($H$3,0,0,'Données projet'!$E$13+1,1))</f>
        <v>747.18304127457918</v>
      </c>
      <c r="CZ142" s="59">
        <f t="shared" si="150"/>
        <v>327.03701004966723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48.214064712215013</v>
      </c>
      <c r="DG142" s="21">
        <f>EXP(-LN(2)/25)*DG141+(1-EXP(-LN(2)/25))/(LN(2)/25)*Calculateur!DB142*Calculateur!DD142*VLOOKUP('Données projet'!$B$13,Paramètres!$A$1:$I$89,3,0)*0.475*44/12</f>
        <v>24.616234276612612</v>
      </c>
      <c r="DH142" s="21">
        <f>EXP(-LN(2)/2)*DH141+(1-EXP(-LN(2)/2))/(LN(2)/2)*DB142*DE142*VLOOKUP('Données projet'!$B$13,Paramètres!$A$1:$I$89,3,0)*0.475*44/12</f>
        <v>3.3556392668042848E-2</v>
      </c>
      <c r="DI142" s="22">
        <f t="shared" si="123"/>
        <v>72.863855381495668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353.37479213497227</v>
      </c>
      <c r="DU142" s="59">
        <f t="shared" si="152"/>
        <v>345.4750813433123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16.158578663235915</v>
      </c>
      <c r="EB142" s="21">
        <f>EXP(-LN(2)/25)*EB141+(1-EXP(-LN(2)/25))/(LN(2)/25)*Calculateur!DW142*Calculateur!DY142*VLOOKUP('Données projet'!$B$14,Paramètres!$A$1:$I$89,3,0)*0.475*44/12</f>
        <v>9.9974114090413746</v>
      </c>
      <c r="EC142" s="21">
        <f>EXP(-LN(2)/2)*EC141+(1-EXP(-LN(2)/2))/(LN(2)/2)*DW142*DZ142*VLOOKUP('Données projet'!$B$14,Paramètres!$A$1:$I$89,3,0)*0.475*44/12</f>
        <v>8.2214436520367535E-8</v>
      </c>
      <c r="ED142" s="22">
        <f t="shared" si="126"/>
        <v>26.155990154491729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-4.5474735088646412E-13</v>
      </c>
      <c r="EK142" s="17">
        <f>EJ142*VLOOKUP('Données projet'!$B$15,Paramètres!$A$1:$I$89,3,0)*VLOOKUP('Données projet'!$B$15,Paramètres!$A$1:$I$89,5,0)</f>
        <v>-2.1282176021486519E-13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433.05041777893922</v>
      </c>
      <c r="EP142" s="59">
        <f t="shared" si="154"/>
        <v>591.24088611958996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179.24974634539851</v>
      </c>
      <c r="EW142" s="21">
        <f>EXP(-LN(2)/25)*EW141+(1-EXP(-LN(2)/25))/(LN(2)/25)*Calculateur!ER142*Calculateur!ET142*VLOOKUP('Données projet'!$B$15,Paramètres!$A$1:$I$89,3,0)*0.475*44/12</f>
        <v>41.822116213738042</v>
      </c>
      <c r="EX142" s="21">
        <f>EXP(-LN(2)/2)*EX141+(1-EXP(-LN(2)/2))/(LN(2)/2)*ER142*EU142*VLOOKUP('Données projet'!$B$15,Paramètres!$A$1:$I$89,3,0)*0.475*44/12</f>
        <v>3.7304275622996729E-4</v>
      </c>
      <c r="EY142" s="22">
        <f t="shared" si="129"/>
        <v>221.07223560189277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-8.5265128291212022E-14</v>
      </c>
      <c r="FF142" s="17">
        <f>FE142*VLOOKUP('Données projet'!$B$16,Paramètres!$A$1:$I$89,3,0)*VLOOKUP('Données projet'!$B$16,Paramètres!$A$1:$I$89,5,0)</f>
        <v>-6.9167072069831198E-14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159.4660488566085</v>
      </c>
      <c r="FK142" s="59">
        <f t="shared" si="156"/>
        <v>135.33030558297088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</v>
      </c>
      <c r="FR142" s="21">
        <f>EXP(-LN(2)/25)*FR141+(1-EXP(-LN(2)/25))/(LN(2)/25)*Calculateur!FM142*Calculateur!FO142*VLOOKUP('Données projet'!$B$16,Paramètres!$A$1:$I$89,3,0)*0.475*44/12</f>
        <v>4.1585484820591914</v>
      </c>
      <c r="FS142" s="21">
        <f>EXP(-LN(2)/2)*FS141+(1-EXP(-LN(2)/2))/(LN(2)/2)*FM142*FP142*VLOOKUP('Données projet'!$B$16,Paramètres!$A$1:$I$89,3,0)*0.475*44/12</f>
        <v>1.0555706204851826E-6</v>
      </c>
      <c r="FT142" s="22">
        <f t="shared" si="132"/>
        <v>4.1585495376298116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9.1440000000000055</v>
      </c>
      <c r="N143" s="13">
        <f>IF('Données projet'!$A$36&gt;35,N142+M143-V142,IF(A143&lt;'Données projet'!$A$36,$K$205^A143,IF(A143='Données projet'!$A$36,'Données projet'!$B$36,N142+M143-V142)))</f>
        <v>478.36400000000094</v>
      </c>
      <c r="O143" s="13">
        <f>N143*VLOOKUP('Données projet'!$B$9,Paramètres!$A$1:$I$89,3,0)*VLOOKUP('Données projet'!$B$9,Paramètres!$A$1:$I$89,5,0)</f>
        <v>485.06109600000099</v>
      </c>
      <c r="P143" s="13">
        <f t="shared" si="141"/>
        <v>108.82327771411607</v>
      </c>
      <c r="Q143" s="20">
        <f t="shared" si="108"/>
        <v>1034.348617552087</v>
      </c>
      <c r="R143" s="59">
        <f t="shared" si="109"/>
        <v>1327.6819508854203</v>
      </c>
      <c r="S143" s="59">
        <f ca="1">AVERAGE(OFFSET($R$3,0,0,'Données projet'!$E$9+1,1))-AVERAGE(OFFSET($H$3,0,0,'Données projet'!$E$9+1,1))</f>
        <v>706.69239849991595</v>
      </c>
      <c r="T143" s="59">
        <f t="shared" si="142"/>
        <v>310.59887275116529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44.528406669673537</v>
      </c>
      <c r="AA143" s="21">
        <f>EXP(-LN(2)/25)*AA142+(1-EXP(-LN(2)/25))/(LN(2)/25)*Calculateur!V143*Calculateur!X143*VLOOKUP('Données projet'!$B$9,Paramètres!$A$1:$I$89,3,0)*0.475*44/12</f>
        <v>22.555096139528469</v>
      </c>
      <c r="AB143" s="21">
        <f>EXP(-LN(2)/2)*AB142+(1-EXP(-LN(2)/2))/(LN(2)/2)*V143*Y143*VLOOKUP('Données projet'!$B$9,Paramètres!$A$1:$I$89,3,0)*0.475*44/12</f>
        <v>2.2352419311631257E-2</v>
      </c>
      <c r="AC143" s="22">
        <f t="shared" si="111"/>
        <v>67.105855228513633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239.26156489359892</v>
      </c>
      <c r="AO143" s="59">
        <f t="shared" si="144"/>
        <v>213.97034450798111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4.0174077405808051</v>
      </c>
      <c r="AV143" s="21">
        <f>EXP(-LN(2)/25)*AV142+(1-EXP(-LN(2)/25))/(LN(2)/25)*Calculateur!AQ143*Calculateur!AS143*VLOOKUP('Données projet'!$B$10,Paramètres!$A$1:$I$89,3,0)*0.475*44/12</f>
        <v>15.965733711501926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19.98314145208273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-1.7053025658242404E-13</v>
      </c>
      <c r="BE143" s="13">
        <f>BD143*VLOOKUP('Données projet'!$B$11,Paramètres!$A$1:$I$89,3,0)*VLOOKUP('Données projet'!$B$11,Paramètres!$A$1:$I$89,5,0)</f>
        <v>-1.4897523215040567E-13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324.86930206492627</v>
      </c>
      <c r="BJ143" s="59">
        <f t="shared" si="146"/>
        <v>317.03005098025352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14.041673338513455</v>
      </c>
      <c r="BQ143" s="21">
        <f>EXP(-LN(2)/25)*BQ142+(1-EXP(-LN(2)/25))/(LN(2)/25)*Calculateur!BL143*Calculateur!BN143*VLOOKUP('Données projet'!$B$11,Paramètres!$A$1:$I$89,3,0)*0.475*44/12</f>
        <v>8.8129857863326286</v>
      </c>
      <c r="BR143" s="21">
        <f>EXP(-LN(2)/2)*BR142+(1-EXP(-LN(2)/2))/(LN(2)/2)*BL143*BO143*VLOOKUP('Données projet'!$B$11,Paramètres!$A$1:$I$89,3,0)*0.475*44/12</f>
        <v>5.3156175668662502E-8</v>
      </c>
      <c r="BS143" s="22">
        <f t="shared" si="117"/>
        <v>22.854659178002258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7.3375000000000012</v>
      </c>
      <c r="BY143" s="12">
        <f>IF('Données projet'!$A$114&gt;35,BY142+BX143-CG142,IF(A143&lt;'Données projet'!$A$114,$BV$205^A143,IF(A143='Données projet'!$A$114,'Données projet'!$B$114,BY142+BX143-CG142)))</f>
        <v>350.56999999999988</v>
      </c>
      <c r="BZ143" s="13">
        <f>BY143*VLOOKUP('Données projet'!$B$12,Paramètres!$A$1:$I$89,3,0)*VLOOKUP('Données projet'!$B$12,Paramètres!$A$1:$I$89,5,0)</f>
        <v>399.22911599999986</v>
      </c>
      <c r="CA143" s="13">
        <f t="shared" si="147"/>
        <v>91.620362778572016</v>
      </c>
      <c r="CB143" s="20">
        <f t="shared" si="118"/>
        <v>854.89617553934602</v>
      </c>
      <c r="CC143" s="59">
        <f t="shared" si="119"/>
        <v>1148.2295088726794</v>
      </c>
      <c r="CD143" s="59">
        <f ca="1">AVERAGE(OFFSET($CC$3,0,0,'Données projet'!$E$12+1,1))-AVERAGE(OFFSET($H$3,0,0,'Données projet'!$E$12+1,1))</f>
        <v>593.28343396240075</v>
      </c>
      <c r="CE143" s="59">
        <f t="shared" si="148"/>
        <v>289.66477662068695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27.95622396104881</v>
      </c>
      <c r="CL143" s="21">
        <f>EXP(-LN(2)/25)*CL142+(1-EXP(-LN(2)/25))/(LN(2)/25)*Calculateur!CG143*Calculateur!CI143*VLOOKUP('Données projet'!$B$12,Paramètres!$A$1:$I$89,3,0)*0.475*44/12</f>
        <v>21.627586283197047</v>
      </c>
      <c r="CM143" s="21">
        <f>EXP(-LN(2)/2)*CM142+(1-EXP(-LN(2)/2))/(LN(2)/2)*CG143*CJ143*VLOOKUP('Données projet'!$B$12,Paramètres!$A$1:$I$89,3,0)*0.475*44/12</f>
        <v>0.33706849520985677</v>
      </c>
      <c r="CN143" s="22">
        <f t="shared" si="120"/>
        <v>49.920878739455709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9.1440000000000055</v>
      </c>
      <c r="CT143" s="12">
        <f>IF('Données projet'!$A$140&gt;35,CT142+CS143-DB142,IF(A143&lt;'Données projet'!$A$140,$CQ$205^A143,IF(A143='Données projet'!$A$140,'Données projet'!$B$140,CT142+CS143-DB142)))</f>
        <v>478.36400000000094</v>
      </c>
      <c r="CU143" s="17">
        <f>CT143*VLOOKUP('Données projet'!$B$13,Paramètres!$A$1:$I$89,3,0)*VLOOKUP('Données projet'!$B$13,Paramètres!$A$1:$I$89,5,0)</f>
        <v>514.91100960000108</v>
      </c>
      <c r="CV143" s="13">
        <f t="shared" si="149"/>
        <v>114.71986234149864</v>
      </c>
      <c r="CW143" s="20">
        <f t="shared" si="121"/>
        <v>1096.6071019647786</v>
      </c>
      <c r="CX143" s="59">
        <f t="shared" si="122"/>
        <v>1389.9404352981119</v>
      </c>
      <c r="CY143" s="59">
        <f ca="1">AVERAGE(OFFSET($CX$3,0,0,'Données projet'!$E$13+1,1))-AVERAGE(OFFSET($H$3,0,0,'Données projet'!$E$13+1,1))</f>
        <v>747.18304127457918</v>
      </c>
      <c r="CZ143" s="59">
        <f t="shared" si="150"/>
        <v>327.03701004966723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47.268616310884184</v>
      </c>
      <c r="DG143" s="21">
        <f>EXP(-LN(2)/25)*DG142+(1-EXP(-LN(2)/25))/(LN(2)/25)*Calculateur!DB143*Calculateur!DD143*VLOOKUP('Données projet'!$B$13,Paramètres!$A$1:$I$89,3,0)*0.475*44/12</f>
        <v>23.943102055807142</v>
      </c>
      <c r="DH143" s="21">
        <f>EXP(-LN(2)/2)*DH142+(1-EXP(-LN(2)/2))/(LN(2)/2)*DB143*DE143*VLOOKUP('Données projet'!$B$13,Paramètres!$A$1:$I$89,3,0)*0.475*44/12</f>
        <v>2.3727952807731642E-2</v>
      </c>
      <c r="DI143" s="22">
        <f t="shared" si="123"/>
        <v>71.235446319499061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353.37479213497227</v>
      </c>
      <c r="DU143" s="59">
        <f t="shared" si="152"/>
        <v>345.4750813433123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15.841718791409667</v>
      </c>
      <c r="EB143" s="21">
        <f>EXP(-LN(2)/25)*EB142+(1-EXP(-LN(2)/25))/(LN(2)/25)*Calculateur!DW143*Calculateur!DY143*VLOOKUP('Données projet'!$B$14,Paramètres!$A$1:$I$89,3,0)*0.475*44/12</f>
        <v>9.7240316683201211</v>
      </c>
      <c r="EC143" s="21">
        <f>EXP(-LN(2)/2)*EC142+(1-EXP(-LN(2)/2))/(LN(2)/2)*DW143*DZ143*VLOOKUP('Données projet'!$B$14,Paramètres!$A$1:$I$89,3,0)*0.475*44/12</f>
        <v>5.8134385574982829E-8</v>
      </c>
      <c r="ED143" s="22">
        <f t="shared" si="126"/>
        <v>25.565750517864174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-4.5474735088646412E-13</v>
      </c>
      <c r="EK143" s="17">
        <f>EJ143*VLOOKUP('Données projet'!$B$15,Paramètres!$A$1:$I$89,3,0)*VLOOKUP('Données projet'!$B$15,Paramètres!$A$1:$I$89,5,0)</f>
        <v>-2.1282176021486519E-13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433.05041777893922</v>
      </c>
      <c r="EP143" s="59">
        <f t="shared" si="154"/>
        <v>591.24088611958996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175.73476815111491</v>
      </c>
      <c r="EW143" s="21">
        <f>EXP(-LN(2)/25)*EW142+(1-EXP(-LN(2)/25))/(LN(2)/25)*Calculateur!ER143*Calculateur!ET143*VLOOKUP('Données projet'!$B$15,Paramètres!$A$1:$I$89,3,0)*0.475*44/12</f>
        <v>40.678488246543871</v>
      </c>
      <c r="EX143" s="21">
        <f>EXP(-LN(2)/2)*EX142+(1-EXP(-LN(2)/2))/(LN(2)/2)*ER143*EU143*VLOOKUP('Données projet'!$B$15,Paramètres!$A$1:$I$89,3,0)*0.475*44/12</f>
        <v>2.6378106260273006E-4</v>
      </c>
      <c r="EY143" s="22">
        <f t="shared" si="129"/>
        <v>216.4135201787214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-8.5265128291212022E-14</v>
      </c>
      <c r="FF143" s="17">
        <f>FE143*VLOOKUP('Données projet'!$B$16,Paramètres!$A$1:$I$89,3,0)*VLOOKUP('Données projet'!$B$16,Paramètres!$A$1:$I$89,5,0)</f>
        <v>-6.9167072069831198E-14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159.4660488566085</v>
      </c>
      <c r="FK143" s="59">
        <f t="shared" si="156"/>
        <v>135.33030558297088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</v>
      </c>
      <c r="FR143" s="21">
        <f>EXP(-LN(2)/25)*FR142+(1-EXP(-LN(2)/25))/(LN(2)/25)*Calculateur!FM143*Calculateur!FO143*VLOOKUP('Données projet'!$B$16,Paramètres!$A$1:$I$89,3,0)*0.475*44/12</f>
        <v>4.0448327551287226</v>
      </c>
      <c r="FS143" s="21">
        <f>EXP(-LN(2)/2)*FS142+(1-EXP(-LN(2)/2))/(LN(2)/2)*FM143*FP143*VLOOKUP('Données projet'!$B$16,Paramètres!$A$1:$I$89,3,0)*0.475*44/12</f>
        <v>7.4640114376636426E-7</v>
      </c>
      <c r="FT143" s="22">
        <f t="shared" si="132"/>
        <v>4.0448335015298662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9.1440000000000055</v>
      </c>
      <c r="N144" s="13">
        <f>IF('Données projet'!$A$36&gt;35,N143+M144-V143,IF(A144&lt;'Données projet'!$A$36,$K$205^A144,IF(A144='Données projet'!$A$36,'Données projet'!$B$36,N143+M144-V143)))</f>
        <v>487.50800000000095</v>
      </c>
      <c r="O144" s="13">
        <f>N144*VLOOKUP('Données projet'!$B$9,Paramètres!$A$1:$I$89,3,0)*VLOOKUP('Données projet'!$B$9,Paramètres!$A$1:$I$89,5,0)</f>
        <v>494.33311200000099</v>
      </c>
      <c r="P144" s="13">
        <f t="shared" si="141"/>
        <v>110.65928847529446</v>
      </c>
      <c r="Q144" s="20">
        <f t="shared" si="108"/>
        <v>1053.6950974944727</v>
      </c>
      <c r="R144" s="59">
        <f t="shared" si="109"/>
        <v>1347.028430827806</v>
      </c>
      <c r="S144" s="59">
        <f ca="1">AVERAGE(OFFSET($R$3,0,0,'Données projet'!$E$9+1,1))-AVERAGE(OFFSET($H$3,0,0,'Données projet'!$E$9+1,1))</f>
        <v>706.69239849991595</v>
      </c>
      <c r="T144" s="59">
        <f t="shared" si="142"/>
        <v>310.59887275116529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43.655231774527515</v>
      </c>
      <c r="AA144" s="21">
        <f>EXP(-LN(2)/25)*AA143+(1-EXP(-LN(2)/25))/(LN(2)/25)*Calculateur!V144*Calculateur!X144*VLOOKUP('Données projet'!$B$9,Paramètres!$A$1:$I$89,3,0)*0.475*44/12</f>
        <v>21.938325849472108</v>
      </c>
      <c r="AB144" s="21">
        <f>EXP(-LN(2)/2)*AB143+(1-EXP(-LN(2)/2))/(LN(2)/2)*V144*Y144*VLOOKUP('Données projet'!$B$9,Paramètres!$A$1:$I$89,3,0)*0.475*44/12</f>
        <v>1.5805547271179603E-2</v>
      </c>
      <c r="AC144" s="22">
        <f t="shared" si="111"/>
        <v>65.609363171270815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239.26156489359892</v>
      </c>
      <c r="AO144" s="59">
        <f t="shared" si="144"/>
        <v>213.97034450798111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3.9386288251647827</v>
      </c>
      <c r="AV144" s="21">
        <f>EXP(-LN(2)/25)*AV143+(1-EXP(-LN(2)/25))/(LN(2)/25)*Calculateur!AQ144*Calculateur!AS144*VLOOKUP('Données projet'!$B$10,Paramètres!$A$1:$I$89,3,0)*0.475*44/12</f>
        <v>15.529149883559461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19.467778708724243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-1.7053025658242404E-13</v>
      </c>
      <c r="BE144" s="13">
        <f>BD144*VLOOKUP('Données projet'!$B$11,Paramètres!$A$1:$I$89,3,0)*VLOOKUP('Données projet'!$B$11,Paramètres!$A$1:$I$89,5,0)</f>
        <v>-1.4897523215040567E-13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324.86930206492627</v>
      </c>
      <c r="BJ144" s="59">
        <f t="shared" si="146"/>
        <v>317.03005098025352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13.76632468892026</v>
      </c>
      <c r="BQ144" s="21">
        <f>EXP(-LN(2)/25)*BQ143+(1-EXP(-LN(2)/25))/(LN(2)/25)*Calculateur!BL144*Calculateur!BN144*VLOOKUP('Données projet'!$B$11,Paramètres!$A$1:$I$89,3,0)*0.475*44/12</f>
        <v>8.5719942265505829</v>
      </c>
      <c r="BR144" s="21">
        <f>EXP(-LN(2)/2)*BR143+(1-EXP(-LN(2)/2))/(LN(2)/2)*BL144*BO144*VLOOKUP('Données projet'!$B$11,Paramètres!$A$1:$I$89,3,0)*0.475*44/12</f>
        <v>3.7587092277254617E-8</v>
      </c>
      <c r="BS144" s="22">
        <f t="shared" si="117"/>
        <v>22.338318953057936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7.3375000000000012</v>
      </c>
      <c r="BY144" s="12">
        <f>IF('Données projet'!$A$114&gt;35,BY143+BX144-CG143,IF(A144&lt;'Données projet'!$A$114,$BV$205^A144,IF(A144='Données projet'!$A$114,'Données projet'!$B$114,BY143+BX144-CG143)))</f>
        <v>357.90749999999986</v>
      </c>
      <c r="BZ144" s="13">
        <f>BY144*VLOOKUP('Données projet'!$B$12,Paramètres!$A$1:$I$89,3,0)*VLOOKUP('Données projet'!$B$12,Paramètres!$A$1:$I$89,5,0)</f>
        <v>407.58506099999983</v>
      </c>
      <c r="CA144" s="13">
        <f t="shared" si="147"/>
        <v>93.312734685105752</v>
      </c>
      <c r="CB144" s="20">
        <f t="shared" si="118"/>
        <v>872.39699415155883</v>
      </c>
      <c r="CC144" s="59">
        <f t="shared" si="119"/>
        <v>1165.7303274848921</v>
      </c>
      <c r="CD144" s="59">
        <f ca="1">AVERAGE(OFFSET($CC$3,0,0,'Données projet'!$E$12+1,1))-AVERAGE(OFFSET($H$3,0,0,'Données projet'!$E$12+1,1))</f>
        <v>593.28343396240075</v>
      </c>
      <c r="CE144" s="59">
        <f t="shared" si="148"/>
        <v>289.66477662068695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27.408019460785553</v>
      </c>
      <c r="CL144" s="21">
        <f>EXP(-LN(2)/25)*CL143+(1-EXP(-LN(2)/25))/(LN(2)/25)*Calculateur!CG144*Calculateur!CI144*VLOOKUP('Données projet'!$B$12,Paramètres!$A$1:$I$89,3,0)*0.475*44/12</f>
        <v>21.036178798937691</v>
      </c>
      <c r="CM144" s="21">
        <f>EXP(-LN(2)/2)*CM143+(1-EXP(-LN(2)/2))/(LN(2)/2)*CG144*CJ144*VLOOKUP('Données projet'!$B$12,Paramètres!$A$1:$I$89,3,0)*0.475*44/12</f>
        <v>0.23834341868723505</v>
      </c>
      <c r="CN144" s="22">
        <f t="shared" si="120"/>
        <v>48.68254167841048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9.1440000000000055</v>
      </c>
      <c r="CT144" s="12">
        <f>IF('Données projet'!$A$140&gt;35,CT143+CS144-DB143,IF(A144&lt;'Données projet'!$A$140,$CQ$205^A144,IF(A144='Données projet'!$A$140,'Données projet'!$B$140,CT143+CS144-DB143)))</f>
        <v>487.50800000000095</v>
      </c>
      <c r="CU144" s="17">
        <f>CT144*VLOOKUP('Données projet'!$B$13,Paramètres!$A$1:$I$89,3,0)*VLOOKUP('Données projet'!$B$13,Paramètres!$A$1:$I$89,5,0)</f>
        <v>524.75361120000093</v>
      </c>
      <c r="CV144" s="13">
        <f t="shared" si="149"/>
        <v>116.65535726688786</v>
      </c>
      <c r="CW144" s="20">
        <f t="shared" si="121"/>
        <v>1117.1206200798313</v>
      </c>
      <c r="CX144" s="59">
        <f t="shared" si="122"/>
        <v>1410.4539534131645</v>
      </c>
      <c r="CY144" s="59">
        <f ca="1">AVERAGE(OFFSET($CX$3,0,0,'Données projet'!$E$13+1,1))-AVERAGE(OFFSET($H$3,0,0,'Données projet'!$E$13+1,1))</f>
        <v>747.18304127457918</v>
      </c>
      <c r="CZ144" s="59">
        <f t="shared" si="150"/>
        <v>327.03701004966723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46.341707576036868</v>
      </c>
      <c r="DG144" s="21">
        <f>EXP(-LN(2)/25)*DG143+(1-EXP(-LN(2)/25))/(LN(2)/25)*Calculateur!DB144*Calculateur!DD144*VLOOKUP('Données projet'!$B$13,Paramètres!$A$1:$I$89,3,0)*0.475*44/12</f>
        <v>23.288376670978082</v>
      </c>
      <c r="DH144" s="21">
        <f>EXP(-LN(2)/2)*DH143+(1-EXP(-LN(2)/2))/(LN(2)/2)*DB144*DE144*VLOOKUP('Données projet'!$B$13,Paramètres!$A$1:$I$89,3,0)*0.475*44/12</f>
        <v>1.6778196334021424E-2</v>
      </c>
      <c r="DI144" s="22">
        <f t="shared" si="123"/>
        <v>69.646862443348965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353.37479213497227</v>
      </c>
      <c r="DU144" s="59">
        <f t="shared" si="152"/>
        <v>345.4750813433123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15.531072348404495</v>
      </c>
      <c r="EB144" s="21">
        <f>EXP(-LN(2)/25)*EB143+(1-EXP(-LN(2)/25))/(LN(2)/25)*Calculateur!DW144*Calculateur!DY144*VLOOKUP('Données projet'!$B$14,Paramètres!$A$1:$I$89,3,0)*0.475*44/12</f>
        <v>9.4581275109853067</v>
      </c>
      <c r="EC144" s="21">
        <f>EXP(-LN(2)/2)*EC143+(1-EXP(-LN(2)/2))/(LN(2)/2)*DW144*DZ144*VLOOKUP('Données projet'!$B$14,Paramètres!$A$1:$I$89,3,0)*0.475*44/12</f>
        <v>4.1107218260183768E-8</v>
      </c>
      <c r="ED144" s="22">
        <f t="shared" si="126"/>
        <v>24.989199900497017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-4.5474735088646412E-13</v>
      </c>
      <c r="EK144" s="17">
        <f>EJ144*VLOOKUP('Données projet'!$B$15,Paramètres!$A$1:$I$89,3,0)*VLOOKUP('Données projet'!$B$15,Paramètres!$A$1:$I$89,5,0)</f>
        <v>-2.1282176021486519E-13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433.05041777893922</v>
      </c>
      <c r="EP144" s="59">
        <f t="shared" si="154"/>
        <v>591.24088611958996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172.2887165352962</v>
      </c>
      <c r="EW144" s="21">
        <f>EXP(-LN(2)/25)*EW143+(1-EXP(-LN(2)/25))/(LN(2)/25)*Calculateur!ER144*Calculateur!ET144*VLOOKUP('Données projet'!$B$15,Paramètres!$A$1:$I$89,3,0)*0.475*44/12</f>
        <v>39.566132846253403</v>
      </c>
      <c r="EX144" s="21">
        <f>EXP(-LN(2)/2)*EX143+(1-EXP(-LN(2)/2))/(LN(2)/2)*ER144*EU144*VLOOKUP('Données projet'!$B$15,Paramètres!$A$1:$I$89,3,0)*0.475*44/12</f>
        <v>1.8652137811498364E-4</v>
      </c>
      <c r="EY144" s="22">
        <f t="shared" si="129"/>
        <v>211.85503590292771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-8.5265128291212022E-14</v>
      </c>
      <c r="FF144" s="17">
        <f>FE144*VLOOKUP('Données projet'!$B$16,Paramètres!$A$1:$I$89,3,0)*VLOOKUP('Données projet'!$B$16,Paramètres!$A$1:$I$89,5,0)</f>
        <v>-6.9167072069831198E-14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159.4660488566085</v>
      </c>
      <c r="FK144" s="59">
        <f t="shared" si="156"/>
        <v>135.33030558297088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</v>
      </c>
      <c r="FR144" s="21">
        <f>EXP(-LN(2)/25)*FR143+(1-EXP(-LN(2)/25))/(LN(2)/25)*Calculateur!FM144*Calculateur!FO144*VLOOKUP('Données projet'!$B$16,Paramètres!$A$1:$I$89,3,0)*0.475*44/12</f>
        <v>3.9342265907312179</v>
      </c>
      <c r="FS144" s="21">
        <f>EXP(-LN(2)/2)*FS143+(1-EXP(-LN(2)/2))/(LN(2)/2)*FM144*FP144*VLOOKUP('Données projet'!$B$16,Paramètres!$A$1:$I$89,3,0)*0.475*44/12</f>
        <v>5.2778531024259132E-7</v>
      </c>
      <c r="FT144" s="22">
        <f t="shared" si="132"/>
        <v>3.9342271185165281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9.1440000000000055</v>
      </c>
      <c r="N145" s="13">
        <f>IF('Données projet'!$A$36&gt;35,N144+M145-V144,IF(A145&lt;'Données projet'!$A$36,$K$205^A145,IF(A145='Données projet'!$A$36,'Données projet'!$B$36,N144+M145-V144)))</f>
        <v>496.65200000000095</v>
      </c>
      <c r="O145" s="13">
        <f>N145*VLOOKUP('Données projet'!$B$9,Paramètres!$A$1:$I$89,3,0)*VLOOKUP('Données projet'!$B$9,Paramètres!$A$1:$I$89,5,0)</f>
        <v>503.605128000001</v>
      </c>
      <c r="P145" s="13">
        <f t="shared" si="141"/>
        <v>112.49129485365643</v>
      </c>
      <c r="Q145" s="20">
        <f t="shared" si="108"/>
        <v>1073.0346031367867</v>
      </c>
      <c r="R145" s="59">
        <f t="shared" si="109"/>
        <v>1366.36793647012</v>
      </c>
      <c r="S145" s="59">
        <f ca="1">AVERAGE(OFFSET($R$3,0,0,'Données projet'!$E$9+1,1))-AVERAGE(OFFSET($H$3,0,0,'Données projet'!$E$9+1,1))</f>
        <v>706.69239849991595</v>
      </c>
      <c r="T145" s="59">
        <f t="shared" si="142"/>
        <v>310.59887275116529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42.799179306491212</v>
      </c>
      <c r="AA145" s="21">
        <f>EXP(-LN(2)/25)*AA144+(1-EXP(-LN(2)/25))/(LN(2)/25)*Calculateur!V145*Calculateur!X145*VLOOKUP('Données projet'!$B$9,Paramètres!$A$1:$I$89,3,0)*0.475*44/12</f>
        <v>21.338421175431876</v>
      </c>
      <c r="AB145" s="21">
        <f>EXP(-LN(2)/2)*AB144+(1-EXP(-LN(2)/2))/(LN(2)/2)*V145*Y145*VLOOKUP('Données projet'!$B$9,Paramètres!$A$1:$I$89,3,0)*0.475*44/12</f>
        <v>1.1176209655815629E-2</v>
      </c>
      <c r="AC145" s="22">
        <f t="shared" si="111"/>
        <v>64.148776691578902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239.26156489359892</v>
      </c>
      <c r="AO145" s="59">
        <f t="shared" si="144"/>
        <v>213.97034450798111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3.8613947162296749</v>
      </c>
      <c r="AV145" s="21">
        <f>EXP(-LN(2)/25)*AV144+(1-EXP(-LN(2)/25))/(LN(2)/25)*Calculateur!AQ145*Calculateur!AS145*VLOOKUP('Données projet'!$B$10,Paramètres!$A$1:$I$89,3,0)*0.475*44/12</f>
        <v>15.104504463351027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18.965899179580703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-1.7053025658242404E-13</v>
      </c>
      <c r="BE145" s="13">
        <f>BD145*VLOOKUP('Données projet'!$B$11,Paramètres!$A$1:$I$89,3,0)*VLOOKUP('Données projet'!$B$11,Paramètres!$A$1:$I$89,5,0)</f>
        <v>-1.4897523215040567E-13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324.86930206492627</v>
      </c>
      <c r="BJ145" s="59">
        <f t="shared" si="146"/>
        <v>317.03005098025352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13.496375458399497</v>
      </c>
      <c r="BQ145" s="21">
        <f>EXP(-LN(2)/25)*BQ144+(1-EXP(-LN(2)/25))/(LN(2)/25)*Calculateur!BL145*Calculateur!BN145*VLOOKUP('Données projet'!$B$11,Paramètres!$A$1:$I$89,3,0)*0.475*44/12</f>
        <v>8.3375925936439721</v>
      </c>
      <c r="BR145" s="21">
        <f>EXP(-LN(2)/2)*BR144+(1-EXP(-LN(2)/2))/(LN(2)/2)*BL145*BO145*VLOOKUP('Données projet'!$B$11,Paramètres!$A$1:$I$89,3,0)*0.475*44/12</f>
        <v>2.6578087834331251E-8</v>
      </c>
      <c r="BS145" s="22">
        <f t="shared" si="117"/>
        <v>21.833968078621556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7.3375000000000012</v>
      </c>
      <c r="BY145" s="12">
        <f>IF('Données projet'!$A$114&gt;35,BY144+BX145-CG144,IF(A145&lt;'Données projet'!$A$114,$BV$205^A145,IF(A145='Données projet'!$A$114,'Données projet'!$B$114,BY144+BX145-CG144)))</f>
        <v>365.24499999999983</v>
      </c>
      <c r="BZ145" s="13">
        <f>BY145*VLOOKUP('Données projet'!$B$12,Paramètres!$A$1:$I$89,3,0)*VLOOKUP('Données projet'!$B$12,Paramètres!$A$1:$I$89,5,0)</f>
        <v>415.94100599999985</v>
      </c>
      <c r="CA145" s="13">
        <f t="shared" si="147"/>
        <v>95.001072551829481</v>
      </c>
      <c r="CB145" s="20">
        <f t="shared" si="118"/>
        <v>889.89078681110277</v>
      </c>
      <c r="CC145" s="59">
        <f t="shared" si="119"/>
        <v>1183.224120144436</v>
      </c>
      <c r="CD145" s="59">
        <f ca="1">AVERAGE(OFFSET($CC$3,0,0,'Données projet'!$E$12+1,1))-AVERAGE(OFFSET($H$3,0,0,'Données projet'!$E$12+1,1))</f>
        <v>593.28343396240075</v>
      </c>
      <c r="CE145" s="59">
        <f t="shared" si="148"/>
        <v>289.66477662068695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26.870564916400728</v>
      </c>
      <c r="CL145" s="21">
        <f>EXP(-LN(2)/25)*CL144+(1-EXP(-LN(2)/25))/(LN(2)/25)*Calculateur!CG145*Calculateur!CI145*VLOOKUP('Données projet'!$B$12,Paramètres!$A$1:$I$89,3,0)*0.475*44/12</f>
        <v>20.460943383436174</v>
      </c>
      <c r="CM145" s="21">
        <f>EXP(-LN(2)/2)*CM144+(1-EXP(-LN(2)/2))/(LN(2)/2)*CG145*CJ145*VLOOKUP('Données projet'!$B$12,Paramètres!$A$1:$I$89,3,0)*0.475*44/12</f>
        <v>0.16853424760492841</v>
      </c>
      <c r="CN145" s="22">
        <f t="shared" si="120"/>
        <v>47.500042547441829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9.1440000000000055</v>
      </c>
      <c r="CT145" s="12">
        <f>IF('Données projet'!$A$140&gt;35,CT144+CS145-DB144,IF(A145&lt;'Données projet'!$A$140,$CQ$205^A145,IF(A145='Données projet'!$A$140,'Données projet'!$B$140,CT144+CS145-DB144)))</f>
        <v>496.65200000000095</v>
      </c>
      <c r="CU145" s="17">
        <f>CT145*VLOOKUP('Données projet'!$B$13,Paramètres!$A$1:$I$89,3,0)*VLOOKUP('Données projet'!$B$13,Paramètres!$A$1:$I$89,5,0)</f>
        <v>534.59621280000101</v>
      </c>
      <c r="CV145" s="13">
        <f t="shared" si="149"/>
        <v>118.58663083214981</v>
      </c>
      <c r="CW145" s="20">
        <f t="shared" si="121"/>
        <v>1137.6267859926627</v>
      </c>
      <c r="CX145" s="59">
        <f t="shared" si="122"/>
        <v>1430.9601193259959</v>
      </c>
      <c r="CY145" s="59">
        <f ca="1">AVERAGE(OFFSET($CX$3,0,0,'Données projet'!$E$13+1,1))-AVERAGE(OFFSET($H$3,0,0,'Données projet'!$E$13+1,1))</f>
        <v>747.18304127457918</v>
      </c>
      <c r="CZ145" s="59">
        <f t="shared" si="150"/>
        <v>327.03701004966723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45.432974956121406</v>
      </c>
      <c r="DG145" s="21">
        <f>EXP(-LN(2)/25)*DG144+(1-EXP(-LN(2)/25))/(LN(2)/25)*Calculateur!DB145*Calculateur!DD145*VLOOKUP('Données projet'!$B$13,Paramètres!$A$1:$I$89,3,0)*0.475*44/12</f>
        <v>22.651554786227685</v>
      </c>
      <c r="DH145" s="21">
        <f>EXP(-LN(2)/2)*DH144+(1-EXP(-LN(2)/2))/(LN(2)/2)*DB145*DE145*VLOOKUP('Données projet'!$B$13,Paramètres!$A$1:$I$89,3,0)*0.475*44/12</f>
        <v>1.1863976403865821E-2</v>
      </c>
      <c r="DI145" s="22">
        <f t="shared" si="123"/>
        <v>68.09639371875295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353.37479213497227</v>
      </c>
      <c r="DU145" s="59">
        <f t="shared" si="152"/>
        <v>345.4750813433123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15.226517492671032</v>
      </c>
      <c r="EB145" s="21">
        <f>EXP(-LN(2)/25)*EB144+(1-EXP(-LN(2)/25))/(LN(2)/25)*Calculateur!DW145*Calculateur!DY145*VLOOKUP('Données projet'!$B$14,Paramètres!$A$1:$I$89,3,0)*0.475*44/12</f>
        <v>9.1994945168161042</v>
      </c>
      <c r="EC145" s="21">
        <f>EXP(-LN(2)/2)*EC144+(1-EXP(-LN(2)/2))/(LN(2)/2)*DW145*DZ145*VLOOKUP('Données projet'!$B$14,Paramètres!$A$1:$I$89,3,0)*0.475*44/12</f>
        <v>2.9067192787491415E-8</v>
      </c>
      <c r="ED145" s="22">
        <f t="shared" si="126"/>
        <v>24.42601203855433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-4.5474735088646412E-13</v>
      </c>
      <c r="EK145" s="17">
        <f>EJ145*VLOOKUP('Données projet'!$B$15,Paramètres!$A$1:$I$89,3,0)*VLOOKUP('Données projet'!$B$15,Paramètres!$A$1:$I$89,5,0)</f>
        <v>-2.1282176021486519E-13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433.05041777893922</v>
      </c>
      <c r="EP145" s="59">
        <f t="shared" si="154"/>
        <v>591.24088611958996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168.91023988977977</v>
      </c>
      <c r="EW145" s="21">
        <f>EXP(-LN(2)/25)*EW144+(1-EXP(-LN(2)/25))/(LN(2)/25)*Calculateur!ER145*Calculateur!ET145*VLOOKUP('Données projet'!$B$15,Paramètres!$A$1:$I$89,3,0)*0.475*44/12</f>
        <v>38.484194862880109</v>
      </c>
      <c r="EX145" s="21">
        <f>EXP(-LN(2)/2)*EX144+(1-EXP(-LN(2)/2))/(LN(2)/2)*ER145*EU145*VLOOKUP('Données projet'!$B$15,Paramètres!$A$1:$I$89,3,0)*0.475*44/12</f>
        <v>1.3189053130136503E-4</v>
      </c>
      <c r="EY145" s="22">
        <f t="shared" si="129"/>
        <v>207.39456664319118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-8.5265128291212022E-14</v>
      </c>
      <c r="FF145" s="17">
        <f>FE145*VLOOKUP('Données projet'!$B$16,Paramètres!$A$1:$I$89,3,0)*VLOOKUP('Données projet'!$B$16,Paramètres!$A$1:$I$89,5,0)</f>
        <v>-6.9167072069831198E-14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159.4660488566085</v>
      </c>
      <c r="FK145" s="59">
        <f t="shared" si="156"/>
        <v>135.33030558297088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</v>
      </c>
      <c r="FR145" s="21">
        <f>EXP(-LN(2)/25)*FR144+(1-EXP(-LN(2)/25))/(LN(2)/25)*Calculateur!FM145*Calculateur!FO145*VLOOKUP('Données projet'!$B$16,Paramètres!$A$1:$I$89,3,0)*0.475*44/12</f>
        <v>3.826644957715688</v>
      </c>
      <c r="FS145" s="21">
        <f>EXP(-LN(2)/2)*FS144+(1-EXP(-LN(2)/2))/(LN(2)/2)*FM145*FP145*VLOOKUP('Données projet'!$B$16,Paramètres!$A$1:$I$89,3,0)*0.475*44/12</f>
        <v>3.7320057188318213E-7</v>
      </c>
      <c r="FT145" s="22">
        <f t="shared" si="132"/>
        <v>3.8266453309162598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9.1440000000000055</v>
      </c>
      <c r="N146" s="13">
        <f>IF('Données projet'!$A$36&gt;35,N145+M146-V145,IF(A146&lt;'Données projet'!$A$36,$K$205^A146,IF(A146='Données projet'!$A$36,'Données projet'!$B$36,N145+M146-V145)))</f>
        <v>505.79600000000096</v>
      </c>
      <c r="O146" s="13">
        <f>N146*VLOOKUP('Données projet'!$B$9,Paramètres!$A$1:$I$89,3,0)*VLOOKUP('Données projet'!$B$9,Paramètres!$A$1:$I$89,5,0)</f>
        <v>512.87714400000095</v>
      </c>
      <c r="P146" s="13">
        <f t="shared" si="141"/>
        <v>114.31937907794493</v>
      </c>
      <c r="Q146" s="20">
        <f t="shared" si="108"/>
        <v>1092.3672776940891</v>
      </c>
      <c r="R146" s="59">
        <f t="shared" si="109"/>
        <v>1385.7006110274224</v>
      </c>
      <c r="S146" s="59">
        <f ca="1">AVERAGE(OFFSET($R$3,0,0,'Données projet'!$E$9+1,1))-AVERAGE(OFFSET($H$3,0,0,'Données projet'!$E$9+1,1))</f>
        <v>706.69239849991595</v>
      </c>
      <c r="T146" s="59">
        <f t="shared" si="142"/>
        <v>310.59887275116529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41.959913505212647</v>
      </c>
      <c r="AA146" s="21">
        <f>EXP(-LN(2)/25)*AA145+(1-EXP(-LN(2)/25))/(LN(2)/25)*Calculateur!V146*Calculateur!X146*VLOOKUP('Données projet'!$B$9,Paramètres!$A$1:$I$89,3,0)*0.475*44/12</f>
        <v>20.75492092625089</v>
      </c>
      <c r="AB146" s="21">
        <f>EXP(-LN(2)/2)*AB145+(1-EXP(-LN(2)/2))/(LN(2)/2)*V146*Y146*VLOOKUP('Données projet'!$B$9,Paramètres!$A$1:$I$89,3,0)*0.475*44/12</f>
        <v>7.9027736355898014E-3</v>
      </c>
      <c r="AC146" s="22">
        <f t="shared" si="111"/>
        <v>62.722737205099129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239.26156489359892</v>
      </c>
      <c r="AO146" s="59">
        <f t="shared" si="144"/>
        <v>213.97034450798111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3.7856751210626296</v>
      </c>
      <c r="AV146" s="21">
        <f>EXP(-LN(2)/25)*AV145+(1-EXP(-LN(2)/25))/(LN(2)/25)*Calculateur!AQ146*Calculateur!AS146*VLOOKUP('Données projet'!$B$10,Paramètres!$A$1:$I$89,3,0)*0.475*44/12</f>
        <v>14.691470994489325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18.477146115551953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-1.7053025658242404E-13</v>
      </c>
      <c r="BE146" s="13">
        <f>BD146*VLOOKUP('Données projet'!$B$11,Paramètres!$A$1:$I$89,3,0)*VLOOKUP('Données projet'!$B$11,Paramètres!$A$1:$I$89,5,0)</f>
        <v>-1.4897523215040567E-13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324.86930206492627</v>
      </c>
      <c r="BJ146" s="59">
        <f t="shared" si="146"/>
        <v>317.03005098025352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13.231719767636472</v>
      </c>
      <c r="BQ146" s="21">
        <f>EXP(-LN(2)/25)*BQ145+(1-EXP(-LN(2)/25))/(LN(2)/25)*Calculateur!BL146*Calculateur!BN146*VLOOKUP('Données projet'!$B$11,Paramètres!$A$1:$I$89,3,0)*0.475*44/12</f>
        <v>8.1096006857158383</v>
      </c>
      <c r="BR146" s="21">
        <f>EXP(-LN(2)/2)*BR145+(1-EXP(-LN(2)/2))/(LN(2)/2)*BL146*BO146*VLOOKUP('Données projet'!$B$11,Paramètres!$A$1:$I$89,3,0)*0.475*44/12</f>
        <v>1.8793546138627308E-8</v>
      </c>
      <c r="BS146" s="22">
        <f t="shared" si="117"/>
        <v>21.341320472145856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7.3375000000000012</v>
      </c>
      <c r="BY146" s="12">
        <f>IF('Données projet'!$A$114&gt;35,BY145+BX146-CG145,IF(A146&lt;'Données projet'!$A$114,$BV$205^A146,IF(A146='Données projet'!$A$114,'Données projet'!$B$114,BY145+BX146-CG145)))</f>
        <v>372.58249999999981</v>
      </c>
      <c r="BZ146" s="13">
        <f>BY146*VLOOKUP('Données projet'!$B$12,Paramètres!$A$1:$I$89,3,0)*VLOOKUP('Données projet'!$B$12,Paramètres!$A$1:$I$89,5,0)</f>
        <v>424.29695099999975</v>
      </c>
      <c r="CA146" s="13">
        <f t="shared" si="147"/>
        <v>96.685466759324626</v>
      </c>
      <c r="CB146" s="20">
        <f t="shared" si="118"/>
        <v>907.37771093082313</v>
      </c>
      <c r="CC146" s="59">
        <f t="shared" si="119"/>
        <v>1200.7110442641565</v>
      </c>
      <c r="CD146" s="59">
        <f ca="1">AVERAGE(OFFSET($CC$3,0,0,'Données projet'!$E$12+1,1))-AVERAGE(OFFSET($H$3,0,0,'Données projet'!$E$12+1,1))</f>
        <v>593.28343396240075</v>
      </c>
      <c r="CE146" s="59">
        <f t="shared" si="148"/>
        <v>289.66477662068695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26.343649527816385</v>
      </c>
      <c r="CL146" s="21">
        <f>EXP(-LN(2)/25)*CL145+(1-EXP(-LN(2)/25))/(LN(2)/25)*Calculateur!CG146*Calculateur!CI146*VLOOKUP('Données projet'!$B$12,Paramètres!$A$1:$I$89,3,0)*0.475*44/12</f>
        <v>19.901437810621864</v>
      </c>
      <c r="CM146" s="21">
        <f>EXP(-LN(2)/2)*CM145+(1-EXP(-LN(2)/2))/(LN(2)/2)*CG146*CJ146*VLOOKUP('Données projet'!$B$12,Paramètres!$A$1:$I$89,3,0)*0.475*44/12</f>
        <v>0.11917170934361754</v>
      </c>
      <c r="CN146" s="22">
        <f t="shared" si="120"/>
        <v>46.364259047781871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9.1440000000000055</v>
      </c>
      <c r="CT146" s="12">
        <f>IF('Données projet'!$A$140&gt;35,CT145+CS146-DB145,IF(A146&lt;'Données projet'!$A$140,$CQ$205^A146,IF(A146='Données projet'!$A$140,'Données projet'!$B$140,CT145+CS146-DB145)))</f>
        <v>505.79600000000096</v>
      </c>
      <c r="CU146" s="17">
        <f>CT146*VLOOKUP('Données projet'!$B$13,Paramètres!$A$1:$I$89,3,0)*VLOOKUP('Données projet'!$B$13,Paramètres!$A$1:$I$89,5,0)</f>
        <v>544.43881440000098</v>
      </c>
      <c r="CV146" s="13">
        <f t="shared" si="149"/>
        <v>120.51376972158835</v>
      </c>
      <c r="CW146" s="20">
        <f t="shared" si="121"/>
        <v>1158.1257506784348</v>
      </c>
      <c r="CX146" s="59">
        <f t="shared" si="122"/>
        <v>1451.459084011768</v>
      </c>
      <c r="CY146" s="59">
        <f ca="1">AVERAGE(OFFSET($CX$3,0,0,'Données projet'!$E$13+1,1))-AVERAGE(OFFSET($H$3,0,0,'Données projet'!$E$13+1,1))</f>
        <v>747.18304127457918</v>
      </c>
      <c r="CZ146" s="59">
        <f t="shared" si="150"/>
        <v>327.03701004966723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44.542062028610317</v>
      </c>
      <c r="DG146" s="21">
        <f>EXP(-LN(2)/25)*DG145+(1-EXP(-LN(2)/25))/(LN(2)/25)*Calculateur!DB146*Calculateur!DD146*VLOOKUP('Données projet'!$B$13,Paramètres!$A$1:$I$89,3,0)*0.475*44/12</f>
        <v>22.032146829404795</v>
      </c>
      <c r="DH146" s="21">
        <f>EXP(-LN(2)/2)*DH145+(1-EXP(-LN(2)/2))/(LN(2)/2)*DB146*DE146*VLOOKUP('Données projet'!$B$13,Paramètres!$A$1:$I$89,3,0)*0.475*44/12</f>
        <v>8.3890981670107119E-3</v>
      </c>
      <c r="DI146" s="22">
        <f t="shared" si="123"/>
        <v>66.582597956182127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353.37479213497227</v>
      </c>
      <c r="DU146" s="59">
        <f t="shared" si="152"/>
        <v>345.4750813433123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14.927934771898384</v>
      </c>
      <c r="EB146" s="21">
        <f>EXP(-LN(2)/25)*EB145+(1-EXP(-LN(2)/25))/(LN(2)/25)*Calculateur!DW146*Calculateur!DY146*VLOOKUP('Données projet'!$B$14,Paramètres!$A$1:$I$89,3,0)*0.475*44/12</f>
        <v>8.9479338554733765</v>
      </c>
      <c r="EC146" s="21">
        <f>EXP(-LN(2)/2)*EC145+(1-EXP(-LN(2)/2))/(LN(2)/2)*DW146*DZ146*VLOOKUP('Données projet'!$B$14,Paramètres!$A$1:$I$89,3,0)*0.475*44/12</f>
        <v>2.0553609130091884E-8</v>
      </c>
      <c r="ED146" s="22">
        <f t="shared" si="126"/>
        <v>23.875868647925369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-4.5474735088646412E-13</v>
      </c>
      <c r="EK146" s="17">
        <f>EJ146*VLOOKUP('Données projet'!$B$15,Paramètres!$A$1:$I$89,3,0)*VLOOKUP('Données projet'!$B$15,Paramètres!$A$1:$I$89,5,0)</f>
        <v>-2.1282176021486519E-13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433.05041777893922</v>
      </c>
      <c r="EP146" s="59">
        <f t="shared" si="154"/>
        <v>591.24088611958996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165.59801311061463</v>
      </c>
      <c r="EW146" s="21">
        <f>EXP(-LN(2)/25)*EW145+(1-EXP(-LN(2)/25))/(LN(2)/25)*Calculateur!ER146*Calculateur!ET146*VLOOKUP('Données projet'!$B$15,Paramètres!$A$1:$I$89,3,0)*0.475*44/12</f>
        <v>37.431842530558804</v>
      </c>
      <c r="EX146" s="21">
        <f>EXP(-LN(2)/2)*EX145+(1-EXP(-LN(2)/2))/(LN(2)/2)*ER146*EU146*VLOOKUP('Données projet'!$B$15,Paramètres!$A$1:$I$89,3,0)*0.475*44/12</f>
        <v>9.3260689057491822E-5</v>
      </c>
      <c r="EY146" s="22">
        <f t="shared" si="129"/>
        <v>203.0299489018625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-8.5265128291212022E-14</v>
      </c>
      <c r="FF146" s="17">
        <f>FE146*VLOOKUP('Données projet'!$B$16,Paramètres!$A$1:$I$89,3,0)*VLOOKUP('Données projet'!$B$16,Paramètres!$A$1:$I$89,5,0)</f>
        <v>-6.9167072069831198E-14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159.4660488566085</v>
      </c>
      <c r="FK146" s="59">
        <f t="shared" si="156"/>
        <v>135.33030558297088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</v>
      </c>
      <c r="FR146" s="21">
        <f>EXP(-LN(2)/25)*FR145+(1-EXP(-LN(2)/25))/(LN(2)/25)*Calculateur!FM146*Calculateur!FO146*VLOOKUP('Données projet'!$B$16,Paramètres!$A$1:$I$89,3,0)*0.475*44/12</f>
        <v>3.72200515011244</v>
      </c>
      <c r="FS146" s="21">
        <f>EXP(-LN(2)/2)*FS145+(1-EXP(-LN(2)/2))/(LN(2)/2)*FM146*FP146*VLOOKUP('Données projet'!$B$16,Paramètres!$A$1:$I$89,3,0)*0.475*44/12</f>
        <v>2.6389265512129566E-7</v>
      </c>
      <c r="FT146" s="22">
        <f t="shared" si="132"/>
        <v>3.7220054140050953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514.94000000000005</v>
      </c>
      <c r="L147" s="12">
        <f>VLOOKUP(A147,'Données projet'!$A$35:$I$55,9,0)</f>
        <v>9.1440000000000055</v>
      </c>
      <c r="M147" s="12">
        <f t="array" ref="M147">INDEX(L:L,MIN(IF(ISNUMBER(L147:L343),ROW(L147:L343),"")))</f>
        <v>9.1440000000000055</v>
      </c>
      <c r="N147" s="13">
        <f>IF('Données projet'!$A$36&gt;35,N146+M147-V146,IF(A147&lt;'Données projet'!$A$36,$K$205^A147,IF(A147='Données projet'!$A$36,'Données projet'!$B$36,N146+M147-V146)))</f>
        <v>514.94000000000096</v>
      </c>
      <c r="O147" s="13">
        <f>N147*VLOOKUP('Données projet'!$B$9,Paramètres!$A$1:$I$89,3,0)*VLOOKUP('Données projet'!$B$9,Paramètres!$A$1:$I$89,5,0)</f>
        <v>522.14916000000096</v>
      </c>
      <c r="P147" s="13">
        <f t="shared" si="141"/>
        <v>116.14362023352821</v>
      </c>
      <c r="Q147" s="20">
        <f t="shared" si="108"/>
        <v>1111.6932589067299</v>
      </c>
      <c r="R147" s="59">
        <f t="shared" si="109"/>
        <v>1405.0265922400631</v>
      </c>
      <c r="S147" s="59">
        <f ca="1">AVERAGE(OFFSET($R$3,0,0,'Données projet'!$E$9+1,1))-AVERAGE(OFFSET($H$3,0,0,'Données projet'!$E$9+1,1))</f>
        <v>706.69239849991595</v>
      </c>
      <c r="T147" s="59">
        <f t="shared" si="142"/>
        <v>310.59887275116529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61.800000000000068</v>
      </c>
      <c r="W147" s="16">
        <f>IF(ISNA(VLOOKUP(A147,'Données projet'!$A$35:$I$55,5,0)),0%,VLOOKUP(A147,'Données projet'!$A$35:$I$55,5,0)*VLOOKUP('Données projet'!$B$9,Paramètres!$A$1:$I$89,7,0))</f>
        <v>0.215</v>
      </c>
      <c r="X147" s="16">
        <f>IF(ISNA(VLOOKUP(A147,'Données projet'!$A$35:$I$55,6,0)),0%,VLOOKUP(A147,'Données projet'!$A$35:$I$55,6,0)*VLOOKUP('Données projet'!$B$9,Paramètres!$A$1:$I$89,7,0))</f>
        <v>8.6000000000000007E-2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56.031127516309859</v>
      </c>
      <c r="AA147" s="21">
        <f>EXP(-LN(2)/25)*AA146+(1-EXP(-LN(2)/25))/(LN(2)/25)*Calculateur!V147*Calculateur!X147*VLOOKUP('Données projet'!$B$9,Paramètres!$A$1:$I$89,3,0)*0.475*44/12</f>
        <v>26.121528074454901</v>
      </c>
      <c r="AB147" s="21">
        <f>EXP(-LN(2)/2)*AB146+(1-EXP(-LN(2)/2))/(LN(2)/2)*V147*Y147*VLOOKUP('Données projet'!$B$9,Paramètres!$A$1:$I$89,3,0)*0.475*44/12</f>
        <v>5.5881048279078143E-3</v>
      </c>
      <c r="AC147" s="22">
        <f t="shared" si="111"/>
        <v>82.158243695592674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239.26156489359892</v>
      </c>
      <c r="AO147" s="59">
        <f t="shared" si="144"/>
        <v>213.97034450798111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3.711440340972417</v>
      </c>
      <c r="AV147" s="21">
        <f>EXP(-LN(2)/25)*AV146+(1-EXP(-LN(2)/25))/(LN(2)/25)*Calculateur!AQ147*Calculateur!AS147*VLOOKUP('Données projet'!$B$10,Paramètres!$A$1:$I$89,3,0)*0.475*44/12</f>
        <v>14.289731947554133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18.001172288526551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-1.7053025658242404E-13</v>
      </c>
      <c r="BE147" s="13">
        <f>BD147*VLOOKUP('Données projet'!$B$11,Paramètres!$A$1:$I$89,3,0)*VLOOKUP('Données projet'!$B$11,Paramètres!$A$1:$I$89,5,0)</f>
        <v>-1.4897523215040567E-13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324.86930206492627</v>
      </c>
      <c r="BJ147" s="59">
        <f t="shared" si="146"/>
        <v>317.03005098025352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12.972253813545278</v>
      </c>
      <c r="BQ147" s="21">
        <f>EXP(-LN(2)/25)*BQ146+(1-EXP(-LN(2)/25))/(LN(2)/25)*Calculateur!BL147*Calculateur!BN147*VLOOKUP('Données projet'!$B$11,Paramètres!$A$1:$I$89,3,0)*0.475*44/12</f>
        <v>7.8878432284995732</v>
      </c>
      <c r="BR147" s="21">
        <f>EXP(-LN(2)/2)*BR146+(1-EXP(-LN(2)/2))/(LN(2)/2)*BL147*BO147*VLOOKUP('Données projet'!$B$11,Paramètres!$A$1:$I$89,3,0)*0.475*44/12</f>
        <v>1.3289043917165625E-8</v>
      </c>
      <c r="BS147" s="22">
        <f t="shared" si="117"/>
        <v>20.860097055333892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379.92</v>
      </c>
      <c r="BW147" s="12">
        <f>VLOOKUP(A147,'Données projet'!$A$113:$I$133,9,0)</f>
        <v>7.3375000000000012</v>
      </c>
      <c r="BX147" s="12">
        <f t="array" ref="BX147">INDEX(BW:BW,MIN(IF(ISNUMBER(BW147:BW343),ROW(BW147:BW343),"")))</f>
        <v>7.3375000000000012</v>
      </c>
      <c r="BY147" s="12">
        <f>IF('Données projet'!$A$114&gt;35,BY146+BX147-CG146,IF(A147&lt;'Données projet'!$A$114,$BV$205^A147,IF(A147='Données projet'!$A$114,'Données projet'!$B$114,BY146+BX147-CG146)))</f>
        <v>379.91999999999979</v>
      </c>
      <c r="BZ147" s="13">
        <f>BY147*VLOOKUP('Données projet'!$B$12,Paramètres!$A$1:$I$89,3,0)*VLOOKUP('Données projet'!$B$12,Paramètres!$A$1:$I$89,5,0)</f>
        <v>432.65289599999977</v>
      </c>
      <c r="CA147" s="13">
        <f t="shared" si="147"/>
        <v>98.366003924731828</v>
      </c>
      <c r="CB147" s="20">
        <f t="shared" si="118"/>
        <v>924.85791736890758</v>
      </c>
      <c r="CC147" s="59">
        <f t="shared" si="119"/>
        <v>1218.1912507022409</v>
      </c>
      <c r="CD147" s="59">
        <f ca="1">AVERAGE(OFFSET($CC$3,0,0,'Données projet'!$E$12+1,1))-AVERAGE(OFFSET($H$3,0,0,'Données projet'!$E$12+1,1))</f>
        <v>593.28343396240075</v>
      </c>
      <c r="CE147" s="59">
        <f t="shared" si="148"/>
        <v>289.66477662068695</v>
      </c>
      <c r="CF147" s="15">
        <f>IF(ISNA(VLOOKUP(A147,'Données projet'!$A$113:$I$133,3,0)),0,VLOOKUP(A147,'Données projet'!$A$113:$I$133,3,0))</f>
        <v>10</v>
      </c>
      <c r="CG147" s="15">
        <f>IF(ISNA(VLOOKUP(A147,'Données projet'!$A$113:$I$133,4,0)),0,VLOOKUP(A147,'Données projet'!$A$113:$I$133,4,0))</f>
        <v>60.949999999999989</v>
      </c>
      <c r="CH147" s="16">
        <f>IF(ISNA(VLOOKUP(A147,'Données projet'!$A$113:$I$133,5,0)),0%,VLOOKUP(A147,'Données projet'!$A$113:$I$133,5,0)*VLOOKUP('Données projet'!$B$12,Paramètres!$A$1:$I$89,7,0))</f>
        <v>0.15049999999999999</v>
      </c>
      <c r="CI147" s="16">
        <f>IF(ISNA(VLOOKUP(A147,'Données projet'!$A$113:$I$133,6,0)),0%,VLOOKUP(A147,'Données projet'!$A$113:$I$133,6,0)*VLOOKUP('Données projet'!$B$12,Paramètres!$A$1:$I$89,7,0))</f>
        <v>8.6000000000000007E-2</v>
      </c>
      <c r="CJ147" s="16">
        <f>IF(ISNA(VLOOKUP(A147,'Données projet'!$A$113:$I$133,7,0)),0%,VLOOKUP(A147,'Données projet'!$A$113:$I$133,7,0))</f>
        <v>0.1</v>
      </c>
      <c r="CK147" s="21">
        <f>EXP(-LN(2)/35)*CK146+(1-EXP(-LN(2)/35))/(LN(2)/35)*CG147*CH147*VLOOKUP('Données projet'!$B$12,Paramètres!$A$1:$I$89,3,0)*0.475*44/12</f>
        <v>37.375013542383627</v>
      </c>
      <c r="CL147" s="21">
        <f>EXP(-LN(2)/25)*CL146+(1-EXP(-LN(2)/25))/(LN(2)/25)*Calculateur!CG147*Calculateur!CI147*VLOOKUP('Données projet'!$B$12,Paramètres!$A$1:$I$89,3,0)*0.475*44/12</f>
        <v>25.930076659494059</v>
      </c>
      <c r="CM147" s="21">
        <f>EXP(-LN(2)/2)*CM146+(1-EXP(-LN(2)/2))/(LN(2)/2)*CG147*CJ147*VLOOKUP('Données projet'!$B$12,Paramètres!$A$1:$I$89,3,0)*0.475*44/12</f>
        <v>6.6332742287016577</v>
      </c>
      <c r="CN147" s="22">
        <f t="shared" si="120"/>
        <v>69.938364430579341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514.94000000000005</v>
      </c>
      <c r="CR147" s="12">
        <f>VLOOKUP(A147,'Données projet'!$A$139:$I$159,9,0)</f>
        <v>9.1440000000000055</v>
      </c>
      <c r="CS147" s="12">
        <f t="array" ref="CS147">INDEX(CR:CR,MIN(IF(ISNUMBER(CR147:CR343),ROW(CR147:CR343),"")))</f>
        <v>9.1440000000000055</v>
      </c>
      <c r="CT147" s="12">
        <f>IF('Données projet'!$A$140&gt;35,CT146+CS147-DB146,IF(A147&lt;'Données projet'!$A$140,$CQ$205^A147,IF(A147='Données projet'!$A$140,'Données projet'!$B$140,CT146+CS147-DB146)))</f>
        <v>514.94000000000096</v>
      </c>
      <c r="CU147" s="17">
        <f>CT147*VLOOKUP('Données projet'!$B$13,Paramètres!$A$1:$I$89,3,0)*VLOOKUP('Données projet'!$B$13,Paramètres!$A$1:$I$89,5,0)</f>
        <v>554.28141600000106</v>
      </c>
      <c r="CV147" s="13">
        <f t="shared" si="149"/>
        <v>122.43685730580899</v>
      </c>
      <c r="CW147" s="20">
        <f t="shared" si="121"/>
        <v>1178.6176593409525</v>
      </c>
      <c r="CX147" s="59">
        <f t="shared" si="122"/>
        <v>1471.9509926742858</v>
      </c>
      <c r="CY147" s="59">
        <f ca="1">AVERAGE(OFFSET($CX$3,0,0,'Données projet'!$E$13+1,1))-AVERAGE(OFFSET($H$3,0,0,'Données projet'!$E$13+1,1))</f>
        <v>747.18304127457918</v>
      </c>
      <c r="CZ147" s="59">
        <f t="shared" si="150"/>
        <v>327.03701004966723</v>
      </c>
      <c r="DA147" s="15">
        <f>IF(ISNA(VLOOKUP(A147,'Données projet'!$A$139:$I$159,3,0)),0,VLOOKUP(A147,'Données projet'!$A$139:$I$159,3,0))</f>
        <v>12</v>
      </c>
      <c r="DB147" s="15">
        <f>IF(ISNA(VLOOKUP(A147,'Données projet'!$A$139:$I$159,4,0)),0,VLOOKUP(A147,'Données projet'!$A$139:$I$159,4,0))</f>
        <v>61.800000000000068</v>
      </c>
      <c r="DC147" s="16">
        <f>IF(ISNA(VLOOKUP(A147,'Données projet'!$A$139:$I$159,5,0)),0%,VLOOKUP(A147,'Données projet'!$A$139:$I$159,5,0)*VLOOKUP('Données projet'!$B$13,Paramètres!$A$1:$I$89,7,0))</f>
        <v>0.215</v>
      </c>
      <c r="DD147" s="16">
        <f>IF(ISNA(VLOOKUP(A147,'Données projet'!$A$139:$I$159,6,0)),0%,VLOOKUP(A147,'Données projet'!$A$139:$I$159,6,0)*VLOOKUP('Données projet'!$B$13,Paramètres!$A$1:$I$89,7,0))</f>
        <v>8.6000000000000007E-2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59.479196901928894</v>
      </c>
      <c r="DG147" s="21">
        <f>EXP(-LN(2)/25)*DG146+(1-EXP(-LN(2)/25))/(LN(2)/25)*Calculateur!DB147*Calculateur!DD147*VLOOKUP('Données projet'!$B$13,Paramètres!$A$1:$I$89,3,0)*0.475*44/12</f>
        <v>27.72900672519059</v>
      </c>
      <c r="DH147" s="21">
        <f>EXP(-LN(2)/2)*DH146+(1-EXP(-LN(2)/2))/(LN(2)/2)*DB147*DE147*VLOOKUP('Données projet'!$B$13,Paramètres!$A$1:$I$89,3,0)*0.475*44/12</f>
        <v>5.9319882019329105E-3</v>
      </c>
      <c r="DI147" s="22">
        <f t="shared" si="123"/>
        <v>87.214135615321425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353.37479213497227</v>
      </c>
      <c r="DU147" s="59">
        <f t="shared" si="152"/>
        <v>345.4750813433123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14.63520707616261</v>
      </c>
      <c r="EB147" s="21">
        <f>EXP(-LN(2)/25)*EB146+(1-EXP(-LN(2)/25))/(LN(2)/25)*Calculateur!DW147*Calculateur!DY147*VLOOKUP('Données projet'!$B$14,Paramètres!$A$1:$I$89,3,0)*0.475*44/12</f>
        <v>8.7032521336440656</v>
      </c>
      <c r="EC147" s="21">
        <f>EXP(-LN(2)/2)*EC146+(1-EXP(-LN(2)/2))/(LN(2)/2)*DW147*DZ147*VLOOKUP('Données projet'!$B$14,Paramètres!$A$1:$I$89,3,0)*0.475*44/12</f>
        <v>1.4533596393745707E-8</v>
      </c>
      <c r="ED147" s="22">
        <f t="shared" si="126"/>
        <v>23.338459224340273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-4.5474735088646412E-13</v>
      </c>
      <c r="EK147" s="17">
        <f>EJ147*VLOOKUP('Données projet'!$B$15,Paramètres!$A$1:$I$89,3,0)*VLOOKUP('Données projet'!$B$15,Paramètres!$A$1:$I$89,5,0)</f>
        <v>-2.1282176021486519E-13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433.05041777893922</v>
      </c>
      <c r="EP147" s="59">
        <f t="shared" si="154"/>
        <v>591.24088611958996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162.35073707833007</v>
      </c>
      <c r="EW147" s="21">
        <f>EXP(-LN(2)/25)*EW146+(1-EXP(-LN(2)/25))/(LN(2)/25)*Calculateur!ER147*Calculateur!ET147*VLOOKUP('Données projet'!$B$15,Paramètres!$A$1:$I$89,3,0)*0.475*44/12</f>
        <v>36.408266828105624</v>
      </c>
      <c r="EX147" s="21">
        <f>EXP(-LN(2)/2)*EX146+(1-EXP(-LN(2)/2))/(LN(2)/2)*ER147*EU147*VLOOKUP('Données projet'!$B$15,Paramètres!$A$1:$I$89,3,0)*0.475*44/12</f>
        <v>6.5945265650682515E-5</v>
      </c>
      <c r="EY147" s="22">
        <f t="shared" si="129"/>
        <v>198.75906985170133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-8.5265128291212022E-14</v>
      </c>
      <c r="FF147" s="17">
        <f>FE147*VLOOKUP('Données projet'!$B$16,Paramètres!$A$1:$I$89,3,0)*VLOOKUP('Données projet'!$B$16,Paramètres!$A$1:$I$89,5,0)</f>
        <v>-6.9167072069831198E-14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159.4660488566085</v>
      </c>
      <c r="FK147" s="59">
        <f t="shared" si="156"/>
        <v>135.33030558297088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</v>
      </c>
      <c r="FR147" s="21">
        <f>EXP(-LN(2)/25)*FR146+(1-EXP(-LN(2)/25))/(LN(2)/25)*Calculateur!FM147*Calculateur!FO147*VLOOKUP('Données projet'!$B$16,Paramètres!$A$1:$I$89,3,0)*0.475*44/12</f>
        <v>3.6202267235508714</v>
      </c>
      <c r="FS147" s="21">
        <f>EXP(-LN(2)/2)*FS146+(1-EXP(-LN(2)/2))/(LN(2)/2)*FM147*FP147*VLOOKUP('Données projet'!$B$16,Paramètres!$A$1:$I$89,3,0)*0.475*44/12</f>
        <v>1.8660028594159106E-7</v>
      </c>
      <c r="FT147" s="22">
        <f t="shared" si="132"/>
        <v>3.6202269101511573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9.3350000000000026</v>
      </c>
      <c r="N148" s="13">
        <f>IF('Données projet'!$A$36&gt;35,N147+M148-V147,IF(A148&lt;'Données projet'!$A$36,$K$205^A148,IF(A148='Données projet'!$A$36,'Données projet'!$B$36,N147+M148-V147)))</f>
        <v>462.47500000000093</v>
      </c>
      <c r="O148" s="13">
        <f>N148*VLOOKUP('Données projet'!$B$9,Paramètres!$A$1:$I$89,3,0)*VLOOKUP('Données projet'!$B$9,Paramètres!$A$1:$I$89,5,0)</f>
        <v>468.94965000000099</v>
      </c>
      <c r="P148" s="13">
        <f t="shared" si="141"/>
        <v>105.62316801364989</v>
      </c>
      <c r="Q148" s="20">
        <f t="shared" si="108"/>
        <v>1000.7143247071086</v>
      </c>
      <c r="R148" s="59">
        <f t="shared" si="109"/>
        <v>1294.047658040442</v>
      </c>
      <c r="S148" s="59">
        <f ca="1">AVERAGE(OFFSET($R$3,0,0,'Données projet'!$E$9+1,1))-AVERAGE(OFFSET($H$3,0,0,'Données projet'!$E$9+1,1))</f>
        <v>706.69239849991595</v>
      </c>
      <c r="T148" s="59">
        <f t="shared" si="142"/>
        <v>310.59887275116529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54.932391281328243</v>
      </c>
      <c r="AA148" s="21">
        <f>EXP(-LN(2)/25)*AA147+(1-EXP(-LN(2)/25))/(LN(2)/25)*Calculateur!V148*Calculateur!X148*VLOOKUP('Données projet'!$B$9,Paramètres!$A$1:$I$89,3,0)*0.475*44/12</f>
        <v>25.407233515587471</v>
      </c>
      <c r="AB148" s="21">
        <f>EXP(-LN(2)/2)*AB147+(1-EXP(-LN(2)/2))/(LN(2)/2)*V148*Y148*VLOOKUP('Données projet'!$B$9,Paramètres!$A$1:$I$89,3,0)*0.475*44/12</f>
        <v>3.9513868177949007E-3</v>
      </c>
      <c r="AC148" s="22">
        <f t="shared" si="111"/>
        <v>80.343576183733504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239.26156489359892</v>
      </c>
      <c r="AO148" s="59">
        <f t="shared" si="144"/>
        <v>213.97034450798111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3.6386612596410286</v>
      </c>
      <c r="AV148" s="21">
        <f>EXP(-LN(2)/25)*AV147+(1-EXP(-LN(2)/25))/(LN(2)/25)*Calculateur!AQ148*Calculateur!AS148*VLOOKUP('Données projet'!$B$10,Paramètres!$A$1:$I$89,3,0)*0.475*44/12</f>
        <v>13.898978475983922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17.53763973562495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-1.7053025658242404E-13</v>
      </c>
      <c r="BE148" s="13">
        <f>BD148*VLOOKUP('Données projet'!$B$11,Paramètres!$A$1:$I$89,3,0)*VLOOKUP('Données projet'!$B$11,Paramètres!$A$1:$I$89,5,0)</f>
        <v>-1.4897523215040567E-13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324.86930206492627</v>
      </c>
      <c r="BJ148" s="59">
        <f t="shared" si="146"/>
        <v>317.03005098025352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12.717875828555206</v>
      </c>
      <c r="BQ148" s="21">
        <f>EXP(-LN(2)/25)*BQ147+(1-EXP(-LN(2)/25))/(LN(2)/25)*Calculateur!BL148*Calculateur!BN148*VLOOKUP('Données projet'!$B$11,Paramètres!$A$1:$I$89,3,0)*0.475*44/12</f>
        <v>7.6721497406126051</v>
      </c>
      <c r="BR148" s="21">
        <f>EXP(-LN(2)/2)*BR147+(1-EXP(-LN(2)/2))/(LN(2)/2)*BL148*BO148*VLOOKUP('Données projet'!$B$11,Paramètres!$A$1:$I$89,3,0)*0.475*44/12</f>
        <v>9.3967730693136542E-9</v>
      </c>
      <c r="BS148" s="22">
        <f t="shared" si="117"/>
        <v>20.390025578564583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7.5191666666666634</v>
      </c>
      <c r="BY148" s="12">
        <f>IF('Données projet'!$A$114&gt;35,BY147+BX148-CG147,IF(A148&lt;'Données projet'!$A$114,$BV$205^A148,IF(A148='Données projet'!$A$114,'Données projet'!$B$114,BY147+BX148-CG147)))</f>
        <v>326.48916666666645</v>
      </c>
      <c r="BZ148" s="13">
        <f>BY148*VLOOKUP('Données projet'!$B$12,Paramètres!$A$1:$I$89,3,0)*VLOOKUP('Données projet'!$B$12,Paramètres!$A$1:$I$89,5,0)</f>
        <v>371.80586299999976</v>
      </c>
      <c r="CA148" s="13">
        <f t="shared" si="147"/>
        <v>86.036649435918704</v>
      </c>
      <c r="CB148" s="20">
        <f t="shared" si="118"/>
        <v>797.409042492558</v>
      </c>
      <c r="CC148" s="59">
        <f t="shared" si="119"/>
        <v>1090.7423758258913</v>
      </c>
      <c r="CD148" s="59">
        <f ca="1">AVERAGE(OFFSET($CC$3,0,0,'Données projet'!$E$12+1,1))-AVERAGE(OFFSET($H$3,0,0,'Données projet'!$E$12+1,1))</f>
        <v>593.28343396240075</v>
      </c>
      <c r="CE148" s="59">
        <f t="shared" si="148"/>
        <v>289.66477662068695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36.642112323324774</v>
      </c>
      <c r="CL148" s="21">
        <f>EXP(-LN(2)/25)*CL147+(1-EXP(-LN(2)/25))/(LN(2)/25)*Calculateur!CG148*Calculateur!CI148*VLOOKUP('Données projet'!$B$12,Paramètres!$A$1:$I$89,3,0)*0.475*44/12</f>
        <v>25.221017349636725</v>
      </c>
      <c r="CM148" s="21">
        <f>EXP(-LN(2)/2)*CM147+(1-EXP(-LN(2)/2))/(LN(2)/2)*CG148*CJ148*VLOOKUP('Données projet'!$B$12,Paramètres!$A$1:$I$89,3,0)*0.475*44/12</f>
        <v>4.6904331885849082</v>
      </c>
      <c r="CN148" s="22">
        <f t="shared" si="120"/>
        <v>66.553562861546411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9.3350000000000026</v>
      </c>
      <c r="CT148" s="12">
        <f>IF('Données projet'!$A$140&gt;35,CT147+CS148-DB147,IF(A148&lt;'Données projet'!$A$140,$CQ$205^A148,IF(A148='Données projet'!$A$140,'Données projet'!$B$140,CT147+CS148-DB147)))</f>
        <v>462.47500000000093</v>
      </c>
      <c r="CU148" s="17">
        <f>CT148*VLOOKUP('Données projet'!$B$13,Paramètres!$A$1:$I$89,3,0)*VLOOKUP('Données projet'!$B$13,Paramètres!$A$1:$I$89,5,0)</f>
        <v>497.80809000000102</v>
      </c>
      <c r="CV148" s="13">
        <f t="shared" si="149"/>
        <v>111.34635483440437</v>
      </c>
      <c r="CW148" s="20">
        <f t="shared" si="121"/>
        <v>1060.9439914199227</v>
      </c>
      <c r="CX148" s="59">
        <f t="shared" si="122"/>
        <v>1354.2773247532559</v>
      </c>
      <c r="CY148" s="59">
        <f ca="1">AVERAGE(OFFSET($CX$3,0,0,'Données projet'!$E$13+1,1))-AVERAGE(OFFSET($H$3,0,0,'Données projet'!$E$13+1,1))</f>
        <v>747.18304127457918</v>
      </c>
      <c r="CZ148" s="59">
        <f t="shared" si="150"/>
        <v>327.03701004966723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58.312846129409955</v>
      </c>
      <c r="DG148" s="21">
        <f>EXP(-LN(2)/25)*DG147+(1-EXP(-LN(2)/25))/(LN(2)/25)*Calculateur!DB148*Calculateur!DD148*VLOOKUP('Données projet'!$B$13,Paramètres!$A$1:$I$89,3,0)*0.475*44/12</f>
        <v>26.970755578085164</v>
      </c>
      <c r="DH148" s="21">
        <f>EXP(-LN(2)/2)*DH147+(1-EXP(-LN(2)/2))/(LN(2)/2)*DB148*DE148*VLOOKUP('Données projet'!$B$13,Paramètres!$A$1:$I$89,3,0)*0.475*44/12</f>
        <v>4.1945490835053559E-3</v>
      </c>
      <c r="DI148" s="22">
        <f t="shared" si="123"/>
        <v>85.287796256578631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353.37479213497227</v>
      </c>
      <c r="DU148" s="59">
        <f t="shared" si="152"/>
        <v>345.4750813433123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14.348219591993949</v>
      </c>
      <c r="EB148" s="21">
        <f>EXP(-LN(2)/25)*EB147+(1-EXP(-LN(2)/25))/(LN(2)/25)*Calculateur!DW148*Calculateur!DY148*VLOOKUP('Données projet'!$B$14,Paramètres!$A$1:$I$89,3,0)*0.475*44/12</f>
        <v>8.4652612463654311</v>
      </c>
      <c r="EC148" s="21">
        <f>EXP(-LN(2)/2)*EC147+(1-EXP(-LN(2)/2))/(LN(2)/2)*DW148*DZ148*VLOOKUP('Données projet'!$B$14,Paramètres!$A$1:$I$89,3,0)*0.475*44/12</f>
        <v>1.0276804565045942E-8</v>
      </c>
      <c r="ED148" s="22">
        <f t="shared" si="126"/>
        <v>22.813480848636186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-4.5474735088646412E-13</v>
      </c>
      <c r="EK148" s="17">
        <f>EJ148*VLOOKUP('Données projet'!$B$15,Paramètres!$A$1:$I$89,3,0)*VLOOKUP('Données projet'!$B$15,Paramètres!$A$1:$I$89,5,0)</f>
        <v>-2.1282176021486519E-13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433.05041777893922</v>
      </c>
      <c r="EP148" s="59">
        <f t="shared" si="154"/>
        <v>591.24088611958996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159.16713814839582</v>
      </c>
      <c r="EW148" s="21">
        <f>EXP(-LN(2)/25)*EW147+(1-EXP(-LN(2)/25))/(LN(2)/25)*Calculateur!ER148*Calculateur!ET148*VLOOKUP('Données projet'!$B$15,Paramètres!$A$1:$I$89,3,0)*0.475*44/12</f>
        <v>35.412680857063535</v>
      </c>
      <c r="EX148" s="21">
        <f>EXP(-LN(2)/2)*EX147+(1-EXP(-LN(2)/2))/(LN(2)/2)*ER148*EU148*VLOOKUP('Données projet'!$B$15,Paramètres!$A$1:$I$89,3,0)*0.475*44/12</f>
        <v>4.6630344528745911E-5</v>
      </c>
      <c r="EY148" s="22">
        <f t="shared" si="129"/>
        <v>194.57986563580388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-8.5265128291212022E-14</v>
      </c>
      <c r="FF148" s="17">
        <f>FE148*VLOOKUP('Données projet'!$B$16,Paramètres!$A$1:$I$89,3,0)*VLOOKUP('Données projet'!$B$16,Paramètres!$A$1:$I$89,5,0)</f>
        <v>-6.9167072069831198E-14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159.4660488566085</v>
      </c>
      <c r="FK148" s="59">
        <f t="shared" si="156"/>
        <v>135.33030558297088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</v>
      </c>
      <c r="FR148" s="21">
        <f>EXP(-LN(2)/25)*FR147+(1-EXP(-LN(2)/25))/(LN(2)/25)*Calculateur!FM148*Calculateur!FO148*VLOOKUP('Données projet'!$B$16,Paramètres!$A$1:$I$89,3,0)*0.475*44/12</f>
        <v>3.5212314334159234</v>
      </c>
      <c r="FS148" s="21">
        <f>EXP(-LN(2)/2)*FS147+(1-EXP(-LN(2)/2))/(LN(2)/2)*FM148*FP148*VLOOKUP('Données projet'!$B$16,Paramètres!$A$1:$I$89,3,0)*0.475*44/12</f>
        <v>1.3194632756064783E-7</v>
      </c>
      <c r="FT148" s="22">
        <f t="shared" si="132"/>
        <v>3.521231565362251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9.3350000000000026</v>
      </c>
      <c r="N149" s="13">
        <f>IF('Données projet'!$A$36&gt;35,N148+M149-V148,IF(A149&lt;'Données projet'!$A$36,$K$205^A149,IF(A149='Données projet'!$A$36,'Données projet'!$B$36,N148+M149-V148)))</f>
        <v>471.81000000000091</v>
      </c>
      <c r="O149" s="13">
        <f>N149*VLOOKUP('Données projet'!$B$9,Paramètres!$A$1:$I$89,3,0)*VLOOKUP('Données projet'!$B$9,Paramètres!$A$1:$I$89,5,0)</f>
        <v>478.41534000000098</v>
      </c>
      <c r="P149" s="13">
        <f t="shared" si="141"/>
        <v>107.50479816034752</v>
      </c>
      <c r="Q149" s="20">
        <f t="shared" si="108"/>
        <v>1020.4775739626069</v>
      </c>
      <c r="R149" s="59">
        <f t="shared" si="109"/>
        <v>1313.8109072959403</v>
      </c>
      <c r="S149" s="59">
        <f ca="1">AVERAGE(OFFSET($R$3,0,0,'Données projet'!$E$9+1,1))-AVERAGE(OFFSET($H$3,0,0,'Données projet'!$E$9+1,1))</f>
        <v>706.69239849991595</v>
      </c>
      <c r="T149" s="59">
        <f t="shared" si="142"/>
        <v>310.59887275116529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53.85520059375169</v>
      </c>
      <c r="AA149" s="21">
        <f>EXP(-LN(2)/25)*AA148+(1-EXP(-LN(2)/25))/(LN(2)/25)*Calculateur!V149*Calculateur!X149*VLOOKUP('Données projet'!$B$9,Paramètres!$A$1:$I$89,3,0)*0.475*44/12</f>
        <v>24.712471378995389</v>
      </c>
      <c r="AB149" s="21">
        <f>EXP(-LN(2)/2)*AB148+(1-EXP(-LN(2)/2))/(LN(2)/2)*V149*Y149*VLOOKUP('Données projet'!$B$9,Paramètres!$A$1:$I$89,3,0)*0.475*44/12</f>
        <v>2.7940524139539072E-3</v>
      </c>
      <c r="AC149" s="22">
        <f t="shared" si="111"/>
        <v>78.570466025161039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239.26156489359892</v>
      </c>
      <c r="AO149" s="59">
        <f t="shared" si="144"/>
        <v>213.97034450798111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3.5673093317036924</v>
      </c>
      <c r="AV149" s="21">
        <f>EXP(-LN(2)/25)*AV148+(1-EXP(-LN(2)/25))/(LN(2)/25)*Calculateur!AQ149*Calculateur!AS149*VLOOKUP('Données projet'!$B$10,Paramètres!$A$1:$I$89,3,0)*0.475*44/12</f>
        <v>13.51891017864263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17.086219510346321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-1.7053025658242404E-13</v>
      </c>
      <c r="BE149" s="13">
        <f>BD149*VLOOKUP('Données projet'!$B$11,Paramètres!$A$1:$I$89,3,0)*VLOOKUP('Données projet'!$B$11,Paramètres!$A$1:$I$89,5,0)</f>
        <v>-1.4897523215040567E-13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324.86930206492627</v>
      </c>
      <c r="BJ149" s="59">
        <f t="shared" si="146"/>
        <v>317.03005098025352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12.46848604069554</v>
      </c>
      <c r="BQ149" s="21">
        <f>EXP(-LN(2)/25)*BQ148+(1-EXP(-LN(2)/25))/(LN(2)/25)*Calculateur!BL149*Calculateur!BN149*VLOOKUP('Données projet'!$B$11,Paramètres!$A$1:$I$89,3,0)*0.475*44/12</f>
        <v>7.4623544024947339</v>
      </c>
      <c r="BR149" s="21">
        <f>EXP(-LN(2)/2)*BR148+(1-EXP(-LN(2)/2))/(LN(2)/2)*BL149*BO149*VLOOKUP('Données projet'!$B$11,Paramètres!$A$1:$I$89,3,0)*0.475*44/12</f>
        <v>6.6445219585828127E-9</v>
      </c>
      <c r="BS149" s="22">
        <f t="shared" si="117"/>
        <v>19.930840449834797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7.5191666666666634</v>
      </c>
      <c r="BY149" s="12">
        <f>IF('Données projet'!$A$114&gt;35,BY148+BX149-CG148,IF(A149&lt;'Données projet'!$A$114,$BV$205^A149,IF(A149='Données projet'!$A$114,'Données projet'!$B$114,BY148+BX149-CG148)))</f>
        <v>334.0083333333331</v>
      </c>
      <c r="BZ149" s="13">
        <f>BY149*VLOOKUP('Données projet'!$B$12,Paramètres!$A$1:$I$89,3,0)*VLOOKUP('Données projet'!$B$12,Paramètres!$A$1:$I$89,5,0)</f>
        <v>380.36868999999973</v>
      </c>
      <c r="CA149" s="13">
        <f t="shared" si="147"/>
        <v>87.785137061676878</v>
      </c>
      <c r="CB149" s="20">
        <f t="shared" si="118"/>
        <v>815.36791546575341</v>
      </c>
      <c r="CC149" s="59">
        <f t="shared" si="119"/>
        <v>1108.7012487990867</v>
      </c>
      <c r="CD149" s="59">
        <f ca="1">AVERAGE(OFFSET($CC$3,0,0,'Données projet'!$E$12+1,1))-AVERAGE(OFFSET($H$3,0,0,'Données projet'!$E$12+1,1))</f>
        <v>593.28343396240075</v>
      </c>
      <c r="CE149" s="59">
        <f t="shared" si="148"/>
        <v>289.66477662068695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35.923582850146062</v>
      </c>
      <c r="CL149" s="21">
        <f>EXP(-LN(2)/25)*CL148+(1-EXP(-LN(2)/25))/(LN(2)/25)*Calculateur!CG149*Calculateur!CI149*VLOOKUP('Données projet'!$B$12,Paramètres!$A$1:$I$89,3,0)*0.475*44/12</f>
        <v>24.531347303895249</v>
      </c>
      <c r="CM149" s="21">
        <f>EXP(-LN(2)/2)*CM148+(1-EXP(-LN(2)/2))/(LN(2)/2)*CG149*CJ149*VLOOKUP('Données projet'!$B$12,Paramètres!$A$1:$I$89,3,0)*0.475*44/12</f>
        <v>3.3166371143508293</v>
      </c>
      <c r="CN149" s="22">
        <f t="shared" si="120"/>
        <v>63.771567268392133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9.3350000000000026</v>
      </c>
      <c r="CT149" s="12">
        <f>IF('Données projet'!$A$140&gt;35,CT148+CS149-DB148,IF(A149&lt;'Données projet'!$A$140,$CQ$205^A149,IF(A149='Données projet'!$A$140,'Données projet'!$B$140,CT148+CS149-DB148)))</f>
        <v>471.81000000000091</v>
      </c>
      <c r="CU149" s="17">
        <f>CT149*VLOOKUP('Données projet'!$B$13,Paramètres!$A$1:$I$89,3,0)*VLOOKUP('Données projet'!$B$13,Paramètres!$A$1:$I$89,5,0)</f>
        <v>507.85628400000098</v>
      </c>
      <c r="CV149" s="13">
        <f t="shared" si="149"/>
        <v>113.32994102975717</v>
      </c>
      <c r="CW149" s="20">
        <f t="shared" si="121"/>
        <v>1081.8993419268288</v>
      </c>
      <c r="CX149" s="59">
        <f t="shared" si="122"/>
        <v>1375.2326752601621</v>
      </c>
      <c r="CY149" s="59">
        <f ca="1">AVERAGE(OFFSET($CX$3,0,0,'Données projet'!$E$13+1,1))-AVERAGE(OFFSET($H$3,0,0,'Données projet'!$E$13+1,1))</f>
        <v>747.18304127457918</v>
      </c>
      <c r="CZ149" s="59">
        <f t="shared" si="150"/>
        <v>327.03701004966723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57.169366784136386</v>
      </c>
      <c r="DG149" s="21">
        <f>EXP(-LN(2)/25)*DG148+(1-EXP(-LN(2)/25))/(LN(2)/25)*Calculateur!DB149*Calculateur!DD149*VLOOKUP('Données projet'!$B$13,Paramètres!$A$1:$I$89,3,0)*0.475*44/12</f>
        <v>26.23323884847203</v>
      </c>
      <c r="DH149" s="21">
        <f>EXP(-LN(2)/2)*DH148+(1-EXP(-LN(2)/2))/(LN(2)/2)*DB149*DE149*VLOOKUP('Données projet'!$B$13,Paramètres!$A$1:$I$89,3,0)*0.475*44/12</f>
        <v>2.9659941009664553E-3</v>
      </c>
      <c r="DI149" s="22">
        <f t="shared" si="123"/>
        <v>83.405571626709374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353.37479213497227</v>
      </c>
      <c r="DU149" s="59">
        <f t="shared" si="152"/>
        <v>345.4750813433123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14.066859757344755</v>
      </c>
      <c r="EB149" s="21">
        <f>EXP(-LN(2)/25)*EB148+(1-EXP(-LN(2)/25))/(LN(2)/25)*Calculateur!DW149*Calculateur!DY149*VLOOKUP('Données projet'!$B$14,Paramètres!$A$1:$I$89,3,0)*0.475*44/12</f>
        <v>8.2337782324148279</v>
      </c>
      <c r="EC149" s="21">
        <f>EXP(-LN(2)/2)*EC148+(1-EXP(-LN(2)/2))/(LN(2)/2)*DW149*DZ149*VLOOKUP('Données projet'!$B$14,Paramètres!$A$1:$I$89,3,0)*0.475*44/12</f>
        <v>7.2667981968728536E-9</v>
      </c>
      <c r="ED149" s="22">
        <f t="shared" si="126"/>
        <v>22.300637997026381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-4.5474735088646412E-13</v>
      </c>
      <c r="EK149" s="17">
        <f>EJ149*VLOOKUP('Données projet'!$B$15,Paramètres!$A$1:$I$89,3,0)*VLOOKUP('Données projet'!$B$15,Paramètres!$A$1:$I$89,5,0)</f>
        <v>-2.1282176021486519E-13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433.05041777893922</v>
      </c>
      <c r="EP149" s="59">
        <f t="shared" si="154"/>
        <v>591.24088611958996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156.04596765167398</v>
      </c>
      <c r="EW149" s="21">
        <f>EXP(-LN(2)/25)*EW148+(1-EXP(-LN(2)/25))/(LN(2)/25)*Calculateur!ER149*Calculateur!ET149*VLOOKUP('Données projet'!$B$15,Paramètres!$A$1:$I$89,3,0)*0.475*44/12</f>
        <v>34.444319236755184</v>
      </c>
      <c r="EX149" s="21">
        <f>EXP(-LN(2)/2)*EX148+(1-EXP(-LN(2)/2))/(LN(2)/2)*ER149*EU149*VLOOKUP('Données projet'!$B$15,Paramètres!$A$1:$I$89,3,0)*0.475*44/12</f>
        <v>3.2972632825341258E-5</v>
      </c>
      <c r="EY149" s="22">
        <f t="shared" si="129"/>
        <v>190.49031986106198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-8.5265128291212022E-14</v>
      </c>
      <c r="FF149" s="17">
        <f>FE149*VLOOKUP('Données projet'!$B$16,Paramètres!$A$1:$I$89,3,0)*VLOOKUP('Données projet'!$B$16,Paramètres!$A$1:$I$89,5,0)</f>
        <v>-6.9167072069831198E-14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159.4660488566085</v>
      </c>
      <c r="FK149" s="59">
        <f t="shared" si="156"/>
        <v>135.33030558297088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</v>
      </c>
      <c r="FR149" s="21">
        <f>EXP(-LN(2)/25)*FR148+(1-EXP(-LN(2)/25))/(LN(2)/25)*Calculateur!FM149*Calculateur!FO149*VLOOKUP('Données projet'!$B$16,Paramètres!$A$1:$I$89,3,0)*0.475*44/12</f>
        <v>3.4249431746956516</v>
      </c>
      <c r="FS149" s="21">
        <f>EXP(-LN(2)/2)*FS148+(1-EXP(-LN(2)/2))/(LN(2)/2)*FM149*FP149*VLOOKUP('Données projet'!$B$16,Paramètres!$A$1:$I$89,3,0)*0.475*44/12</f>
        <v>9.3300142970795532E-8</v>
      </c>
      <c r="FT149" s="22">
        <f t="shared" si="132"/>
        <v>3.4249432679957947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9.3350000000000026</v>
      </c>
      <c r="N150" s="13">
        <f>IF('Données projet'!$A$36&gt;35,N149+M150-V149,IF(A150&lt;'Données projet'!$A$36,$K$205^A150,IF(A150='Données projet'!$A$36,'Données projet'!$B$36,N149+M150-V149)))</f>
        <v>481.14500000000089</v>
      </c>
      <c r="O150" s="13">
        <f>N150*VLOOKUP('Données projet'!$B$9,Paramètres!$A$1:$I$89,3,0)*VLOOKUP('Données projet'!$B$9,Paramètres!$A$1:$I$89,5,0)</f>
        <v>487.88103000000092</v>
      </c>
      <c r="P150" s="13">
        <f t="shared" si="141"/>
        <v>109.38209953839079</v>
      </c>
      <c r="Q150" s="20">
        <f t="shared" si="108"/>
        <v>1040.2332839460321</v>
      </c>
      <c r="R150" s="59">
        <f t="shared" si="109"/>
        <v>1333.5666172793653</v>
      </c>
      <c r="S150" s="59">
        <f ca="1">AVERAGE(OFFSET($R$3,0,0,'Données projet'!$E$9+1,1))-AVERAGE(OFFSET($H$3,0,0,'Données projet'!$E$9+1,1))</f>
        <v>706.69239849991595</v>
      </c>
      <c r="T150" s="59">
        <f t="shared" si="142"/>
        <v>310.59887275116529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52.799132958537065</v>
      </c>
      <c r="AA150" s="21">
        <f>EXP(-LN(2)/25)*AA149+(1-EXP(-LN(2)/25))/(LN(2)/25)*Calculateur!V150*Calculateur!X150*VLOOKUP('Données projet'!$B$9,Paramètres!$A$1:$I$89,3,0)*0.475*44/12</f>
        <v>24.036707549564372</v>
      </c>
      <c r="AB150" s="21">
        <f>EXP(-LN(2)/2)*AB149+(1-EXP(-LN(2)/2))/(LN(2)/2)*V150*Y150*VLOOKUP('Données projet'!$B$9,Paramètres!$A$1:$I$89,3,0)*0.475*44/12</f>
        <v>1.9756934088974503E-3</v>
      </c>
      <c r="AC150" s="22">
        <f t="shared" si="111"/>
        <v>76.837816201510336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239.26156489359892</v>
      </c>
      <c r="AO150" s="59">
        <f t="shared" si="144"/>
        <v>213.97034450798111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3.4973565715528285</v>
      </c>
      <c r="AV150" s="21">
        <f>EXP(-LN(2)/25)*AV149+(1-EXP(-LN(2)/25))/(LN(2)/25)*Calculateur!AQ150*Calculateur!AS150*VLOOKUP('Données projet'!$B$10,Paramètres!$A$1:$I$89,3,0)*0.475*44/12</f>
        <v>13.149234868879059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16.646591440431887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-1.7053025658242404E-13</v>
      </c>
      <c r="BE150" s="13">
        <f>BD150*VLOOKUP('Données projet'!$B$11,Paramètres!$A$1:$I$89,3,0)*VLOOKUP('Données projet'!$B$11,Paramètres!$A$1:$I$89,5,0)</f>
        <v>-1.4897523215040567E-13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324.86930206492627</v>
      </c>
      <c r="BJ150" s="59">
        <f t="shared" si="146"/>
        <v>317.03005098025352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12.223986634463051</v>
      </c>
      <c r="BQ150" s="21">
        <f>EXP(-LN(2)/25)*BQ149+(1-EXP(-LN(2)/25))/(LN(2)/25)*Calculateur!BL150*Calculateur!BN150*VLOOKUP('Données projet'!$B$11,Paramètres!$A$1:$I$89,3,0)*0.475*44/12</f>
        <v>7.2582959289303526</v>
      </c>
      <c r="BR150" s="21">
        <f>EXP(-LN(2)/2)*BR149+(1-EXP(-LN(2)/2))/(LN(2)/2)*BL150*BO150*VLOOKUP('Données projet'!$B$11,Paramètres!$A$1:$I$89,3,0)*0.475*44/12</f>
        <v>4.6983865346568271E-9</v>
      </c>
      <c r="BS150" s="22">
        <f t="shared" si="117"/>
        <v>19.48228256809179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7.5191666666666634</v>
      </c>
      <c r="BY150" s="12">
        <f>IF('Données projet'!$A$114&gt;35,BY149+BX150-CG149,IF(A150&lt;'Données projet'!$A$114,$BV$205^A150,IF(A150='Données projet'!$A$114,'Données projet'!$B$114,BY149+BX150-CG149)))</f>
        <v>341.52749999999975</v>
      </c>
      <c r="BZ150" s="13">
        <f>BY150*VLOOKUP('Données projet'!$B$12,Paramètres!$A$1:$I$89,3,0)*VLOOKUP('Données projet'!$B$12,Paramètres!$A$1:$I$89,5,0)</f>
        <v>388.9315169999997</v>
      </c>
      <c r="CA150" s="13">
        <f t="shared" si="147"/>
        <v>89.529048562847422</v>
      </c>
      <c r="CB150" s="20">
        <f t="shared" si="118"/>
        <v>833.31881835529202</v>
      </c>
      <c r="CC150" s="59">
        <f t="shared" si="119"/>
        <v>1126.6521516886253</v>
      </c>
      <c r="CD150" s="59">
        <f ca="1">AVERAGE(OFFSET($CC$3,0,0,'Données projet'!$E$12+1,1))-AVERAGE(OFFSET($H$3,0,0,'Données projet'!$E$12+1,1))</f>
        <v>593.28343396240075</v>
      </c>
      <c r="CE150" s="59">
        <f t="shared" si="148"/>
        <v>289.66477662068695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35.219143301676681</v>
      </c>
      <c r="CL150" s="21">
        <f>EXP(-LN(2)/25)*CL149+(1-EXP(-LN(2)/25))/(LN(2)/25)*Calculateur!CG150*Calculateur!CI150*VLOOKUP('Données projet'!$B$12,Paramètres!$A$1:$I$89,3,0)*0.475*44/12</f>
        <v>23.860536321822746</v>
      </c>
      <c r="CM150" s="21">
        <f>EXP(-LN(2)/2)*CM149+(1-EXP(-LN(2)/2))/(LN(2)/2)*CG150*CJ150*VLOOKUP('Données projet'!$B$12,Paramètres!$A$1:$I$89,3,0)*0.475*44/12</f>
        <v>2.3452165942924545</v>
      </c>
      <c r="CN150" s="22">
        <f t="shared" si="120"/>
        <v>61.424896217791883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9.3350000000000026</v>
      </c>
      <c r="CT150" s="12">
        <f>IF('Données projet'!$A$140&gt;35,CT149+CS150-DB149,IF(A150&lt;'Données projet'!$A$140,$CQ$205^A150,IF(A150='Données projet'!$A$140,'Données projet'!$B$140,CT149+CS150-DB149)))</f>
        <v>481.14500000000089</v>
      </c>
      <c r="CU150" s="17">
        <f>CT150*VLOOKUP('Données projet'!$B$13,Paramètres!$A$1:$I$89,3,0)*VLOOKUP('Données projet'!$B$13,Paramètres!$A$1:$I$89,5,0)</f>
        <v>517.90447800000095</v>
      </c>
      <c r="CV150" s="13">
        <f t="shared" si="149"/>
        <v>115.30896390231209</v>
      </c>
      <c r="CW150" s="20">
        <f t="shared" si="121"/>
        <v>1102.8467446465284</v>
      </c>
      <c r="CX150" s="59">
        <f t="shared" si="122"/>
        <v>1396.1800779798616</v>
      </c>
      <c r="CY150" s="59">
        <f ca="1">AVERAGE(OFFSET($CX$3,0,0,'Données projet'!$E$13+1,1))-AVERAGE(OFFSET($H$3,0,0,'Données projet'!$E$13+1,1))</f>
        <v>747.18304127457918</v>
      </c>
      <c r="CZ150" s="59">
        <f t="shared" si="150"/>
        <v>327.03701004966723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56.048310371370093</v>
      </c>
      <c r="DG150" s="21">
        <f>EXP(-LN(2)/25)*DG149+(1-EXP(-LN(2)/25))/(LN(2)/25)*Calculateur!DB150*Calculateur!DD150*VLOOKUP('Données projet'!$B$13,Paramètres!$A$1:$I$89,3,0)*0.475*44/12</f>
        <v>25.515889552614489</v>
      </c>
      <c r="DH150" s="21">
        <f>EXP(-LN(2)/2)*DH149+(1-EXP(-LN(2)/2))/(LN(2)/2)*DB150*DE150*VLOOKUP('Données projet'!$B$13,Paramètres!$A$1:$I$89,3,0)*0.475*44/12</f>
        <v>2.097274541752678E-3</v>
      </c>
      <c r="DI150" s="22">
        <f t="shared" si="123"/>
        <v>81.566297198526328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353.37479213497227</v>
      </c>
      <c r="DU150" s="59">
        <f t="shared" si="152"/>
        <v>345.4750813433123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13.791017217440478</v>
      </c>
      <c r="EB150" s="21">
        <f>EXP(-LN(2)/25)*EB149+(1-EXP(-LN(2)/25))/(LN(2)/25)*Calculateur!DW150*Calculateur!DY150*VLOOKUP('Données projet'!$B$14,Paramètres!$A$1:$I$89,3,0)*0.475*44/12</f>
        <v>8.0086251336538652</v>
      </c>
      <c r="EC150" s="21">
        <f>EXP(-LN(2)/2)*EC149+(1-EXP(-LN(2)/2))/(LN(2)/2)*DW150*DZ150*VLOOKUP('Données projet'!$B$14,Paramètres!$A$1:$I$89,3,0)*0.475*44/12</f>
        <v>5.138402282522971E-9</v>
      </c>
      <c r="ED150" s="22">
        <f t="shared" si="126"/>
        <v>21.799642356232745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-4.5474735088646412E-13</v>
      </c>
      <c r="EK150" s="17">
        <f>EJ150*VLOOKUP('Données projet'!$B$15,Paramètres!$A$1:$I$89,3,0)*VLOOKUP('Données projet'!$B$15,Paramètres!$A$1:$I$89,5,0)</f>
        <v>-2.1282176021486519E-13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433.05041777893922</v>
      </c>
      <c r="EP150" s="59">
        <f t="shared" si="154"/>
        <v>591.24088611958996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152.98600140466681</v>
      </c>
      <c r="EW150" s="21">
        <f>EXP(-LN(2)/25)*EW149+(1-EXP(-LN(2)/25))/(LN(2)/25)*Calculateur!ER150*Calculateur!ET150*VLOOKUP('Données projet'!$B$15,Paramètres!$A$1:$I$89,3,0)*0.475*44/12</f>
        <v>33.502437515878086</v>
      </c>
      <c r="EX150" s="21">
        <f>EXP(-LN(2)/2)*EX149+(1-EXP(-LN(2)/2))/(LN(2)/2)*ER150*EU150*VLOOKUP('Données projet'!$B$15,Paramètres!$A$1:$I$89,3,0)*0.475*44/12</f>
        <v>2.3315172264372956E-5</v>
      </c>
      <c r="EY150" s="22">
        <f t="shared" si="129"/>
        <v>186.48846223571715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-8.5265128291212022E-14</v>
      </c>
      <c r="FF150" s="17">
        <f>FE150*VLOOKUP('Données projet'!$B$16,Paramètres!$A$1:$I$89,3,0)*VLOOKUP('Données projet'!$B$16,Paramètres!$A$1:$I$89,5,0)</f>
        <v>-6.9167072069831198E-14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159.4660488566085</v>
      </c>
      <c r="FK150" s="59">
        <f t="shared" si="156"/>
        <v>135.33030558297088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</v>
      </c>
      <c r="FR150" s="21">
        <f>EXP(-LN(2)/25)*FR149+(1-EXP(-LN(2)/25))/(LN(2)/25)*Calculateur!FM150*Calculateur!FO150*VLOOKUP('Données projet'!$B$16,Paramètres!$A$1:$I$89,3,0)*0.475*44/12</f>
        <v>3.3312879234736652</v>
      </c>
      <c r="FS150" s="21">
        <f>EXP(-LN(2)/2)*FS149+(1-EXP(-LN(2)/2))/(LN(2)/2)*FM150*FP150*VLOOKUP('Données projet'!$B$16,Paramètres!$A$1:$I$89,3,0)*0.475*44/12</f>
        <v>6.5973163780323915E-8</v>
      </c>
      <c r="FT150" s="22">
        <f t="shared" si="132"/>
        <v>3.331287989446829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9.3350000000000026</v>
      </c>
      <c r="N151" s="13">
        <f>IF('Données projet'!$A$36&gt;35,N150+M151-V150,IF(A151&lt;'Données projet'!$A$36,$K$205^A151,IF(A151='Données projet'!$A$36,'Données projet'!$B$36,N150+M151-V150)))</f>
        <v>490.48000000000087</v>
      </c>
      <c r="O151" s="13">
        <f>N151*VLOOKUP('Données projet'!$B$9,Paramètres!$A$1:$I$89,3,0)*VLOOKUP('Données projet'!$B$9,Paramètres!$A$1:$I$89,5,0)</f>
        <v>497.34672000000091</v>
      </c>
      <c r="P151" s="13">
        <f t="shared" si="141"/>
        <v>111.25516581491246</v>
      </c>
      <c r="Q151" s="20">
        <f t="shared" si="108"/>
        <v>1059.9816177943073</v>
      </c>
      <c r="R151" s="59">
        <f t="shared" si="109"/>
        <v>1353.3149511276406</v>
      </c>
      <c r="S151" s="59">
        <f ca="1">AVERAGE(OFFSET($R$3,0,0,'Données projet'!$E$9+1,1))-AVERAGE(OFFSET($H$3,0,0,'Données projet'!$E$9+1,1))</f>
        <v>706.69239849991595</v>
      </c>
      <c r="T151" s="59">
        <f t="shared" si="142"/>
        <v>310.59887275116529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51.76377416551135</v>
      </c>
      <c r="AA151" s="21">
        <f>EXP(-LN(2)/25)*AA150+(1-EXP(-LN(2)/25))/(LN(2)/25)*Calculateur!V151*Calculateur!X151*VLOOKUP('Données projet'!$B$9,Paramètres!$A$1:$I$89,3,0)*0.475*44/12</f>
        <v>23.379422517586022</v>
      </c>
      <c r="AB151" s="21">
        <f>EXP(-LN(2)/2)*AB150+(1-EXP(-LN(2)/2))/(LN(2)/2)*V151*Y151*VLOOKUP('Données projet'!$B$9,Paramètres!$A$1:$I$89,3,0)*0.475*44/12</f>
        <v>1.3970262069769536E-3</v>
      </c>
      <c r="AC151" s="22">
        <f t="shared" si="111"/>
        <v>75.144593709304345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239.26156489359892</v>
      </c>
      <c r="AO151" s="59">
        <f t="shared" si="144"/>
        <v>213.97034450798111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3.4287755423615525</v>
      </c>
      <c r="AV151" s="21">
        <f>EXP(-LN(2)/25)*AV150+(1-EXP(-LN(2)/25))/(LN(2)/25)*Calculateur!AQ151*Calculateur!AS151*VLOOKUP('Données projet'!$B$10,Paramètres!$A$1:$I$89,3,0)*0.475*44/12</f>
        <v>12.789668349901353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16.218443892262904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-1.7053025658242404E-13</v>
      </c>
      <c r="BE151" s="13">
        <f>BD151*VLOOKUP('Données projet'!$B$11,Paramètres!$A$1:$I$89,3,0)*VLOOKUP('Données projet'!$B$11,Paramètres!$A$1:$I$89,5,0)</f>
        <v>-1.4897523215040567E-13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324.86930206492627</v>
      </c>
      <c r="BJ151" s="59">
        <f t="shared" si="146"/>
        <v>317.03005098025352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11.98428171245687</v>
      </c>
      <c r="BQ151" s="21">
        <f>EXP(-LN(2)/25)*BQ150+(1-EXP(-LN(2)/25))/(LN(2)/25)*Calculateur!BL151*Calculateur!BN151*VLOOKUP('Données projet'!$B$11,Paramètres!$A$1:$I$89,3,0)*0.475*44/12</f>
        <v>7.0598174450565585</v>
      </c>
      <c r="BR151" s="21">
        <f>EXP(-LN(2)/2)*BR150+(1-EXP(-LN(2)/2))/(LN(2)/2)*BL151*BO151*VLOOKUP('Données projet'!$B$11,Paramètres!$A$1:$I$89,3,0)*0.475*44/12</f>
        <v>3.3222609792914064E-9</v>
      </c>
      <c r="BS151" s="22">
        <f t="shared" si="117"/>
        <v>19.044099160835689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7.5191666666666634</v>
      </c>
      <c r="BY151" s="12">
        <f>IF('Données projet'!$A$114&gt;35,BY150+BX151-CG150,IF(A151&lt;'Données projet'!$A$114,$BV$205^A151,IF(A151='Données projet'!$A$114,'Données projet'!$B$114,BY150+BX151-CG150)))</f>
        <v>349.0466666666664</v>
      </c>
      <c r="BZ151" s="13">
        <f>BY151*VLOOKUP('Données projet'!$B$12,Paramètres!$A$1:$I$89,3,0)*VLOOKUP('Données projet'!$B$12,Paramètres!$A$1:$I$89,5,0)</f>
        <v>397.49434399999973</v>
      </c>
      <c r="CA151" s="13">
        <f t="shared" si="147"/>
        <v>91.268496290243391</v>
      </c>
      <c r="CB151" s="20">
        <f t="shared" si="118"/>
        <v>851.26194683884012</v>
      </c>
      <c r="CC151" s="59">
        <f t="shared" si="119"/>
        <v>1144.5952801721735</v>
      </c>
      <c r="CD151" s="59">
        <f ca="1">AVERAGE(OFFSET($CC$3,0,0,'Données projet'!$E$12+1,1))-AVERAGE(OFFSET($H$3,0,0,'Données projet'!$E$12+1,1))</f>
        <v>593.28343396240075</v>
      </c>
      <c r="CE151" s="59">
        <f t="shared" si="148"/>
        <v>289.66477662068695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34.528517383087085</v>
      </c>
      <c r="CL151" s="21">
        <f>EXP(-LN(2)/25)*CL150+(1-EXP(-LN(2)/25))/(LN(2)/25)*Calculateur!CG151*Calculateur!CI151*VLOOKUP('Données projet'!$B$12,Paramètres!$A$1:$I$89,3,0)*0.475*44/12</f>
        <v>23.208068701331431</v>
      </c>
      <c r="CM151" s="21">
        <f>EXP(-LN(2)/2)*CM150+(1-EXP(-LN(2)/2))/(LN(2)/2)*CG151*CJ151*VLOOKUP('Données projet'!$B$12,Paramètres!$A$1:$I$89,3,0)*0.475*44/12</f>
        <v>1.6583185571754149</v>
      </c>
      <c r="CN151" s="22">
        <f t="shared" si="120"/>
        <v>59.394904641593932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9.3350000000000026</v>
      </c>
      <c r="CT151" s="12">
        <f>IF('Données projet'!$A$140&gt;35,CT150+CS151-DB150,IF(A151&lt;'Données projet'!$A$140,$CQ$205^A151,IF(A151='Données projet'!$A$140,'Données projet'!$B$140,CT150+CS151-DB150)))</f>
        <v>490.48000000000087</v>
      </c>
      <c r="CU151" s="17">
        <f>CT151*VLOOKUP('Données projet'!$B$13,Paramètres!$A$1:$I$89,3,0)*VLOOKUP('Données projet'!$B$13,Paramètres!$A$1:$I$89,5,0)</f>
        <v>527.95267200000092</v>
      </c>
      <c r="CV151" s="13">
        <f t="shared" si="149"/>
        <v>117.2835221945514</v>
      </c>
      <c r="CW151" s="20">
        <f t="shared" si="121"/>
        <v>1123.786371555512</v>
      </c>
      <c r="CX151" s="59">
        <f t="shared" si="122"/>
        <v>1417.1197048888453</v>
      </c>
      <c r="CY151" s="59">
        <f ca="1">AVERAGE(OFFSET($CX$3,0,0,'Données projet'!$E$13+1,1))-AVERAGE(OFFSET($H$3,0,0,'Données projet'!$E$13+1,1))</f>
        <v>747.18304127457918</v>
      </c>
      <c r="CZ151" s="59">
        <f t="shared" si="150"/>
        <v>327.03701004966723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54.949237191081252</v>
      </c>
      <c r="DG151" s="21">
        <f>EXP(-LN(2)/25)*DG150+(1-EXP(-LN(2)/25))/(LN(2)/25)*Calculateur!DB151*Calculateur!DD151*VLOOKUP('Données projet'!$B$13,Paramètres!$A$1:$I$89,3,0)*0.475*44/12</f>
        <v>24.818156210975932</v>
      </c>
      <c r="DH151" s="21">
        <f>EXP(-LN(2)/2)*DH150+(1-EXP(-LN(2)/2))/(LN(2)/2)*DB151*DE151*VLOOKUP('Données projet'!$B$13,Paramètres!$A$1:$I$89,3,0)*0.475*44/12</f>
        <v>1.4829970504832276E-3</v>
      </c>
      <c r="DI151" s="22">
        <f t="shared" si="123"/>
        <v>79.768876399107668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353.37479213497227</v>
      </c>
      <c r="DU151" s="59">
        <f t="shared" si="152"/>
        <v>345.4750813433123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13.520583781496388</v>
      </c>
      <c r="EB151" s="21">
        <f>EXP(-LN(2)/25)*EB150+(1-EXP(-LN(2)/25))/(LN(2)/25)*Calculateur!DW151*Calculateur!DY151*VLOOKUP('Données projet'!$B$14,Paramètres!$A$1:$I$89,3,0)*0.475*44/12</f>
        <v>7.7896288582188085</v>
      </c>
      <c r="EC151" s="21">
        <f>EXP(-LN(2)/2)*EC150+(1-EXP(-LN(2)/2))/(LN(2)/2)*DW151*DZ151*VLOOKUP('Données projet'!$B$14,Paramètres!$A$1:$I$89,3,0)*0.475*44/12</f>
        <v>3.6333990984364268E-9</v>
      </c>
      <c r="ED151" s="22">
        <f t="shared" si="126"/>
        <v>21.310212643348596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-4.5474735088646412E-13</v>
      </c>
      <c r="EK151" s="17">
        <f>EJ151*VLOOKUP('Données projet'!$B$15,Paramètres!$A$1:$I$89,3,0)*VLOOKUP('Données projet'!$B$15,Paramètres!$A$1:$I$89,5,0)</f>
        <v>-2.1282176021486519E-13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433.05041777893922</v>
      </c>
      <c r="EP151" s="59">
        <f t="shared" si="154"/>
        <v>591.24088611958996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149.98603922936832</v>
      </c>
      <c r="EW151" s="21">
        <f>EXP(-LN(2)/25)*EW150+(1-EXP(-LN(2)/25))/(LN(2)/25)*Calculateur!ER151*Calculateur!ET151*VLOOKUP('Données projet'!$B$15,Paramètres!$A$1:$I$89,3,0)*0.475*44/12</f>
        <v>32.586311600189781</v>
      </c>
      <c r="EX151" s="21">
        <f>EXP(-LN(2)/2)*EX150+(1-EXP(-LN(2)/2))/(LN(2)/2)*ER151*EU151*VLOOKUP('Données projet'!$B$15,Paramètres!$A$1:$I$89,3,0)*0.475*44/12</f>
        <v>1.6486316412670629E-5</v>
      </c>
      <c r="EY151" s="22">
        <f t="shared" si="129"/>
        <v>182.57236731587452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-8.5265128291212022E-14</v>
      </c>
      <c r="FF151" s="17">
        <f>FE151*VLOOKUP('Données projet'!$B$16,Paramètres!$A$1:$I$89,3,0)*VLOOKUP('Données projet'!$B$16,Paramètres!$A$1:$I$89,5,0)</f>
        <v>-6.9167072069831198E-14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159.4660488566085</v>
      </c>
      <c r="FK151" s="59">
        <f t="shared" si="156"/>
        <v>135.33030558297088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</v>
      </c>
      <c r="FR151" s="21">
        <f>EXP(-LN(2)/25)*FR150+(1-EXP(-LN(2)/25))/(LN(2)/25)*Calculateur!FM151*Calculateur!FO151*VLOOKUP('Données projet'!$B$16,Paramètres!$A$1:$I$89,3,0)*0.475*44/12</f>
        <v>3.2401936800214597</v>
      </c>
      <c r="FS151" s="21">
        <f>EXP(-LN(2)/2)*FS150+(1-EXP(-LN(2)/2))/(LN(2)/2)*FM151*FP151*VLOOKUP('Données projet'!$B$16,Paramètres!$A$1:$I$89,3,0)*0.475*44/12</f>
        <v>4.6650071485397766E-8</v>
      </c>
      <c r="FT151" s="22">
        <f t="shared" si="132"/>
        <v>3.240193726671531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9.3350000000000026</v>
      </c>
      <c r="N152" s="13">
        <f>IF('Données projet'!$A$36&gt;35,N151+M152-V151,IF(A152&lt;'Données projet'!$A$36,$K$205^A152,IF(A152='Données projet'!$A$36,'Données projet'!$B$36,N151+M152-V151)))</f>
        <v>499.81500000000085</v>
      </c>
      <c r="O152" s="13">
        <f>N152*VLOOKUP('Données projet'!$B$9,Paramètres!$A$1:$I$89,3,0)*VLOOKUP('Données projet'!$B$9,Paramètres!$A$1:$I$89,5,0)</f>
        <v>506.81241000000091</v>
      </c>
      <c r="P152" s="13">
        <f t="shared" si="141"/>
        <v>113.12408688761556</v>
      </c>
      <c r="Q152" s="20">
        <f t="shared" si="108"/>
        <v>1079.7227320792654</v>
      </c>
      <c r="R152" s="59">
        <f t="shared" si="109"/>
        <v>1373.0560654125986</v>
      </c>
      <c r="S152" s="59">
        <f ca="1">AVERAGE(OFFSET($R$3,0,0,'Données projet'!$E$9+1,1))-AVERAGE(OFFSET($H$3,0,0,'Données projet'!$E$9+1,1))</f>
        <v>706.69239849991595</v>
      </c>
      <c r="T152" s="59">
        <f t="shared" si="142"/>
        <v>310.59887275116529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50.748718126910362</v>
      </c>
      <c r="AA152" s="21">
        <f>EXP(-LN(2)/25)*AA151+(1-EXP(-LN(2)/25))/(LN(2)/25)*Calculateur!V152*Calculateur!X152*VLOOKUP('Données projet'!$B$9,Paramètres!$A$1:$I$89,3,0)*0.475*44/12</f>
        <v>22.740110979372236</v>
      </c>
      <c r="AB152" s="21">
        <f>EXP(-LN(2)/2)*AB151+(1-EXP(-LN(2)/2))/(LN(2)/2)*V152*Y152*VLOOKUP('Données projet'!$B$9,Paramètres!$A$1:$I$89,3,0)*0.475*44/12</f>
        <v>9.8784670444872517E-4</v>
      </c>
      <c r="AC152" s="22">
        <f t="shared" si="111"/>
        <v>73.489816952987042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239.26156489359892</v>
      </c>
      <c r="AO152" s="59">
        <f t="shared" si="144"/>
        <v>213.97034450798111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3.36153934532242</v>
      </c>
      <c r="AV152" s="21">
        <f>EXP(-LN(2)/25)*AV151+(1-EXP(-LN(2)/25))/(LN(2)/25)*Calculateur!AQ152*Calculateur!AS152*VLOOKUP('Données projet'!$B$10,Paramètres!$A$1:$I$89,3,0)*0.475*44/12</f>
        <v>12.439934196293873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15.801473541616293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-1.7053025658242404E-13</v>
      </c>
      <c r="BE152" s="13">
        <f>BD152*VLOOKUP('Données projet'!$B$11,Paramètres!$A$1:$I$89,3,0)*VLOOKUP('Données projet'!$B$11,Paramètres!$A$1:$I$89,5,0)</f>
        <v>-1.4897523215040567E-13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324.86930206492627</v>
      </c>
      <c r="BJ152" s="59">
        <f t="shared" si="146"/>
        <v>317.03005098025352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11.749277257765662</v>
      </c>
      <c r="BQ152" s="21">
        <f>EXP(-LN(2)/25)*BQ151+(1-EXP(-LN(2)/25))/(LN(2)/25)*Calculateur!BL152*Calculateur!BN152*VLOOKUP('Données projet'!$B$11,Paramètres!$A$1:$I$89,3,0)*0.475*44/12</f>
        <v>6.8667663657618228</v>
      </c>
      <c r="BR152" s="21">
        <f>EXP(-LN(2)/2)*BR151+(1-EXP(-LN(2)/2))/(LN(2)/2)*BL152*BO152*VLOOKUP('Données projet'!$B$11,Paramètres!$A$1:$I$89,3,0)*0.475*44/12</f>
        <v>2.3491932673284135E-9</v>
      </c>
      <c r="BS152" s="22">
        <f t="shared" si="117"/>
        <v>18.616043625876678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7.5191666666666634</v>
      </c>
      <c r="BY152" s="12">
        <f>IF('Données projet'!$A$114&gt;35,BY151+BX152-CG151,IF(A152&lt;'Données projet'!$A$114,$BV$205^A152,IF(A152='Données projet'!$A$114,'Données projet'!$B$114,BY151+BX152-CG151)))</f>
        <v>356.56583333333305</v>
      </c>
      <c r="BZ152" s="13">
        <f>BY152*VLOOKUP('Données projet'!$B$12,Paramètres!$A$1:$I$89,3,0)*VLOOKUP('Données projet'!$B$12,Paramètres!$A$1:$I$89,5,0)</f>
        <v>406.0571709999997</v>
      </c>
      <c r="CA152" s="13">
        <f t="shared" si="147"/>
        <v>93.003587477662336</v>
      </c>
      <c r="CB152" s="20">
        <f t="shared" si="118"/>
        <v>869.19748768192801</v>
      </c>
      <c r="CC152" s="59">
        <f t="shared" si="119"/>
        <v>1162.5308210152614</v>
      </c>
      <c r="CD152" s="59">
        <f ca="1">AVERAGE(OFFSET($CC$3,0,0,'Données projet'!$E$12+1,1))-AVERAGE(OFFSET($H$3,0,0,'Données projet'!$E$12+1,1))</f>
        <v>593.28343396240075</v>
      </c>
      <c r="CE152" s="59">
        <f t="shared" si="148"/>
        <v>289.66477662068695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33.851434217520818</v>
      </c>
      <c r="CL152" s="21">
        <f>EXP(-LN(2)/25)*CL151+(1-EXP(-LN(2)/25))/(LN(2)/25)*Calculateur!CG152*Calculateur!CI152*VLOOKUP('Données projet'!$B$12,Paramètres!$A$1:$I$89,3,0)*0.475*44/12</f>
        <v>22.573442842234233</v>
      </c>
      <c r="CM152" s="21">
        <f>EXP(-LN(2)/2)*CM151+(1-EXP(-LN(2)/2))/(LN(2)/2)*CG152*CJ152*VLOOKUP('Données projet'!$B$12,Paramètres!$A$1:$I$89,3,0)*0.475*44/12</f>
        <v>1.1726082971462273</v>
      </c>
      <c r="CN152" s="22">
        <f t="shared" si="120"/>
        <v>57.597485356901274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9.3350000000000026</v>
      </c>
      <c r="CT152" s="12">
        <f>IF('Données projet'!$A$140&gt;35,CT151+CS152-DB151,IF(A152&lt;'Données projet'!$A$140,$CQ$205^A152,IF(A152='Données projet'!$A$140,'Données projet'!$B$140,CT151+CS152-DB151)))</f>
        <v>499.81500000000085</v>
      </c>
      <c r="CU152" s="17">
        <f>CT152*VLOOKUP('Données projet'!$B$13,Paramètres!$A$1:$I$89,3,0)*VLOOKUP('Données projet'!$B$13,Paramètres!$A$1:$I$89,5,0)</f>
        <v>538.00086600000088</v>
      </c>
      <c r="CV152" s="13">
        <f t="shared" si="149"/>
        <v>119.25371067528131</v>
      </c>
      <c r="CW152" s="20">
        <f t="shared" si="121"/>
        <v>1144.7183877094499</v>
      </c>
      <c r="CX152" s="59">
        <f t="shared" si="122"/>
        <v>1438.0517210427831</v>
      </c>
      <c r="CY152" s="59">
        <f ca="1">AVERAGE(OFFSET($CX$3,0,0,'Données projet'!$E$13+1,1))-AVERAGE(OFFSET($H$3,0,0,'Données projet'!$E$13+1,1))</f>
        <v>747.18304127457918</v>
      </c>
      <c r="CZ152" s="59">
        <f t="shared" si="150"/>
        <v>327.03701004966723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53.871716165489431</v>
      </c>
      <c r="DG152" s="21">
        <f>EXP(-LN(2)/25)*DG151+(1-EXP(-LN(2)/25))/(LN(2)/25)*Calculateur!DB152*Calculateur!DD152*VLOOKUP('Données projet'!$B$13,Paramètres!$A$1:$I$89,3,0)*0.475*44/12</f>
        <v>24.139502424256683</v>
      </c>
      <c r="DH152" s="21">
        <f>EXP(-LN(2)/2)*DH151+(1-EXP(-LN(2)/2))/(LN(2)/2)*DB152*DE152*VLOOKUP('Données projet'!$B$13,Paramètres!$A$1:$I$89,3,0)*0.475*44/12</f>
        <v>1.048637270876339E-3</v>
      </c>
      <c r="DI152" s="22">
        <f t="shared" si="123"/>
        <v>78.012267227016977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353.37479213497227</v>
      </c>
      <c r="DU152" s="59">
        <f t="shared" si="152"/>
        <v>345.4750813433123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13.255453380283052</v>
      </c>
      <c r="EB152" s="21">
        <f>EXP(-LN(2)/25)*EB151+(1-EXP(-LN(2)/25))/(LN(2)/25)*Calculateur!DW152*Calculateur!DY152*VLOOKUP('Données projet'!$B$14,Paramètres!$A$1:$I$89,3,0)*0.475*44/12</f>
        <v>7.5766210474520372</v>
      </c>
      <c r="EC152" s="21">
        <f>EXP(-LN(2)/2)*EC151+(1-EXP(-LN(2)/2))/(LN(2)/2)*DW152*DZ152*VLOOKUP('Données projet'!$B$14,Paramètres!$A$1:$I$89,3,0)*0.475*44/12</f>
        <v>2.5692011412614855E-9</v>
      </c>
      <c r="ED152" s="22">
        <f t="shared" si="126"/>
        <v>20.832074430304292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-4.5474735088646412E-13</v>
      </c>
      <c r="EK152" s="17">
        <f>EJ152*VLOOKUP('Données projet'!$B$15,Paramètres!$A$1:$I$89,3,0)*VLOOKUP('Données projet'!$B$15,Paramètres!$A$1:$I$89,5,0)</f>
        <v>-2.1282176021486519E-13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433.05041777893922</v>
      </c>
      <c r="EP152" s="59">
        <f t="shared" si="154"/>
        <v>591.24088611958996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147.04490448253119</v>
      </c>
      <c r="EW152" s="21">
        <f>EXP(-LN(2)/25)*EW151+(1-EXP(-LN(2)/25))/(LN(2)/25)*Calculateur!ER152*Calculateur!ET152*VLOOKUP('Données projet'!$B$15,Paramètres!$A$1:$I$89,3,0)*0.475*44/12</f>
        <v>31.695237195842942</v>
      </c>
      <c r="EX152" s="21">
        <f>EXP(-LN(2)/2)*EX151+(1-EXP(-LN(2)/2))/(LN(2)/2)*ER152*EU152*VLOOKUP('Données projet'!$B$15,Paramètres!$A$1:$I$89,3,0)*0.475*44/12</f>
        <v>1.1657586132186478E-5</v>
      </c>
      <c r="EY152" s="22">
        <f t="shared" si="129"/>
        <v>178.74015333596026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-8.5265128291212022E-14</v>
      </c>
      <c r="FF152" s="17">
        <f>FE152*VLOOKUP('Données projet'!$B$16,Paramètres!$A$1:$I$89,3,0)*VLOOKUP('Données projet'!$B$16,Paramètres!$A$1:$I$89,5,0)</f>
        <v>-6.9167072069831198E-14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159.4660488566085</v>
      </c>
      <c r="FK152" s="59">
        <f t="shared" si="156"/>
        <v>135.33030558297088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</v>
      </c>
      <c r="FR152" s="21">
        <f>EXP(-LN(2)/25)*FR151+(1-EXP(-LN(2)/25))/(LN(2)/25)*Calculateur!FM152*Calculateur!FO152*VLOOKUP('Données projet'!$B$16,Paramètres!$A$1:$I$89,3,0)*0.475*44/12</f>
        <v>3.1515904134468928</v>
      </c>
      <c r="FS152" s="21">
        <f>EXP(-LN(2)/2)*FS151+(1-EXP(-LN(2)/2))/(LN(2)/2)*FM152*FP152*VLOOKUP('Données projet'!$B$16,Paramètres!$A$1:$I$89,3,0)*0.475*44/12</f>
        <v>3.2986581890161957E-8</v>
      </c>
      <c r="FT152" s="22">
        <f t="shared" si="132"/>
        <v>3.1515904464334747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9.3350000000000026</v>
      </c>
      <c r="N153" s="13">
        <f>IF('Données projet'!$A$36&gt;35,N152+M153-V152,IF(A153&lt;'Données projet'!$A$36,$K$205^A153,IF(A153='Données projet'!$A$36,'Données projet'!$B$36,N152+M153-V152)))</f>
        <v>509.15000000000083</v>
      </c>
      <c r="O153" s="13">
        <f>N153*VLOOKUP('Données projet'!$B$9,Paramètres!$A$1:$I$89,3,0)*VLOOKUP('Données projet'!$B$9,Paramètres!$A$1:$I$89,5,0)</f>
        <v>516.2781000000009</v>
      </c>
      <c r="P153" s="13">
        <f t="shared" si="141"/>
        <v>114.98894910398533</v>
      </c>
      <c r="Q153" s="20">
        <f t="shared" si="108"/>
        <v>1099.4567771894424</v>
      </c>
      <c r="R153" s="59">
        <f t="shared" si="109"/>
        <v>1392.7901105227756</v>
      </c>
      <c r="S153" s="59">
        <f ca="1">AVERAGE(OFFSET($R$3,0,0,'Données projet'!$E$9+1,1))-AVERAGE(OFFSET($H$3,0,0,'Données projet'!$E$9+1,1))</f>
        <v>706.69239849991595</v>
      </c>
      <c r="T153" s="59">
        <f t="shared" si="142"/>
        <v>310.59887275116529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49.753566718103286</v>
      </c>
      <c r="AA153" s="21">
        <f>EXP(-LN(2)/25)*AA152+(1-EXP(-LN(2)/25))/(LN(2)/25)*Calculateur!V153*Calculateur!X153*VLOOKUP('Données projet'!$B$9,Paramètres!$A$1:$I$89,3,0)*0.475*44/12</f>
        <v>22.118281448790839</v>
      </c>
      <c r="AB153" s="21">
        <f>EXP(-LN(2)/2)*AB152+(1-EXP(-LN(2)/2))/(LN(2)/2)*V153*Y153*VLOOKUP('Données projet'!$B$9,Paramètres!$A$1:$I$89,3,0)*0.475*44/12</f>
        <v>6.9851310348847679E-4</v>
      </c>
      <c r="AC153" s="22">
        <f t="shared" si="111"/>
        <v>71.872546679997612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239.26156489359892</v>
      </c>
      <c r="AO153" s="59">
        <f t="shared" si="144"/>
        <v>213.97034450798111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3.2956216090971941</v>
      </c>
      <c r="AV153" s="21">
        <f>EXP(-LN(2)/25)*AV152+(1-EXP(-LN(2)/25))/(LN(2)/25)*Calculateur!AQ153*Calculateur!AS153*VLOOKUP('Données projet'!$B$10,Paramètres!$A$1:$I$89,3,0)*0.475*44/12</f>
        <v>12.099763541508509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15.395385150605703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-1.7053025658242404E-13</v>
      </c>
      <c r="BE153" s="13">
        <f>BD153*VLOOKUP('Données projet'!$B$11,Paramètres!$A$1:$I$89,3,0)*VLOOKUP('Données projet'!$B$11,Paramètres!$A$1:$I$89,5,0)</f>
        <v>-1.4897523215040567E-13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324.86930206492627</v>
      </c>
      <c r="BJ153" s="59">
        <f t="shared" si="146"/>
        <v>317.03005098025352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11.518881097092386</v>
      </c>
      <c r="BQ153" s="21">
        <f>EXP(-LN(2)/25)*BQ152+(1-EXP(-LN(2)/25))/(LN(2)/25)*Calculateur!BL153*Calculateur!BN153*VLOOKUP('Données projet'!$B$11,Paramètres!$A$1:$I$89,3,0)*0.475*44/12</f>
        <v>6.6789942783825165</v>
      </c>
      <c r="BR153" s="21">
        <f>EXP(-LN(2)/2)*BR152+(1-EXP(-LN(2)/2))/(LN(2)/2)*BL153*BO153*VLOOKUP('Données projet'!$B$11,Paramètres!$A$1:$I$89,3,0)*0.475*44/12</f>
        <v>1.6611304896457032E-9</v>
      </c>
      <c r="BS153" s="22">
        <f t="shared" si="117"/>
        <v>18.197875377136032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7.5191666666666634</v>
      </c>
      <c r="BY153" s="12">
        <f>IF('Données projet'!$A$114&gt;35,BY152+BX153-CG152,IF(A153&lt;'Données projet'!$A$114,$BV$205^A153,IF(A153='Données projet'!$A$114,'Données projet'!$B$114,BY152+BX153-CG152)))</f>
        <v>364.0849999999997</v>
      </c>
      <c r="BZ153" s="13">
        <f>BY153*VLOOKUP('Données projet'!$B$12,Paramètres!$A$1:$I$89,3,0)*VLOOKUP('Données projet'!$B$12,Paramètres!$A$1:$I$89,5,0)</f>
        <v>414.61999799999973</v>
      </c>
      <c r="CA153" s="13">
        <f t="shared" si="147"/>
        <v>94.734424577852963</v>
      </c>
      <c r="CB153" s="20">
        <f t="shared" si="118"/>
        <v>887.12561932309336</v>
      </c>
      <c r="CC153" s="59">
        <f t="shared" si="119"/>
        <v>1180.4589526564266</v>
      </c>
      <c r="CD153" s="59">
        <f ca="1">AVERAGE(OFFSET($CC$3,0,0,'Données projet'!$E$12+1,1))-AVERAGE(OFFSET($H$3,0,0,'Données projet'!$E$12+1,1))</f>
        <v>593.28343396240075</v>
      </c>
      <c r="CE153" s="59">
        <f t="shared" si="148"/>
        <v>289.66477662068695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33.18762823985135</v>
      </c>
      <c r="CL153" s="21">
        <f>EXP(-LN(2)/25)*CL152+(1-EXP(-LN(2)/25))/(LN(2)/25)*Calculateur!CG153*Calculateur!CI153*VLOOKUP('Données projet'!$B$12,Paramètres!$A$1:$I$89,3,0)*0.475*44/12</f>
        <v>21.956170860627569</v>
      </c>
      <c r="CM153" s="21">
        <f>EXP(-LN(2)/2)*CM152+(1-EXP(-LN(2)/2))/(LN(2)/2)*CG153*CJ153*VLOOKUP('Données projet'!$B$12,Paramètres!$A$1:$I$89,3,0)*0.475*44/12</f>
        <v>0.82915927858770744</v>
      </c>
      <c r="CN153" s="22">
        <f t="shared" si="120"/>
        <v>55.972958379066625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9.3350000000000026</v>
      </c>
      <c r="CT153" s="12">
        <f>IF('Données projet'!$A$140&gt;35,CT152+CS153-DB152,IF(A153&lt;'Données projet'!$A$140,$CQ$205^A153,IF(A153='Données projet'!$A$140,'Données projet'!$B$140,CT152+CS153-DB152)))</f>
        <v>509.15000000000083</v>
      </c>
      <c r="CU153" s="17">
        <f>CT153*VLOOKUP('Données projet'!$B$13,Paramètres!$A$1:$I$89,3,0)*VLOOKUP('Données projet'!$B$13,Paramètres!$A$1:$I$89,5,0)</f>
        <v>548.04906000000085</v>
      </c>
      <c r="CV153" s="13">
        <f t="shared" si="149"/>
        <v>121.21962037072178</v>
      </c>
      <c r="CW153" s="20">
        <f t="shared" si="121"/>
        <v>1165.6429516456753</v>
      </c>
      <c r="CX153" s="59">
        <f t="shared" si="122"/>
        <v>1458.9762849790086</v>
      </c>
      <c r="CY153" s="59">
        <f ca="1">AVERAGE(OFFSET($CX$3,0,0,'Données projet'!$E$13+1,1))-AVERAGE(OFFSET($H$3,0,0,'Données projet'!$E$13+1,1))</f>
        <v>747.18304127457918</v>
      </c>
      <c r="CZ153" s="59">
        <f t="shared" si="150"/>
        <v>327.03701004966723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52.815324669986538</v>
      </c>
      <c r="DG153" s="21">
        <f>EXP(-LN(2)/25)*DG152+(1-EXP(-LN(2)/25))/(LN(2)/25)*Calculateur!DB153*Calculateur!DD153*VLOOKUP('Données projet'!$B$13,Paramètres!$A$1:$I$89,3,0)*0.475*44/12</f>
        <v>23.479406461024123</v>
      </c>
      <c r="DH153" s="21">
        <f>EXP(-LN(2)/2)*DH152+(1-EXP(-LN(2)/2))/(LN(2)/2)*DB153*DE153*VLOOKUP('Données projet'!$B$13,Paramètres!$A$1:$I$89,3,0)*0.475*44/12</f>
        <v>7.4149852524161381E-4</v>
      </c>
      <c r="DI153" s="22">
        <f t="shared" si="123"/>
        <v>76.295472629535908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353.37479213497227</v>
      </c>
      <c r="DU153" s="59">
        <f t="shared" si="152"/>
        <v>345.4750813433123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12.995522024523934</v>
      </c>
      <c r="EB153" s="21">
        <f>EXP(-LN(2)/25)*EB152+(1-EXP(-LN(2)/25))/(LN(2)/25)*Calculateur!DW153*Calculateur!DY153*VLOOKUP('Données projet'!$B$14,Paramètres!$A$1:$I$89,3,0)*0.475*44/12</f>
        <v>7.369437946472277</v>
      </c>
      <c r="EC153" s="21">
        <f>EXP(-LN(2)/2)*EC152+(1-EXP(-LN(2)/2))/(LN(2)/2)*DW153*DZ153*VLOOKUP('Données projet'!$B$14,Paramètres!$A$1:$I$89,3,0)*0.475*44/12</f>
        <v>1.8166995492182134E-9</v>
      </c>
      <c r="ED153" s="22">
        <f t="shared" si="126"/>
        <v>20.364959972812908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-4.5474735088646412E-13</v>
      </c>
      <c r="EK153" s="17">
        <f>EJ153*VLOOKUP('Données projet'!$B$15,Paramètres!$A$1:$I$89,3,0)*VLOOKUP('Données projet'!$B$15,Paramètres!$A$1:$I$89,5,0)</f>
        <v>-2.1282176021486519E-13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433.05041777893922</v>
      </c>
      <c r="EP153" s="59">
        <f t="shared" si="154"/>
        <v>591.24088611958996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144.1614435941645</v>
      </c>
      <c r="EW153" s="21">
        <f>EXP(-LN(2)/25)*EW152+(1-EXP(-LN(2)/25))/(LN(2)/25)*Calculateur!ER153*Calculateur!ET153*VLOOKUP('Données projet'!$B$15,Paramètres!$A$1:$I$89,3,0)*0.475*44/12</f>
        <v>30.828529267942532</v>
      </c>
      <c r="EX153" s="21">
        <f>EXP(-LN(2)/2)*EX152+(1-EXP(-LN(2)/2))/(LN(2)/2)*ER153*EU153*VLOOKUP('Données projet'!$B$15,Paramètres!$A$1:$I$89,3,0)*0.475*44/12</f>
        <v>8.2431582063353144E-6</v>
      </c>
      <c r="EY153" s="22">
        <f t="shared" si="129"/>
        <v>174.98998110526526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-8.5265128291212022E-14</v>
      </c>
      <c r="FF153" s="17">
        <f>FE153*VLOOKUP('Données projet'!$B$16,Paramètres!$A$1:$I$89,3,0)*VLOOKUP('Données projet'!$B$16,Paramètres!$A$1:$I$89,5,0)</f>
        <v>-6.9167072069831198E-14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159.4660488566085</v>
      </c>
      <c r="FK153" s="59">
        <f t="shared" si="156"/>
        <v>135.33030558297088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</v>
      </c>
      <c r="FR153" s="21">
        <f>EXP(-LN(2)/25)*FR152+(1-EXP(-LN(2)/25))/(LN(2)/25)*Calculateur!FM153*Calculateur!FO153*VLOOKUP('Données projet'!$B$16,Paramètres!$A$1:$I$89,3,0)*0.475*44/12</f>
        <v>3.0654100078562507</v>
      </c>
      <c r="FS153" s="21">
        <f>EXP(-LN(2)/2)*FS152+(1-EXP(-LN(2)/2))/(LN(2)/2)*FM153*FP153*VLOOKUP('Données projet'!$B$16,Paramètres!$A$1:$I$89,3,0)*0.475*44/12</f>
        <v>2.3325035742698883E-8</v>
      </c>
      <c r="FT153" s="22">
        <f t="shared" si="132"/>
        <v>3.0654100311812864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9.3350000000000026</v>
      </c>
      <c r="N154" s="13">
        <f>IF('Données projet'!$A$36&gt;35,N153+M154-V153,IF(A154&lt;'Données projet'!$A$36,$K$205^A154,IF(A154='Données projet'!$A$36,'Données projet'!$B$36,N153+M154-V153)))</f>
        <v>518.48500000000081</v>
      </c>
      <c r="O154" s="13">
        <f>N154*VLOOKUP('Données projet'!$B$9,Paramètres!$A$1:$I$89,3,0)*VLOOKUP('Données projet'!$B$9,Paramètres!$A$1:$I$89,5,0)</f>
        <v>525.7437900000009</v>
      </c>
      <c r="P154" s="13">
        <f t="shared" si="141"/>
        <v>116.84983546396843</v>
      </c>
      <c r="Q154" s="20">
        <f t="shared" ref="Q154:Q203" si="162">(O154+P154)*0.475*44/12</f>
        <v>1119.18389768308</v>
      </c>
      <c r="R154" s="59">
        <f t="shared" si="109"/>
        <v>1412.5172310164132</v>
      </c>
      <c r="S154" s="59">
        <f ca="1">AVERAGE(OFFSET($R$3,0,0,'Données projet'!$E$9+1,1))-AVERAGE(OFFSET($H$3,0,0,'Données projet'!$E$9+1,1))</f>
        <v>706.69239849991595</v>
      </c>
      <c r="T154" s="59">
        <f t="shared" si="142"/>
        <v>310.59887275116529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48.777929621440492</v>
      </c>
      <c r="AA154" s="21">
        <f>EXP(-LN(2)/25)*AA153+(1-EXP(-LN(2)/25))/(LN(2)/25)*Calculateur!V154*Calculateur!X154*VLOOKUP('Données projet'!$B$9,Paramètres!$A$1:$I$89,3,0)*0.475*44/12</f>
        <v>21.513455879423784</v>
      </c>
      <c r="AB154" s="21">
        <f>EXP(-LN(2)/2)*AB153+(1-EXP(-LN(2)/2))/(LN(2)/2)*V154*Y154*VLOOKUP('Données projet'!$B$9,Paramètres!$A$1:$I$89,3,0)*0.475*44/12</f>
        <v>4.9392335222436259E-4</v>
      </c>
      <c r="AC154" s="22">
        <f t="shared" ref="AC154:AC203" si="163">SUM(Z154:AB154)</f>
        <v>70.291879424216503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239.26156489359892</v>
      </c>
      <c r="AO154" s="59">
        <f t="shared" si="144"/>
        <v>213.97034450798111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3.2309964794734958</v>
      </c>
      <c r="AV154" s="21">
        <f>EXP(-LN(2)/25)*AV153+(1-EXP(-LN(2)/25))/(LN(2)/25)*Calculateur!AQ154*Calculateur!AS154*VLOOKUP('Données projet'!$B$10,Paramètres!$A$1:$I$89,3,0)*0.475*44/12</f>
        <v>11.768894871167047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14.999891350640542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-1.7053025658242404E-13</v>
      </c>
      <c r="BE154" s="13">
        <f>BD154*VLOOKUP('Données projet'!$B$11,Paramètres!$A$1:$I$89,3,0)*VLOOKUP('Données projet'!$B$11,Paramètres!$A$1:$I$89,5,0)</f>
        <v>-1.4897523215040567E-13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324.86930206492627</v>
      </c>
      <c r="BJ154" s="59">
        <f t="shared" si="146"/>
        <v>317.03005098025352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11.293002864602132</v>
      </c>
      <c r="BQ154" s="21">
        <f>EXP(-LN(2)/25)*BQ153+(1-EXP(-LN(2)/25))/(LN(2)/25)*Calculateur!BL154*Calculateur!BN154*VLOOKUP('Données projet'!$B$11,Paramètres!$A$1:$I$89,3,0)*0.475*44/12</f>
        <v>6.4963568286071025</v>
      </c>
      <c r="BR154" s="21">
        <f>EXP(-LN(2)/2)*BR153+(1-EXP(-LN(2)/2))/(LN(2)/2)*BL154*BO154*VLOOKUP('Données projet'!$B$11,Paramètres!$A$1:$I$89,3,0)*0.475*44/12</f>
        <v>1.1745966336642068E-9</v>
      </c>
      <c r="BS154" s="22">
        <f t="shared" ref="BS154:BS203" si="169">SUM(BP154:BR154)</f>
        <v>17.789359694383833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7.5191666666666634</v>
      </c>
      <c r="BY154" s="12">
        <f>IF('Données projet'!$A$114&gt;35,BY153+BX154-CG153,IF(A154&lt;'Données projet'!$A$114,$BV$205^A154,IF(A154='Données projet'!$A$114,'Données projet'!$B$114,BY153+BX154-CG153)))</f>
        <v>371.60416666666634</v>
      </c>
      <c r="BZ154" s="13">
        <f>BY154*VLOOKUP('Données projet'!$B$12,Paramètres!$A$1:$I$89,3,0)*VLOOKUP('Données projet'!$B$12,Paramètres!$A$1:$I$89,5,0)</f>
        <v>423.18282499999958</v>
      </c>
      <c r="CA154" s="13">
        <f t="shared" ref="CA154:CA203" si="170">EXP(-1.0587+0.8836*LN(BZ154)+0.284)</f>
        <v>96.461105569944294</v>
      </c>
      <c r="CB154" s="20">
        <f t="shared" ref="CB154:CB203" si="171">(BZ154+CA154)*0.475*44/12</f>
        <v>905.04651240931889</v>
      </c>
      <c r="CC154" s="59">
        <f t="shared" si="119"/>
        <v>1198.3798457426522</v>
      </c>
      <c r="CD154" s="59">
        <f ca="1">AVERAGE(OFFSET($CC$3,0,0,'Données projet'!$E$12+1,1))-AVERAGE(OFFSET($H$3,0,0,'Données projet'!$E$12+1,1))</f>
        <v>593.28343396240075</v>
      </c>
      <c r="CE154" s="59">
        <f t="shared" si="148"/>
        <v>289.66477662068695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32.536839092522314</v>
      </c>
      <c r="CL154" s="21">
        <f>EXP(-LN(2)/25)*CL153+(1-EXP(-LN(2)/25))/(LN(2)/25)*Calculateur!CG154*Calculateur!CI154*VLOOKUP('Données projet'!$B$12,Paramètres!$A$1:$I$89,3,0)*0.475*44/12</f>
        <v>21.355778213818866</v>
      </c>
      <c r="CM154" s="21">
        <f>EXP(-LN(2)/2)*CM153+(1-EXP(-LN(2)/2))/(LN(2)/2)*CG154*CJ154*VLOOKUP('Données projet'!$B$12,Paramètres!$A$1:$I$89,3,0)*0.475*44/12</f>
        <v>0.58630414857311364</v>
      </c>
      <c r="CN154" s="22">
        <f t="shared" ref="CN154:CN203" si="172">SUM(CK154:CM154)</f>
        <v>54.478921454914293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9.3350000000000026</v>
      </c>
      <c r="CT154" s="12">
        <f>IF('Données projet'!$A$140&gt;35,CT153+CS154-DB153,IF(A154&lt;'Données projet'!$A$140,$CQ$205^A154,IF(A154='Données projet'!$A$140,'Données projet'!$B$140,CT153+CS154-DB153)))</f>
        <v>518.48500000000081</v>
      </c>
      <c r="CU154" s="17">
        <f>CT154*VLOOKUP('Données projet'!$B$13,Paramètres!$A$1:$I$89,3,0)*VLOOKUP('Données projet'!$B$13,Paramètres!$A$1:$I$89,5,0)</f>
        <v>558.09725400000082</v>
      </c>
      <c r="CV154" s="13">
        <f t="shared" ref="CV154:CV203" si="173">EXP(-1.0587+0.8836*LN(CU154)+0.284)</f>
        <v>123.18133877816828</v>
      </c>
      <c r="CW154" s="20">
        <f t="shared" ref="CW154:CW203" si="174">(CU154+CV154)*0.475*44/12</f>
        <v>1186.5602157553112</v>
      </c>
      <c r="CX154" s="59">
        <f t="shared" si="122"/>
        <v>1479.8935490886445</v>
      </c>
      <c r="CY154" s="59">
        <f ca="1">AVERAGE(OFFSET($CX$3,0,0,'Données projet'!$E$13+1,1))-AVERAGE(OFFSET($H$3,0,0,'Données projet'!$E$13+1,1))</f>
        <v>747.18304127457918</v>
      </c>
      <c r="CZ154" s="59">
        <f t="shared" si="150"/>
        <v>327.03701004966723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51.779648367375266</v>
      </c>
      <c r="DG154" s="21">
        <f>EXP(-LN(2)/25)*DG153+(1-EXP(-LN(2)/25))/(LN(2)/25)*Calculateur!DB154*Calculateur!DD154*VLOOKUP('Données projet'!$B$13,Paramètres!$A$1:$I$89,3,0)*0.475*44/12</f>
        <v>22.837360856619096</v>
      </c>
      <c r="DH154" s="21">
        <f>EXP(-LN(2)/2)*DH153+(1-EXP(-LN(2)/2))/(LN(2)/2)*DB154*DE154*VLOOKUP('Données projet'!$B$13,Paramètres!$A$1:$I$89,3,0)*0.475*44/12</f>
        <v>5.2431863543816949E-4</v>
      </c>
      <c r="DI154" s="22">
        <f t="shared" ref="DI154:DI203" si="175">SUM(DF154:DH154)</f>
        <v>74.617533542629801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353.37479213497227</v>
      </c>
      <c r="DU154" s="59">
        <f t="shared" si="152"/>
        <v>345.4750813433123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12.740687764108779</v>
      </c>
      <c r="EB154" s="21">
        <f>EXP(-LN(2)/25)*EB153+(1-EXP(-LN(2)/25))/(LN(2)/25)*Calculateur!DW154*Calculateur!DY154*VLOOKUP('Données projet'!$B$14,Paramètres!$A$1:$I$89,3,0)*0.475*44/12</f>
        <v>7.1679202782840941</v>
      </c>
      <c r="EC154" s="21">
        <f>EXP(-LN(2)/2)*EC153+(1-EXP(-LN(2)/2))/(LN(2)/2)*DW154*DZ154*VLOOKUP('Données projet'!$B$14,Paramètres!$A$1:$I$89,3,0)*0.475*44/12</f>
        <v>1.2846005706307427E-9</v>
      </c>
      <c r="ED154" s="22">
        <f t="shared" ref="ED154:ED203" si="178">SUM(EA154:EC154)</f>
        <v>19.908608043677475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-4.5474735088646412E-13</v>
      </c>
      <c r="EK154" s="17">
        <f>EJ154*VLOOKUP('Données projet'!$B$15,Paramètres!$A$1:$I$89,3,0)*VLOOKUP('Données projet'!$B$15,Paramètres!$A$1:$I$89,5,0)</f>
        <v>-2.1282176021486519E-13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433.05041777893922</v>
      </c>
      <c r="EP154" s="59">
        <f t="shared" si="154"/>
        <v>591.24088611958996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141.33452561508116</v>
      </c>
      <c r="EW154" s="21">
        <f>EXP(-LN(2)/25)*EW153+(1-EXP(-LN(2)/25))/(LN(2)/25)*Calculateur!ER154*Calculateur!ET154*VLOOKUP('Données projet'!$B$15,Paramètres!$A$1:$I$89,3,0)*0.475*44/12</f>
        <v>29.985521513908747</v>
      </c>
      <c r="EX154" s="21">
        <f>EXP(-LN(2)/2)*EX153+(1-EXP(-LN(2)/2))/(LN(2)/2)*ER154*EU154*VLOOKUP('Données projet'!$B$15,Paramètres!$A$1:$I$89,3,0)*0.475*44/12</f>
        <v>5.8287930660932389E-6</v>
      </c>
      <c r="EY154" s="22">
        <f t="shared" ref="EY154:EY203" si="181">SUM(EV154:EX154)</f>
        <v>171.32005295778296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-8.5265128291212022E-14</v>
      </c>
      <c r="FF154" s="17">
        <f>FE154*VLOOKUP('Données projet'!$B$16,Paramètres!$A$1:$I$89,3,0)*VLOOKUP('Données projet'!$B$16,Paramètres!$A$1:$I$89,5,0)</f>
        <v>-6.9167072069831198E-14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159.4660488566085</v>
      </c>
      <c r="FK154" s="59">
        <f t="shared" si="156"/>
        <v>135.33030558297088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</v>
      </c>
      <c r="FR154" s="21">
        <f>EXP(-LN(2)/25)*FR153+(1-EXP(-LN(2)/25))/(LN(2)/25)*Calculateur!FM154*Calculateur!FO154*VLOOKUP('Données projet'!$B$16,Paramètres!$A$1:$I$89,3,0)*0.475*44/12</f>
        <v>2.9815862099885155</v>
      </c>
      <c r="FS154" s="21">
        <f>EXP(-LN(2)/2)*FS153+(1-EXP(-LN(2)/2))/(LN(2)/2)*FM154*FP154*VLOOKUP('Données projet'!$B$16,Paramètres!$A$1:$I$89,3,0)*0.475*44/12</f>
        <v>1.6493290945080979E-8</v>
      </c>
      <c r="FT154" s="22">
        <f t="shared" ref="FT154:FT203" si="184">SUM(FQ154:FS154)</f>
        <v>2.9815862264818063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9.3350000000000026</v>
      </c>
      <c r="N155" s="13">
        <f>IF('Données projet'!$A$36&gt;35,N154+M155-V154,IF(A155&lt;'Données projet'!$A$36,$K$205^A155,IF(A155='Données projet'!$A$36,'Données projet'!$B$36,N154+M155-V154)))</f>
        <v>527.82000000000085</v>
      </c>
      <c r="O155" s="13">
        <f>N155*VLOOKUP('Données projet'!$B$9,Paramètres!$A$1:$I$89,3,0)*VLOOKUP('Données projet'!$B$9,Paramètres!$A$1:$I$89,5,0)</f>
        <v>535.20948000000089</v>
      </c>
      <c r="P155" s="13">
        <f t="shared" si="141"/>
        <v>118.70682580764394</v>
      </c>
      <c r="Q155" s="20">
        <f t="shared" si="162"/>
        <v>1138.9042326149813</v>
      </c>
      <c r="R155" s="59">
        <f t="shared" si="109"/>
        <v>1432.2375659483146</v>
      </c>
      <c r="S155" s="59">
        <f ca="1">AVERAGE(OFFSET($R$3,0,0,'Données projet'!$E$9+1,1))-AVERAGE(OFFSET($H$3,0,0,'Données projet'!$E$9+1,1))</f>
        <v>706.69239849991595</v>
      </c>
      <c r="T155" s="59">
        <f t="shared" si="142"/>
        <v>310.59887275116529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47.821424173163386</v>
      </c>
      <c r="AA155" s="21">
        <f>EXP(-LN(2)/25)*AA154+(1-EXP(-LN(2)/25))/(LN(2)/25)*Calculateur!V155*Calculateur!X155*VLOOKUP('Données projet'!$B$9,Paramètres!$A$1:$I$89,3,0)*0.475*44/12</f>
        <v>20.925169297057465</v>
      </c>
      <c r="AB155" s="21">
        <f>EXP(-LN(2)/2)*AB154+(1-EXP(-LN(2)/2))/(LN(2)/2)*V155*Y155*VLOOKUP('Données projet'!$B$9,Paramètres!$A$1:$I$89,3,0)*0.475*44/12</f>
        <v>3.492565517442384E-4</v>
      </c>
      <c r="AC155" s="22">
        <f t="shared" si="163"/>
        <v>68.746942726772602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239.26156489359892</v>
      </c>
      <c r="AO155" s="59">
        <f t="shared" si="144"/>
        <v>213.97034450798111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3.1676386092242814</v>
      </c>
      <c r="AV155" s="21">
        <f>EXP(-LN(2)/25)*AV154+(1-EXP(-LN(2)/25))/(LN(2)/25)*Calculateur!AQ155*Calculateur!AS155*VLOOKUP('Données projet'!$B$10,Paramètres!$A$1:$I$89,3,0)*0.475*44/12</f>
        <v>11.447073822015701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14.614712431239983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-1.7053025658242404E-13</v>
      </c>
      <c r="BE155" s="13">
        <f>BD155*VLOOKUP('Données projet'!$B$11,Paramètres!$A$1:$I$89,3,0)*VLOOKUP('Données projet'!$B$11,Paramètres!$A$1:$I$89,5,0)</f>
        <v>-1.4897523215040567E-13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324.86930206492627</v>
      </c>
      <c r="BJ155" s="59">
        <f t="shared" si="146"/>
        <v>317.03005098025352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11.071553966478893</v>
      </c>
      <c r="BQ155" s="21">
        <f>EXP(-LN(2)/25)*BQ154+(1-EXP(-LN(2)/25))/(LN(2)/25)*Calculateur!BL155*Calculateur!BN155*VLOOKUP('Données projet'!$B$11,Paramètres!$A$1:$I$89,3,0)*0.475*44/12</f>
        <v>6.3187136095002829</v>
      </c>
      <c r="BR155" s="21">
        <f>EXP(-LN(2)/2)*BR154+(1-EXP(-LN(2)/2))/(LN(2)/2)*BL155*BO155*VLOOKUP('Données projet'!$B$11,Paramètres!$A$1:$I$89,3,0)*0.475*44/12</f>
        <v>8.3056524482285159E-10</v>
      </c>
      <c r="BS155" s="22">
        <f t="shared" si="169"/>
        <v>17.390267576809741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7.5191666666666634</v>
      </c>
      <c r="BY155" s="12">
        <f>IF('Données projet'!$A$114&gt;35,BY154+BX155-CG154,IF(A155&lt;'Données projet'!$A$114,$BV$205^A155,IF(A155='Données projet'!$A$114,'Données projet'!$B$114,BY154+BX155-CG154)))</f>
        <v>379.12333333333299</v>
      </c>
      <c r="BZ155" s="13">
        <f>BY155*VLOOKUP('Données projet'!$B$12,Paramètres!$A$1:$I$89,3,0)*VLOOKUP('Données projet'!$B$12,Paramètres!$A$1:$I$89,5,0)</f>
        <v>431.74565199999961</v>
      </c>
      <c r="CA155" s="13">
        <f t="shared" si="170"/>
        <v>98.183724241289511</v>
      </c>
      <c r="CB155" s="20">
        <f t="shared" si="171"/>
        <v>922.96033028691181</v>
      </c>
      <c r="CC155" s="59">
        <f t="shared" si="119"/>
        <v>1216.2936636202451</v>
      </c>
      <c r="CD155" s="59">
        <f ca="1">AVERAGE(OFFSET($CC$3,0,0,'Données projet'!$E$12+1,1))-AVERAGE(OFFSET($H$3,0,0,'Données projet'!$E$12+1,1))</f>
        <v>593.28343396240075</v>
      </c>
      <c r="CE155" s="59">
        <f t="shared" si="148"/>
        <v>289.66477662068695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31.898811523430215</v>
      </c>
      <c r="CL155" s="21">
        <f>EXP(-LN(2)/25)*CL154+(1-EXP(-LN(2)/25))/(LN(2)/25)*Calculateur!CG155*Calculateur!CI155*VLOOKUP('Données projet'!$B$12,Paramètres!$A$1:$I$89,3,0)*0.475*44/12</f>
        <v>20.771803335510423</v>
      </c>
      <c r="CM155" s="21">
        <f>EXP(-LN(2)/2)*CM154+(1-EXP(-LN(2)/2))/(LN(2)/2)*CG155*CJ155*VLOOKUP('Données projet'!$B$12,Paramètres!$A$1:$I$89,3,0)*0.475*44/12</f>
        <v>0.41457963929385372</v>
      </c>
      <c r="CN155" s="22">
        <f t="shared" si="172"/>
        <v>53.085194498234493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9.3350000000000026</v>
      </c>
      <c r="CT155" s="12">
        <f>IF('Données projet'!$A$140&gt;35,CT154+CS155-DB154,IF(A155&lt;'Données projet'!$A$140,$CQ$205^A155,IF(A155='Données projet'!$A$140,'Données projet'!$B$140,CT154+CS155-DB154)))</f>
        <v>527.82000000000085</v>
      </c>
      <c r="CU155" s="17">
        <f>CT155*VLOOKUP('Données projet'!$B$13,Paramètres!$A$1:$I$89,3,0)*VLOOKUP('Données projet'!$B$13,Paramètres!$A$1:$I$89,5,0)</f>
        <v>568.1454480000009</v>
      </c>
      <c r="CV155" s="13">
        <f t="shared" si="173"/>
        <v>125.13895006383086</v>
      </c>
      <c r="CW155" s="20">
        <f t="shared" si="174"/>
        <v>1207.4703266278404</v>
      </c>
      <c r="CX155" s="59">
        <f t="shared" si="122"/>
        <v>1500.8036599611737</v>
      </c>
      <c r="CY155" s="59">
        <f ca="1">AVERAGE(OFFSET($CX$3,0,0,'Données projet'!$E$13+1,1))-AVERAGE(OFFSET($H$3,0,0,'Données projet'!$E$13+1,1))</f>
        <v>747.18304127457918</v>
      </c>
      <c r="CZ155" s="59">
        <f t="shared" si="150"/>
        <v>327.03701004966723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50.764281045358032</v>
      </c>
      <c r="DG155" s="21">
        <f>EXP(-LN(2)/25)*DG154+(1-EXP(-LN(2)/25))/(LN(2)/25)*Calculateur!DB155*Calculateur!DD155*VLOOKUP('Données projet'!$B$13,Paramètres!$A$1:$I$89,3,0)*0.475*44/12</f>
        <v>22.212872023030236</v>
      </c>
      <c r="DH155" s="21">
        <f>EXP(-LN(2)/2)*DH154+(1-EXP(-LN(2)/2))/(LN(2)/2)*DB155*DE155*VLOOKUP('Données projet'!$B$13,Paramètres!$A$1:$I$89,3,0)*0.475*44/12</f>
        <v>3.7074926262080691E-4</v>
      </c>
      <c r="DI155" s="22">
        <f t="shared" si="175"/>
        <v>72.977523817650891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353.37479213497227</v>
      </c>
      <c r="DU155" s="59">
        <f t="shared" si="152"/>
        <v>345.4750813433123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12.490850648106814</v>
      </c>
      <c r="EB155" s="21">
        <f>EXP(-LN(2)/25)*EB154+(1-EXP(-LN(2)/25))/(LN(2)/25)*Calculateur!DW155*Calculateur!DY155*VLOOKUP('Données projet'!$B$14,Paramètres!$A$1:$I$89,3,0)*0.475*44/12</f>
        <v>6.9719131213298704</v>
      </c>
      <c r="EC155" s="21">
        <f>EXP(-LN(2)/2)*EC154+(1-EXP(-LN(2)/2))/(LN(2)/2)*DW155*DZ155*VLOOKUP('Données projet'!$B$14,Paramètres!$A$1:$I$89,3,0)*0.475*44/12</f>
        <v>9.083497746091067E-10</v>
      </c>
      <c r="ED155" s="22">
        <f t="shared" si="178"/>
        <v>19.462763770345035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-4.5474735088646412E-13</v>
      </c>
      <c r="EK155" s="17">
        <f>EJ155*VLOOKUP('Données projet'!$B$15,Paramètres!$A$1:$I$89,3,0)*VLOOKUP('Données projet'!$B$15,Paramètres!$A$1:$I$89,5,0)</f>
        <v>-2.1282176021486519E-13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433.05041777893922</v>
      </c>
      <c r="EP155" s="59">
        <f t="shared" si="154"/>
        <v>591.24088611958996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138.56304177331796</v>
      </c>
      <c r="EW155" s="21">
        <f>EXP(-LN(2)/25)*EW154+(1-EXP(-LN(2)/25))/(LN(2)/25)*Calculateur!ER155*Calculateur!ET155*VLOOKUP('Données projet'!$B$15,Paramètres!$A$1:$I$89,3,0)*0.475*44/12</f>
        <v>29.165565851240867</v>
      </c>
      <c r="EX155" s="21">
        <f>EXP(-LN(2)/2)*EX154+(1-EXP(-LN(2)/2))/(LN(2)/2)*ER155*EU155*VLOOKUP('Données projet'!$B$15,Paramètres!$A$1:$I$89,3,0)*0.475*44/12</f>
        <v>4.1215791031676572E-6</v>
      </c>
      <c r="EY155" s="22">
        <f t="shared" si="181"/>
        <v>167.72861174613794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-8.5265128291212022E-14</v>
      </c>
      <c r="FF155" s="17">
        <f>FE155*VLOOKUP('Données projet'!$B$16,Paramètres!$A$1:$I$89,3,0)*VLOOKUP('Données projet'!$B$16,Paramètres!$A$1:$I$89,5,0)</f>
        <v>-6.9167072069831198E-14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159.4660488566085</v>
      </c>
      <c r="FK155" s="59">
        <f t="shared" si="156"/>
        <v>135.33030558297088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</v>
      </c>
      <c r="FR155" s="21">
        <f>EXP(-LN(2)/25)*FR154+(1-EXP(-LN(2)/25))/(LN(2)/25)*Calculateur!FM155*Calculateur!FO155*VLOOKUP('Données projet'!$B$16,Paramètres!$A$1:$I$89,3,0)*0.475*44/12</f>
        <v>2.9000545782815754</v>
      </c>
      <c r="FS155" s="21">
        <f>EXP(-LN(2)/2)*FS154+(1-EXP(-LN(2)/2))/(LN(2)/2)*FM155*FP155*VLOOKUP('Données projet'!$B$16,Paramètres!$A$1:$I$89,3,0)*0.475*44/12</f>
        <v>1.1662517871349442E-8</v>
      </c>
      <c r="FT155" s="22">
        <f t="shared" si="184"/>
        <v>2.9000545899440935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9.3350000000000026</v>
      </c>
      <c r="N156" s="13">
        <f>IF('Données projet'!$A$36&gt;35,N155+M156-V155,IF(A156&lt;'Données projet'!$A$36,$K$205^A156,IF(A156='Données projet'!$A$36,'Données projet'!$B$36,N155+M156-V155)))</f>
        <v>537.15500000000088</v>
      </c>
      <c r="O156" s="13">
        <f>N156*VLOOKUP('Données projet'!$B$9,Paramètres!$A$1:$I$89,3,0)*VLOOKUP('Données projet'!$B$9,Paramètres!$A$1:$I$89,5,0)</f>
        <v>544.67517000000089</v>
      </c>
      <c r="P156" s="13">
        <f t="shared" si="141"/>
        <v>120.55999698924055</v>
      </c>
      <c r="Q156" s="20">
        <f t="shared" si="162"/>
        <v>1158.6179158395955</v>
      </c>
      <c r="R156" s="59">
        <f t="shared" si="109"/>
        <v>1451.9512491729288</v>
      </c>
      <c r="S156" s="59">
        <f ca="1">AVERAGE(OFFSET($R$3,0,0,'Données projet'!$E$9+1,1))-AVERAGE(OFFSET($H$3,0,0,'Données projet'!$E$9+1,1))</f>
        <v>706.69239849991595</v>
      </c>
      <c r="T156" s="59">
        <f t="shared" si="142"/>
        <v>310.59887275116529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46.88367521331628</v>
      </c>
      <c r="AA156" s="21">
        <f>EXP(-LN(2)/25)*AA155+(1-EXP(-LN(2)/25))/(LN(2)/25)*Calculateur!V156*Calculateur!X156*VLOOKUP('Données projet'!$B$9,Paramètres!$A$1:$I$89,3,0)*0.475*44/12</f>
        <v>20.352969442222602</v>
      </c>
      <c r="AB156" s="21">
        <f>EXP(-LN(2)/2)*AB155+(1-EXP(-LN(2)/2))/(LN(2)/2)*V156*Y156*VLOOKUP('Données projet'!$B$9,Paramètres!$A$1:$I$89,3,0)*0.475*44/12</f>
        <v>2.4696167611218129E-4</v>
      </c>
      <c r="AC156" s="22">
        <f t="shared" si="163"/>
        <v>67.236891617214994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239.26156489359892</v>
      </c>
      <c r="AO156" s="59">
        <f t="shared" si="144"/>
        <v>213.97034450798111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3.1055231481661689</v>
      </c>
      <c r="AV156" s="21">
        <f>EXP(-LN(2)/25)*AV155+(1-EXP(-LN(2)/25))/(LN(2)/25)*Calculateur!AQ156*Calculateur!AS156*VLOOKUP('Données projet'!$B$10,Paramètres!$A$1:$I$89,3,0)*0.475*44/12</f>
        <v>11.134052986377233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14.239576134543402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-1.7053025658242404E-13</v>
      </c>
      <c r="BE156" s="13">
        <f>BD156*VLOOKUP('Données projet'!$B$11,Paramètres!$A$1:$I$89,3,0)*VLOOKUP('Données projet'!$B$11,Paramètres!$A$1:$I$89,5,0)</f>
        <v>-1.4897523215040567E-13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324.86930206492627</v>
      </c>
      <c r="BJ156" s="59">
        <f t="shared" si="146"/>
        <v>317.03005098025352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10.85444754617736</v>
      </c>
      <c r="BQ156" s="21">
        <f>EXP(-LN(2)/25)*BQ155+(1-EXP(-LN(2)/25))/(LN(2)/25)*Calculateur!BL156*Calculateur!BN156*VLOOKUP('Données projet'!$B$11,Paramètres!$A$1:$I$89,3,0)*0.475*44/12</f>
        <v>6.1459280535617902</v>
      </c>
      <c r="BR156" s="21">
        <f>EXP(-LN(2)/2)*BR155+(1-EXP(-LN(2)/2))/(LN(2)/2)*BL156*BO156*VLOOKUP('Données projet'!$B$11,Paramètres!$A$1:$I$89,3,0)*0.475*44/12</f>
        <v>5.8729831683210339E-10</v>
      </c>
      <c r="BS156" s="22">
        <f t="shared" si="169"/>
        <v>17.00037560032645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7.5191666666666634</v>
      </c>
      <c r="BY156" s="12">
        <f>IF('Données projet'!$A$114&gt;35,BY155+BX156-CG155,IF(A156&lt;'Données projet'!$A$114,$BV$205^A156,IF(A156='Données projet'!$A$114,'Données projet'!$B$114,BY155+BX156-CG155)))</f>
        <v>386.64249999999964</v>
      </c>
      <c r="BZ156" s="13">
        <f>BY156*VLOOKUP('Données projet'!$B$12,Paramètres!$A$1:$I$89,3,0)*VLOOKUP('Données projet'!$B$12,Paramètres!$A$1:$I$89,5,0)</f>
        <v>440.30847899999958</v>
      </c>
      <c r="CA156" s="13">
        <f t="shared" si="170"/>
        <v>99.902370446319125</v>
      </c>
      <c r="CB156" s="20">
        <f t="shared" si="171"/>
        <v>940.86722945233839</v>
      </c>
      <c r="CC156" s="59">
        <f t="shared" si="119"/>
        <v>1234.2005627856718</v>
      </c>
      <c r="CD156" s="59">
        <f ca="1">AVERAGE(OFFSET($CC$3,0,0,'Données projet'!$E$12+1,1))-AVERAGE(OFFSET($H$3,0,0,'Données projet'!$E$12+1,1))</f>
        <v>593.28343396240075</v>
      </c>
      <c r="CE156" s="59">
        <f t="shared" si="148"/>
        <v>289.66477662068695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31.273295285809624</v>
      </c>
      <c r="CL156" s="21">
        <f>EXP(-LN(2)/25)*CL155+(1-EXP(-LN(2)/25))/(LN(2)/25)*Calculateur!CG156*Calculateur!CI156*VLOOKUP('Données projet'!$B$12,Paramètres!$A$1:$I$89,3,0)*0.475*44/12</f>
        <v>20.203797280959229</v>
      </c>
      <c r="CM156" s="21">
        <f>EXP(-LN(2)/2)*CM155+(1-EXP(-LN(2)/2))/(LN(2)/2)*CG156*CJ156*VLOOKUP('Données projet'!$B$12,Paramètres!$A$1:$I$89,3,0)*0.475*44/12</f>
        <v>0.29315207428655682</v>
      </c>
      <c r="CN156" s="22">
        <f t="shared" si="172"/>
        <v>51.770244641055413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9.3350000000000026</v>
      </c>
      <c r="CT156" s="12">
        <f>IF('Données projet'!$A$140&gt;35,CT155+CS156-DB155,IF(A156&lt;'Données projet'!$A$140,$CQ$205^A156,IF(A156='Données projet'!$A$140,'Données projet'!$B$140,CT155+CS156-DB155)))</f>
        <v>537.15500000000088</v>
      </c>
      <c r="CU156" s="17">
        <f>CT156*VLOOKUP('Données projet'!$B$13,Paramètres!$A$1:$I$89,3,0)*VLOOKUP('Données projet'!$B$13,Paramètres!$A$1:$I$89,5,0)</f>
        <v>578.19364200000098</v>
      </c>
      <c r="CV156" s="13">
        <f t="shared" si="173"/>
        <v>127.0925352462815</v>
      </c>
      <c r="CW156" s="20">
        <f t="shared" si="174"/>
        <v>1228.3734253706086</v>
      </c>
      <c r="CX156" s="59">
        <f t="shared" si="122"/>
        <v>1521.7067587039419</v>
      </c>
      <c r="CY156" s="59">
        <f ca="1">AVERAGE(OFFSET($CX$3,0,0,'Données projet'!$E$13+1,1))-AVERAGE(OFFSET($H$3,0,0,'Données projet'!$E$13+1,1))</f>
        <v>747.18304127457918</v>
      </c>
      <c r="CZ156" s="59">
        <f t="shared" si="150"/>
        <v>327.03701004966723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49.768824457212645</v>
      </c>
      <c r="DG156" s="21">
        <f>EXP(-LN(2)/25)*DG155+(1-EXP(-LN(2)/25))/(LN(2)/25)*Calculateur!DB156*Calculateur!DD156*VLOOKUP('Données projet'!$B$13,Paramètres!$A$1:$I$89,3,0)*0.475*44/12</f>
        <v>21.605459869436302</v>
      </c>
      <c r="DH156" s="21">
        <f>EXP(-LN(2)/2)*DH155+(1-EXP(-LN(2)/2))/(LN(2)/2)*DB156*DE156*VLOOKUP('Données projet'!$B$13,Paramètres!$A$1:$I$89,3,0)*0.475*44/12</f>
        <v>2.6215931771908475E-4</v>
      </c>
      <c r="DI156" s="22">
        <f t="shared" si="175"/>
        <v>71.374546485966661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353.37479213497227</v>
      </c>
      <c r="DU156" s="59">
        <f t="shared" si="152"/>
        <v>345.4750813433123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12.245912685564054</v>
      </c>
      <c r="EB156" s="21">
        <f>EXP(-LN(2)/25)*EB155+(1-EXP(-LN(2)/25))/(LN(2)/25)*Calculateur!DW156*Calculateur!DY156*VLOOKUP('Données projet'!$B$14,Paramètres!$A$1:$I$89,3,0)*0.475*44/12</f>
        <v>6.7812657903901288</v>
      </c>
      <c r="EC156" s="21">
        <f>EXP(-LN(2)/2)*EC155+(1-EXP(-LN(2)/2))/(LN(2)/2)*DW156*DZ156*VLOOKUP('Données projet'!$B$14,Paramètres!$A$1:$I$89,3,0)*0.475*44/12</f>
        <v>6.4230028531537137E-10</v>
      </c>
      <c r="ED156" s="22">
        <f t="shared" si="178"/>
        <v>19.027178476596482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-4.5474735088646412E-13</v>
      </c>
      <c r="EK156" s="17">
        <f>EJ156*VLOOKUP('Données projet'!$B$15,Paramètres!$A$1:$I$89,3,0)*VLOOKUP('Données projet'!$B$15,Paramètres!$A$1:$I$89,5,0)</f>
        <v>-2.1282176021486519E-13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433.05041777893922</v>
      </c>
      <c r="EP156" s="59">
        <f t="shared" si="154"/>
        <v>591.24088611958996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135.84590503925349</v>
      </c>
      <c r="EW156" s="21">
        <f>EXP(-LN(2)/25)*EW155+(1-EXP(-LN(2)/25))/(LN(2)/25)*Calculateur!ER156*Calculateur!ET156*VLOOKUP('Données projet'!$B$15,Paramètres!$A$1:$I$89,3,0)*0.475*44/12</f>
        <v>28.368031919288235</v>
      </c>
      <c r="EX156" s="21">
        <f>EXP(-LN(2)/2)*EX155+(1-EXP(-LN(2)/2))/(LN(2)/2)*ER156*EU156*VLOOKUP('Données projet'!$B$15,Paramètres!$A$1:$I$89,3,0)*0.475*44/12</f>
        <v>2.9143965330466194E-6</v>
      </c>
      <c r="EY156" s="22">
        <f t="shared" si="181"/>
        <v>164.21393987293825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-8.5265128291212022E-14</v>
      </c>
      <c r="FF156" s="17">
        <f>FE156*VLOOKUP('Données projet'!$B$16,Paramètres!$A$1:$I$89,3,0)*VLOOKUP('Données projet'!$B$16,Paramètres!$A$1:$I$89,5,0)</f>
        <v>-6.9167072069831198E-14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159.4660488566085</v>
      </c>
      <c r="FK156" s="59">
        <f t="shared" si="156"/>
        <v>135.33030558297088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</v>
      </c>
      <c r="FR156" s="21">
        <f>EXP(-LN(2)/25)*FR155+(1-EXP(-LN(2)/25))/(LN(2)/25)*Calculateur!FM156*Calculateur!FO156*VLOOKUP('Données projet'!$B$16,Paramètres!$A$1:$I$89,3,0)*0.475*44/12</f>
        <v>2.8207524333312235</v>
      </c>
      <c r="FS156" s="21">
        <f>EXP(-LN(2)/2)*FS155+(1-EXP(-LN(2)/2))/(LN(2)/2)*FM156*FP156*VLOOKUP('Données projet'!$B$16,Paramètres!$A$1:$I$89,3,0)*0.475*44/12</f>
        <v>8.2466454725404894E-9</v>
      </c>
      <c r="FT156" s="22">
        <f t="shared" si="184"/>
        <v>2.8207524415778691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546.49</v>
      </c>
      <c r="L157" s="12">
        <f>VLOOKUP(A157,'Données projet'!$A$35:$I$55,9,0)</f>
        <v>9.3350000000000026</v>
      </c>
      <c r="M157" s="12">
        <f t="array" ref="M157">INDEX(L:L,MIN(IF(ISNUMBER(L157:L353),ROW(L157:L353),"")))</f>
        <v>9.3350000000000026</v>
      </c>
      <c r="N157" s="13">
        <f>IF('Données projet'!$A$36&gt;35,N156+M157-V156,IF(A157&lt;'Données projet'!$A$36,$K$205^A157,IF(A157='Données projet'!$A$36,'Données projet'!$B$36,N156+M157-V156)))</f>
        <v>546.49000000000092</v>
      </c>
      <c r="O157" s="13">
        <f>N157*VLOOKUP('Données projet'!$B$9,Paramètres!$A$1:$I$89,3,0)*VLOOKUP('Données projet'!$B$9,Paramètres!$A$1:$I$89,5,0)</f>
        <v>554.140860000001</v>
      </c>
      <c r="P157" s="13">
        <f t="shared" si="141"/>
        <v>122.40942303871579</v>
      </c>
      <c r="Q157" s="20">
        <f t="shared" si="162"/>
        <v>1178.3250762924317</v>
      </c>
      <c r="R157" s="59">
        <f t="shared" si="109"/>
        <v>1471.658409625765</v>
      </c>
      <c r="S157" s="59">
        <f ca="1">AVERAGE(OFFSET($R$3,0,0,'Données projet'!$E$9+1,1))-AVERAGE(OFFSET($H$3,0,0,'Données projet'!$E$9+1,1))</f>
        <v>706.69239849991595</v>
      </c>
      <c r="T157" s="59">
        <f t="shared" si="142"/>
        <v>310.59887275116529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61.050000000000011</v>
      </c>
      <c r="W157" s="16">
        <f>IF(ISNA(VLOOKUP(A157,'Données projet'!$A$35:$I$55,5,0)),0%,VLOOKUP(A157,'Données projet'!$A$35:$I$55,5,0)*VLOOKUP('Données projet'!$B$9,Paramètres!$A$1:$I$89,7,0))</f>
        <v>0.215</v>
      </c>
      <c r="X157" s="16">
        <f>IF(ISNA(VLOOKUP(A157,'Données projet'!$A$35:$I$55,6,0)),0%,VLOOKUP(A157,'Données projet'!$A$35:$I$55,6,0)*VLOOKUP('Données projet'!$B$9,Paramètres!$A$1:$I$89,7,0))</f>
        <v>8.6000000000000007E-2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60.67758456243417</v>
      </c>
      <c r="AA157" s="21">
        <f>EXP(-LN(2)/25)*AA156+(1-EXP(-LN(2)/25))/(LN(2)/25)*Calculateur!V157*Calculateur!X157*VLOOKUP('Données projet'!$B$9,Paramètres!$A$1:$I$89,3,0)*0.475*44/12</f>
        <v>25.658551572560288</v>
      </c>
      <c r="AB157" s="21">
        <f>EXP(-LN(2)/2)*AB156+(1-EXP(-LN(2)/2))/(LN(2)/2)*V157*Y157*VLOOKUP('Données projet'!$B$9,Paramètres!$A$1:$I$89,3,0)*0.475*44/12</f>
        <v>1.746282758721192E-4</v>
      </c>
      <c r="AC157" s="22">
        <f t="shared" si="163"/>
        <v>86.336310763270333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239.26156489359892</v>
      </c>
      <c r="AO157" s="59">
        <f t="shared" si="144"/>
        <v>213.97034450798111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3.0446257334127158</v>
      </c>
      <c r="AV157" s="21">
        <f>EXP(-LN(2)/25)*AV156+(1-EXP(-LN(2)/25))/(LN(2)/25)*Calculateur!AQ157*Calculateur!AS157*VLOOKUP('Données projet'!$B$10,Paramètres!$A$1:$I$89,3,0)*0.475*44/12</f>
        <v>10.829591721950347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13.874217455363063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-1.7053025658242404E-13</v>
      </c>
      <c r="BE157" s="13">
        <f>BD157*VLOOKUP('Données projet'!$B$11,Paramètres!$A$1:$I$89,3,0)*VLOOKUP('Données projet'!$B$11,Paramètres!$A$1:$I$89,5,0)</f>
        <v>-1.4897523215040567E-13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324.86930206492627</v>
      </c>
      <c r="BJ157" s="59">
        <f t="shared" si="146"/>
        <v>317.03005098025352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10.641598450356099</v>
      </c>
      <c r="BQ157" s="21">
        <f>EXP(-LN(2)/25)*BQ156+(1-EXP(-LN(2)/25))/(LN(2)/25)*Calculateur!BL157*Calculateur!BN157*VLOOKUP('Données projet'!$B$11,Paramètres!$A$1:$I$89,3,0)*0.475*44/12</f>
        <v>5.977867327736833</v>
      </c>
      <c r="BR157" s="21">
        <f>EXP(-LN(2)/2)*BR156+(1-EXP(-LN(2)/2))/(LN(2)/2)*BL157*BO157*VLOOKUP('Données projet'!$B$11,Paramètres!$A$1:$I$89,3,0)*0.475*44/12</f>
        <v>4.152826224114258E-10</v>
      </c>
      <c r="BS157" s="22">
        <f t="shared" si="169"/>
        <v>16.619465778508214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7.5191666666666634</v>
      </c>
      <c r="BY157" s="12">
        <f>IF('Données projet'!$A$114&gt;35,BY156+BX157-CG156,IF(A157&lt;'Données projet'!$A$114,$BV$205^A157,IF(A157='Données projet'!$A$114,'Données projet'!$B$114,BY156+BX157-CG156)))</f>
        <v>394.16166666666629</v>
      </c>
      <c r="BZ157" s="13">
        <f>BY157*VLOOKUP('Données projet'!$B$12,Paramètres!$A$1:$I$89,3,0)*VLOOKUP('Données projet'!$B$12,Paramètres!$A$1:$I$89,5,0)</f>
        <v>448.87130599999961</v>
      </c>
      <c r="CA157" s="13">
        <f t="shared" si="170"/>
        <v>101.6171303446886</v>
      </c>
      <c r="CB157" s="20">
        <f t="shared" si="171"/>
        <v>958.76735996699881</v>
      </c>
      <c r="CC157" s="59">
        <f t="shared" si="119"/>
        <v>1252.1006933003321</v>
      </c>
      <c r="CD157" s="59">
        <f ca="1">AVERAGE(OFFSET($CC$3,0,0,'Données projet'!$E$12+1,1))-AVERAGE(OFFSET($H$3,0,0,'Données projet'!$E$12+1,1))</f>
        <v>593.28343396240075</v>
      </c>
      <c r="CE157" s="59">
        <f t="shared" si="148"/>
        <v>289.66477662068695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30.660045040081538</v>
      </c>
      <c r="CL157" s="21">
        <f>EXP(-LN(2)/25)*CL156+(1-EXP(-LN(2)/25))/(LN(2)/25)*Calculateur!CG157*Calculateur!CI157*VLOOKUP('Données projet'!$B$12,Paramètres!$A$1:$I$89,3,0)*0.475*44/12</f>
        <v>19.651323381839877</v>
      </c>
      <c r="CM157" s="21">
        <f>EXP(-LN(2)/2)*CM156+(1-EXP(-LN(2)/2))/(LN(2)/2)*CG157*CJ157*VLOOKUP('Données projet'!$B$12,Paramètres!$A$1:$I$89,3,0)*0.475*44/12</f>
        <v>0.20728981964692686</v>
      </c>
      <c r="CN157" s="22">
        <f t="shared" si="172"/>
        <v>50.518658241568339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>
        <f>VLOOKUP(A157,'Données projet'!$A$139:$I$159,2,0)</f>
        <v>546.49</v>
      </c>
      <c r="CR157" s="12">
        <f>VLOOKUP(A157,'Données projet'!$A$139:$I$159,9,0)</f>
        <v>9.3350000000000026</v>
      </c>
      <c r="CS157" s="12">
        <f t="array" ref="CS157">INDEX(CR:CR,MIN(IF(ISNUMBER(CR157:CR353),ROW(CR157:CR353),"")))</f>
        <v>9.3350000000000026</v>
      </c>
      <c r="CT157" s="12">
        <f>IF('Données projet'!$A$140&gt;35,CT156+CS157-DB156,IF(A157&lt;'Données projet'!$A$140,$CQ$205^A157,IF(A157='Données projet'!$A$140,'Données projet'!$B$140,CT156+CS157-DB156)))</f>
        <v>546.49000000000092</v>
      </c>
      <c r="CU157" s="17">
        <f>CT157*VLOOKUP('Données projet'!$B$13,Paramètres!$A$1:$I$89,3,0)*VLOOKUP('Données projet'!$B$13,Paramètres!$A$1:$I$89,5,0)</f>
        <v>588.24183600000106</v>
      </c>
      <c r="CV157" s="13">
        <f t="shared" si="173"/>
        <v>129.04217236678744</v>
      </c>
      <c r="CW157" s="20">
        <f t="shared" si="174"/>
        <v>1249.26964790549</v>
      </c>
      <c r="CX157" s="59">
        <f t="shared" si="122"/>
        <v>1542.6029812388233</v>
      </c>
      <c r="CY157" s="59">
        <f ca="1">AVERAGE(OFFSET($CX$3,0,0,'Données projet'!$E$13+1,1))-AVERAGE(OFFSET($H$3,0,0,'Données projet'!$E$13+1,1))</f>
        <v>747.18304127457918</v>
      </c>
      <c r="CZ157" s="59">
        <f t="shared" si="150"/>
        <v>327.03701004966723</v>
      </c>
      <c r="DA157" s="15">
        <f>IF(ISNA(VLOOKUP(A157,'Données projet'!$A$139:$I$159,3,0)),0,VLOOKUP(A157,'Données projet'!$A$139:$I$159,3,0))</f>
        <v>13</v>
      </c>
      <c r="DB157" s="15">
        <f>IF(ISNA(VLOOKUP(A157,'Données projet'!$A$139:$I$159,4,0)),0,VLOOKUP(A157,'Données projet'!$A$139:$I$159,4,0))</f>
        <v>61.050000000000011</v>
      </c>
      <c r="DC157" s="16">
        <f>IF(ISNA(VLOOKUP(A157,'Données projet'!$A$139:$I$159,5,0)),0%,VLOOKUP(A157,'Données projet'!$A$139:$I$159,5,0)*VLOOKUP('Données projet'!$B$13,Paramètres!$A$1:$I$89,7,0))</f>
        <v>0.215</v>
      </c>
      <c r="DD157" s="16">
        <f>IF(ISNA(VLOOKUP(A157,'Données projet'!$A$139:$I$159,6,0)),0%,VLOOKUP(A157,'Données projet'!$A$139:$I$159,6,0)*VLOOKUP('Données projet'!$B$13,Paramètres!$A$1:$I$89,7,0))</f>
        <v>8.6000000000000007E-2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64.411589766276251</v>
      </c>
      <c r="DG157" s="21">
        <f>EXP(-LN(2)/25)*DG156+(1-EXP(-LN(2)/25))/(LN(2)/25)*Calculateur!DB157*Calculateur!DD157*VLOOKUP('Données projet'!$B$13,Paramètres!$A$1:$I$89,3,0)*0.475*44/12</f>
        <v>27.237539361640916</v>
      </c>
      <c r="DH157" s="21">
        <f>EXP(-LN(2)/2)*DH156+(1-EXP(-LN(2)/2))/(LN(2)/2)*DB157*DE157*VLOOKUP('Données projet'!$B$13,Paramètres!$A$1:$I$89,3,0)*0.475*44/12</f>
        <v>1.8537463131040345E-4</v>
      </c>
      <c r="DI157" s="22">
        <f t="shared" si="175"/>
        <v>91.649314502548478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353.37479213497227</v>
      </c>
      <c r="DU157" s="59">
        <f t="shared" si="152"/>
        <v>345.4750813433123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12.005777807069352</v>
      </c>
      <c r="EB157" s="21">
        <f>EXP(-LN(2)/25)*EB156+(1-EXP(-LN(2)/25))/(LN(2)/25)*Calculateur!DW157*Calculateur!DY157*VLOOKUP('Données projet'!$B$14,Paramètres!$A$1:$I$89,3,0)*0.475*44/12</f>
        <v>6.5958317207406418</v>
      </c>
      <c r="EC157" s="21">
        <f>EXP(-LN(2)/2)*EC156+(1-EXP(-LN(2)/2))/(LN(2)/2)*DW157*DZ157*VLOOKUP('Données projet'!$B$14,Paramètres!$A$1:$I$89,3,0)*0.475*44/12</f>
        <v>4.5417488730455335E-10</v>
      </c>
      <c r="ED157" s="22">
        <f t="shared" si="178"/>
        <v>18.60160952826417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-4.5474735088646412E-13</v>
      </c>
      <c r="EK157" s="17">
        <f>EJ157*VLOOKUP('Données projet'!$B$15,Paramètres!$A$1:$I$89,3,0)*VLOOKUP('Données projet'!$B$15,Paramètres!$A$1:$I$89,5,0)</f>
        <v>-2.1282176021486519E-13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433.05041777893922</v>
      </c>
      <c r="EP157" s="59">
        <f t="shared" si="154"/>
        <v>591.24088611958996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133.18204969925426</v>
      </c>
      <c r="EW157" s="21">
        <f>EXP(-LN(2)/25)*EW156+(1-EXP(-LN(2)/25))/(LN(2)/25)*Calculateur!ER157*Calculateur!ET157*VLOOKUP('Données projet'!$B$15,Paramètres!$A$1:$I$89,3,0)*0.475*44/12</f>
        <v>27.592306594645336</v>
      </c>
      <c r="EX157" s="21">
        <f>EXP(-LN(2)/2)*EX156+(1-EXP(-LN(2)/2))/(LN(2)/2)*ER157*EU157*VLOOKUP('Données projet'!$B$15,Paramètres!$A$1:$I$89,3,0)*0.475*44/12</f>
        <v>2.0607895515838286E-6</v>
      </c>
      <c r="EY157" s="22">
        <f t="shared" si="181"/>
        <v>160.77435835468913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-8.5265128291212022E-14</v>
      </c>
      <c r="FF157" s="17">
        <f>FE157*VLOOKUP('Données projet'!$B$16,Paramètres!$A$1:$I$89,3,0)*VLOOKUP('Données projet'!$B$16,Paramètres!$A$1:$I$89,5,0)</f>
        <v>-6.9167072069831198E-14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159.4660488566085</v>
      </c>
      <c r="FK157" s="59">
        <f t="shared" si="156"/>
        <v>135.33030558297088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</v>
      </c>
      <c r="FR157" s="21">
        <f>EXP(-LN(2)/25)*FR156+(1-EXP(-LN(2)/25))/(LN(2)/25)*Calculateur!FM157*Calculateur!FO157*VLOOKUP('Données projet'!$B$16,Paramètres!$A$1:$I$89,3,0)*0.475*44/12</f>
        <v>2.7436188097048575</v>
      </c>
      <c r="FS157" s="21">
        <f>EXP(-LN(2)/2)*FS156+(1-EXP(-LN(2)/2))/(LN(2)/2)*FM157*FP157*VLOOKUP('Données projet'!$B$16,Paramètres!$A$1:$I$89,3,0)*0.475*44/12</f>
        <v>5.8312589356747208E-9</v>
      </c>
      <c r="FT157" s="22">
        <f t="shared" si="184"/>
        <v>2.7436188155361165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9.4880000000000049</v>
      </c>
      <c r="N158" s="13">
        <f>IF('Données projet'!$A$36&gt;35,N157+M158-V157,IF(A158&lt;'Données projet'!$A$36,$K$205^A158,IF(A158='Données projet'!$A$36,'Données projet'!$B$36,N157+M158-V157)))</f>
        <v>494.92800000000096</v>
      </c>
      <c r="O158" s="13">
        <f>N158*VLOOKUP('Données projet'!$B$9,Paramètres!$A$1:$I$89,3,0)*VLOOKUP('Données projet'!$B$9,Paramètres!$A$1:$I$89,5,0)</f>
        <v>501.85699200000107</v>
      </c>
      <c r="P158" s="13">
        <f t="shared" si="141"/>
        <v>112.14619280341684</v>
      </c>
      <c r="Q158" s="20">
        <f t="shared" si="162"/>
        <v>1069.3888801992859</v>
      </c>
      <c r="R158" s="59">
        <f t="shared" si="109"/>
        <v>1362.7222135326192</v>
      </c>
      <c r="S158" s="59">
        <f ca="1">AVERAGE(OFFSET($R$3,0,0,'Données projet'!$E$9+1,1))-AVERAGE(OFFSET($H$3,0,0,'Données projet'!$E$9+1,1))</f>
        <v>706.69239849991595</v>
      </c>
      <c r="T158" s="59">
        <f t="shared" si="142"/>
        <v>310.59887275116529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59.48773413883702</v>
      </c>
      <c r="AA158" s="21">
        <f>EXP(-LN(2)/25)*AA157+(1-EXP(-LN(2)/25))/(LN(2)/25)*Calculateur!V158*Calculateur!X158*VLOOKUP('Données projet'!$B$9,Paramètres!$A$1:$I$89,3,0)*0.475*44/12</f>
        <v>24.956917130484044</v>
      </c>
      <c r="AB158" s="21">
        <f>EXP(-LN(2)/2)*AB157+(1-EXP(-LN(2)/2))/(LN(2)/2)*V158*Y158*VLOOKUP('Données projet'!$B$9,Paramètres!$A$1:$I$89,3,0)*0.475*44/12</f>
        <v>1.2348083805609065E-4</v>
      </c>
      <c r="AC158" s="22">
        <f t="shared" si="163"/>
        <v>84.444774750159127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239.26156489359892</v>
      </c>
      <c r="AO158" s="59">
        <f t="shared" si="144"/>
        <v>213.97034450798111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2.9849224798188225</v>
      </c>
      <c r="AV158" s="21">
        <f>EXP(-LN(2)/25)*AV157+(1-EXP(-LN(2)/25))/(LN(2)/25)*Calculateur!AQ158*Calculateur!AS158*VLOOKUP('Données projet'!$B$10,Paramètres!$A$1:$I$89,3,0)*0.475*44/12</f>
        <v>10.533455966810138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13.51837844662896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-1.7053025658242404E-13</v>
      </c>
      <c r="BE158" s="13">
        <f>BD158*VLOOKUP('Données projet'!$B$11,Paramètres!$A$1:$I$89,3,0)*VLOOKUP('Données projet'!$B$11,Paramètres!$A$1:$I$89,5,0)</f>
        <v>-1.4897523215040567E-13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324.86930206492627</v>
      </c>
      <c r="BJ158" s="59">
        <f t="shared" si="146"/>
        <v>317.03005098025352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10.432923195478764</v>
      </c>
      <c r="BQ158" s="21">
        <f>EXP(-LN(2)/25)*BQ157+(1-EXP(-LN(2)/25))/(LN(2)/25)*Calculateur!BL158*Calculateur!BN158*VLOOKUP('Données projet'!$B$11,Paramètres!$A$1:$I$89,3,0)*0.475*44/12</f>
        <v>5.814402231297489</v>
      </c>
      <c r="BR158" s="21">
        <f>EXP(-LN(2)/2)*BR157+(1-EXP(-LN(2)/2))/(LN(2)/2)*BL158*BO158*VLOOKUP('Données projet'!$B$11,Paramètres!$A$1:$I$89,3,0)*0.475*44/12</f>
        <v>2.9364915841605169E-10</v>
      </c>
      <c r="BS158" s="22">
        <f t="shared" si="169"/>
        <v>16.247325427069903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7.5191666666666634</v>
      </c>
      <c r="BY158" s="12">
        <f>IF('Données projet'!$A$114&gt;35,BY157+BX158-CG157,IF(A158&lt;'Données projet'!$A$114,$BV$205^A158,IF(A158='Données projet'!$A$114,'Données projet'!$B$114,BY157+BX158-CG157)))</f>
        <v>401.68083333333294</v>
      </c>
      <c r="BZ158" s="13">
        <f>BY158*VLOOKUP('Données projet'!$B$12,Paramètres!$A$1:$I$89,3,0)*VLOOKUP('Données projet'!$B$12,Paramètres!$A$1:$I$89,5,0)</f>
        <v>457.43413299999958</v>
      </c>
      <c r="CA158" s="13">
        <f t="shared" si="170"/>
        <v>103.32808662074075</v>
      </c>
      <c r="CB158" s="20">
        <f t="shared" si="171"/>
        <v>976.66086583945616</v>
      </c>
      <c r="CC158" s="59">
        <f t="shared" si="119"/>
        <v>1269.9941991727894</v>
      </c>
      <c r="CD158" s="59">
        <f ca="1">AVERAGE(OFFSET($CC$3,0,0,'Données projet'!$E$12+1,1))-AVERAGE(OFFSET($H$3,0,0,'Données projet'!$E$12+1,1))</f>
        <v>593.28343396240075</v>
      </c>
      <c r="CE158" s="59">
        <f t="shared" si="148"/>
        <v>289.66477662068695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30.058820257626465</v>
      </c>
      <c r="CL158" s="21">
        <f>EXP(-LN(2)/25)*CL157+(1-EXP(-LN(2)/25))/(LN(2)/25)*Calculateur!CG158*Calculateur!CI158*VLOOKUP('Données projet'!$B$12,Paramètres!$A$1:$I$89,3,0)*0.475*44/12</f>
        <v>19.113956910545284</v>
      </c>
      <c r="CM158" s="21">
        <f>EXP(-LN(2)/2)*CM157+(1-EXP(-LN(2)/2))/(LN(2)/2)*CG158*CJ158*VLOOKUP('Données projet'!$B$12,Paramètres!$A$1:$I$89,3,0)*0.475*44/12</f>
        <v>0.14657603714327841</v>
      </c>
      <c r="CN158" s="22">
        <f t="shared" si="172"/>
        <v>49.319353205315025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9.4880000000000049</v>
      </c>
      <c r="CT158" s="12">
        <f>IF('Données projet'!$A$140&gt;35,CT157+CS158-DB157,IF(A158&lt;'Données projet'!$A$140,$CQ$205^A158,IF(A158='Données projet'!$A$140,'Données projet'!$B$140,CT157+CS158-DB157)))</f>
        <v>494.92800000000096</v>
      </c>
      <c r="CU158" s="17">
        <f>CT158*VLOOKUP('Données projet'!$B$13,Paramètres!$A$1:$I$89,3,0)*VLOOKUP('Données projet'!$B$13,Paramètres!$A$1:$I$89,5,0)</f>
        <v>532.74049920000095</v>
      </c>
      <c r="CV158" s="13">
        <f t="shared" si="173"/>
        <v>118.2228294421452</v>
      </c>
      <c r="CW158" s="20">
        <f t="shared" si="174"/>
        <v>1133.7611307184045</v>
      </c>
      <c r="CX158" s="59">
        <f t="shared" si="122"/>
        <v>1427.0944640517378</v>
      </c>
      <c r="CY158" s="59">
        <f ca="1">AVERAGE(OFFSET($CX$3,0,0,'Données projet'!$E$13+1,1))-AVERAGE(OFFSET($H$3,0,0,'Données projet'!$E$13+1,1))</f>
        <v>747.18304127457918</v>
      </c>
      <c r="CZ158" s="59">
        <f t="shared" si="150"/>
        <v>327.03701004966723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63.148517778150044</v>
      </c>
      <c r="DG158" s="21">
        <f>EXP(-LN(2)/25)*DG157+(1-EXP(-LN(2)/25))/(LN(2)/25)*Calculateur!DB158*Calculateur!DD158*VLOOKUP('Données projet'!$B$13,Paramètres!$A$1:$I$89,3,0)*0.475*44/12</f>
        <v>26.492727415436903</v>
      </c>
      <c r="DH158" s="21">
        <f>EXP(-LN(2)/2)*DH157+(1-EXP(-LN(2)/2))/(LN(2)/2)*DB158*DE158*VLOOKUP('Données projet'!$B$13,Paramètres!$A$1:$I$89,3,0)*0.475*44/12</f>
        <v>1.3107965885954237E-4</v>
      </c>
      <c r="DI158" s="22">
        <f t="shared" si="175"/>
        <v>89.641376273245797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353.37479213497227</v>
      </c>
      <c r="DU158" s="59">
        <f t="shared" si="152"/>
        <v>345.4750813433123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11.770351827074117</v>
      </c>
      <c r="EB158" s="21">
        <f>EXP(-LN(2)/25)*EB157+(1-EXP(-LN(2)/25))/(LN(2)/25)*Calculateur!DW158*Calculateur!DY158*VLOOKUP('Données projet'!$B$14,Paramètres!$A$1:$I$89,3,0)*0.475*44/12</f>
        <v>6.415468355477274</v>
      </c>
      <c r="EC158" s="21">
        <f>EXP(-LN(2)/2)*EC157+(1-EXP(-LN(2)/2))/(LN(2)/2)*DW158*DZ158*VLOOKUP('Données projet'!$B$14,Paramètres!$A$1:$I$89,3,0)*0.475*44/12</f>
        <v>3.2115014265768568E-10</v>
      </c>
      <c r="ED158" s="22">
        <f t="shared" si="178"/>
        <v>18.185820182872543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-4.5474735088646412E-13</v>
      </c>
      <c r="EK158" s="17">
        <f>EJ158*VLOOKUP('Données projet'!$B$15,Paramètres!$A$1:$I$89,3,0)*VLOOKUP('Données projet'!$B$15,Paramètres!$A$1:$I$89,5,0)</f>
        <v>-2.1282176021486519E-13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433.05041777893922</v>
      </c>
      <c r="EP158" s="59">
        <f t="shared" si="154"/>
        <v>591.24088611958996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130.5704309376811</v>
      </c>
      <c r="EW158" s="21">
        <f>EXP(-LN(2)/25)*EW157+(1-EXP(-LN(2)/25))/(LN(2)/25)*Calculateur!ER158*Calculateur!ET158*VLOOKUP('Données projet'!$B$15,Paramètres!$A$1:$I$89,3,0)*0.475*44/12</f>
        <v>26.837793519798417</v>
      </c>
      <c r="EX158" s="21">
        <f>EXP(-LN(2)/2)*EX157+(1-EXP(-LN(2)/2))/(LN(2)/2)*ER158*EU158*VLOOKUP('Données projet'!$B$15,Paramètres!$A$1:$I$89,3,0)*0.475*44/12</f>
        <v>1.4571982665233097E-6</v>
      </c>
      <c r="EY158" s="22">
        <f t="shared" si="181"/>
        <v>157.40822591467779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-8.5265128291212022E-14</v>
      </c>
      <c r="FF158" s="17">
        <f>FE158*VLOOKUP('Données projet'!$B$16,Paramètres!$A$1:$I$89,3,0)*VLOOKUP('Données projet'!$B$16,Paramètres!$A$1:$I$89,5,0)</f>
        <v>-6.9167072069831198E-14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159.4660488566085</v>
      </c>
      <c r="FK158" s="59">
        <f t="shared" si="156"/>
        <v>135.33030558297088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</v>
      </c>
      <c r="FR158" s="21">
        <f>EXP(-LN(2)/25)*FR157+(1-EXP(-LN(2)/25))/(LN(2)/25)*Calculateur!FM158*Calculateur!FO158*VLOOKUP('Données projet'!$B$16,Paramètres!$A$1:$I$89,3,0)*0.475*44/12</f>
        <v>2.6685944090728357</v>
      </c>
      <c r="FS158" s="21">
        <f>EXP(-LN(2)/2)*FS157+(1-EXP(-LN(2)/2))/(LN(2)/2)*FM158*FP158*VLOOKUP('Données projet'!$B$16,Paramètres!$A$1:$I$89,3,0)*0.475*44/12</f>
        <v>4.1233227362702447E-9</v>
      </c>
      <c r="FT158" s="22">
        <f t="shared" si="184"/>
        <v>2.6685944131961583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9.4880000000000049</v>
      </c>
      <c r="N159" s="13">
        <f>IF('Données projet'!$A$36&gt;35,N158+M159-V158,IF(A159&lt;'Données projet'!$A$36,$K$205^A159,IF(A159='Données projet'!$A$36,'Données projet'!$B$36,N158+M159-V158)))</f>
        <v>504.41600000000096</v>
      </c>
      <c r="O159" s="13">
        <f>N159*VLOOKUP('Données projet'!$B$9,Paramètres!$A$1:$I$89,3,0)*VLOOKUP('Données projet'!$B$9,Paramètres!$A$1:$I$89,5,0)</f>
        <v>511.47782400000102</v>
      </c>
      <c r="P159" s="13">
        <f t="shared" si="141"/>
        <v>114.04373524085221</v>
      </c>
      <c r="Q159" s="20">
        <f t="shared" si="162"/>
        <v>1089.4500490111525</v>
      </c>
      <c r="R159" s="59">
        <f t="shared" si="109"/>
        <v>1382.7833823444857</v>
      </c>
      <c r="S159" s="59">
        <f ca="1">AVERAGE(OFFSET($R$3,0,0,'Données projet'!$E$9+1,1))-AVERAGE(OFFSET($H$3,0,0,'Données projet'!$E$9+1,1))</f>
        <v>706.69239849991595</v>
      </c>
      <c r="T159" s="59">
        <f t="shared" si="142"/>
        <v>310.59887275116529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58.321215956309508</v>
      </c>
      <c r="AA159" s="21">
        <f>EXP(-LN(2)/25)*AA158+(1-EXP(-LN(2)/25))/(LN(2)/25)*Calculateur!V159*Calculateur!X159*VLOOKUP('Données projet'!$B$9,Paramètres!$A$1:$I$89,3,0)*0.475*44/12</f>
        <v>24.274468919123727</v>
      </c>
      <c r="AB159" s="21">
        <f>EXP(-LN(2)/2)*AB158+(1-EXP(-LN(2)/2))/(LN(2)/2)*V159*Y159*VLOOKUP('Données projet'!$B$9,Paramètres!$A$1:$I$89,3,0)*0.475*44/12</f>
        <v>8.7314137936059599E-5</v>
      </c>
      <c r="AC159" s="22">
        <f t="shared" si="163"/>
        <v>82.595772189571179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239.26156489359892</v>
      </c>
      <c r="AO159" s="59">
        <f t="shared" si="144"/>
        <v>213.97034450798111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2.9263899706125165</v>
      </c>
      <c r="AV159" s="21">
        <f>EXP(-LN(2)/25)*AV158+(1-EXP(-LN(2)/25))/(LN(2)/25)*Calculateur!AQ159*Calculateur!AS159*VLOOKUP('Données projet'!$B$10,Paramètres!$A$1:$I$89,3,0)*0.475*44/12</f>
        <v>10.24541805946734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13.171808030079857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-1.7053025658242404E-13</v>
      </c>
      <c r="BE159" s="13">
        <f>BD159*VLOOKUP('Données projet'!$B$11,Paramètres!$A$1:$I$89,3,0)*VLOOKUP('Données projet'!$B$11,Paramètres!$A$1:$I$89,5,0)</f>
        <v>-1.4897523215040567E-13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324.86930206492627</v>
      </c>
      <c r="BJ159" s="59">
        <f t="shared" si="146"/>
        <v>317.03005098025352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10.228339935070236</v>
      </c>
      <c r="BQ159" s="21">
        <f>EXP(-LN(2)/25)*BQ158+(1-EXP(-LN(2)/25))/(LN(2)/25)*Calculateur!BL159*Calculateur!BN159*VLOOKUP('Données projet'!$B$11,Paramètres!$A$1:$I$89,3,0)*0.475*44/12</f>
        <v>5.6554070965165346</v>
      </c>
      <c r="BR159" s="21">
        <f>EXP(-LN(2)/2)*BR158+(1-EXP(-LN(2)/2))/(LN(2)/2)*BL159*BO159*VLOOKUP('Données projet'!$B$11,Paramètres!$A$1:$I$89,3,0)*0.475*44/12</f>
        <v>2.076413112057129E-10</v>
      </c>
      <c r="BS159" s="22">
        <f t="shared" si="169"/>
        <v>15.883747031794414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>
        <f>VLOOKUP(A159,'Données projet'!$A$113:$I$133,2,0)</f>
        <v>409.2</v>
      </c>
      <c r="BW159" s="12">
        <f>VLOOKUP(A159,'Données projet'!$A$113:$I$133,9,0)</f>
        <v>7.5191666666666634</v>
      </c>
      <c r="BX159" s="12">
        <f t="array" ref="BX159">INDEX(BW:BW,MIN(IF(ISNUMBER(BW159:BW355),ROW(BW159:BW355),"")))</f>
        <v>7.5191666666666634</v>
      </c>
      <c r="BY159" s="12">
        <f>IF('Données projet'!$A$114&gt;35,BY158+BX159-CG158,IF(A159&lt;'Données projet'!$A$114,$BV$205^A159,IF(A159='Données projet'!$A$114,'Données projet'!$B$114,BY158+BX159-CG158)))</f>
        <v>409.19999999999959</v>
      </c>
      <c r="BZ159" s="13">
        <f>BY159*VLOOKUP('Données projet'!$B$12,Paramètres!$A$1:$I$89,3,0)*VLOOKUP('Données projet'!$B$12,Paramètres!$A$1:$I$89,5,0)</f>
        <v>465.99695999999949</v>
      </c>
      <c r="CA159" s="13">
        <f t="shared" si="170"/>
        <v>105.03531868607018</v>
      </c>
      <c r="CB159" s="20">
        <f t="shared" si="171"/>
        <v>994.54788537823799</v>
      </c>
      <c r="CC159" s="59">
        <f t="shared" si="119"/>
        <v>1287.8812187115714</v>
      </c>
      <c r="CD159" s="59">
        <f ca="1">AVERAGE(OFFSET($CC$3,0,0,'Données projet'!$E$12+1,1))-AVERAGE(OFFSET($H$3,0,0,'Données projet'!$E$12+1,1))</f>
        <v>593.28343396240075</v>
      </c>
      <c r="CE159" s="59">
        <f t="shared" si="148"/>
        <v>289.66477662068695</v>
      </c>
      <c r="CF159" s="15">
        <f>IF(ISNA(VLOOKUP(A159,'Données projet'!$A$113:$I$133,3,0)),0,VLOOKUP(A159,'Données projet'!$A$113:$I$133,3,0))</f>
        <v>11</v>
      </c>
      <c r="CG159" s="15">
        <f>IF(ISNA(VLOOKUP(A159,'Données projet'!$A$113:$I$133,4,0)),0,VLOOKUP(A159,'Données projet'!$A$113:$I$133,4,0))</f>
        <v>65.69</v>
      </c>
      <c r="CH159" s="16">
        <f>IF(ISNA(VLOOKUP(A159,'Données projet'!$A$113:$I$133,5,0)),0%,VLOOKUP(A159,'Données projet'!$A$113:$I$133,5,0)*VLOOKUP('Données projet'!$B$12,Paramètres!$A$1:$I$89,7,0))</f>
        <v>0.215</v>
      </c>
      <c r="CI159" s="16">
        <f>IF(ISNA(VLOOKUP(A159,'Données projet'!$A$113:$I$133,6,0)),0%,VLOOKUP(A159,'Données projet'!$A$113:$I$133,6,0)*VLOOKUP('Données projet'!$B$12,Paramètres!$A$1:$I$89,7,0))</f>
        <v>8.6000000000000007E-2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47.249406988988127</v>
      </c>
      <c r="CL159" s="21">
        <f>EXP(-LN(2)/25)*CL158+(1-EXP(-LN(2)/25))/(LN(2)/25)*Calculateur!CG159*Calculateur!CI159*VLOOKUP('Données projet'!$B$12,Paramètres!$A$1:$I$89,3,0)*0.475*44/12</f>
        <v>25.675290810367677</v>
      </c>
      <c r="CM159" s="21">
        <f>EXP(-LN(2)/2)*CM158+(1-EXP(-LN(2)/2))/(LN(2)/2)*CG159*CJ159*VLOOKUP('Données projet'!$B$12,Paramètres!$A$1:$I$89,3,0)*0.475*44/12</f>
        <v>0.10364490982346343</v>
      </c>
      <c r="CN159" s="22">
        <f t="shared" si="172"/>
        <v>73.02834270917927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9.4880000000000049</v>
      </c>
      <c r="CT159" s="12">
        <f>IF('Données projet'!$A$140&gt;35,CT158+CS159-DB158,IF(A159&lt;'Données projet'!$A$140,$CQ$205^A159,IF(A159='Données projet'!$A$140,'Données projet'!$B$140,CT158+CS159-DB158)))</f>
        <v>504.41600000000096</v>
      </c>
      <c r="CU159" s="17">
        <f>CT159*VLOOKUP('Données projet'!$B$13,Paramètres!$A$1:$I$89,3,0)*VLOOKUP('Données projet'!$B$13,Paramètres!$A$1:$I$89,5,0)</f>
        <v>542.95338240000103</v>
      </c>
      <c r="CV159" s="13">
        <f t="shared" si="173"/>
        <v>120.2231901350257</v>
      </c>
      <c r="CW159" s="20">
        <f t="shared" si="174"/>
        <v>1155.0325304985047</v>
      </c>
      <c r="CX159" s="59">
        <f t="shared" si="122"/>
        <v>1448.3658638318379</v>
      </c>
      <c r="CY159" s="59">
        <f ca="1">AVERAGE(OFFSET($CX$3,0,0,'Données projet'!$E$13+1,1))-AVERAGE(OFFSET($H$3,0,0,'Données projet'!$E$13+1,1))</f>
        <v>747.18304127457918</v>
      </c>
      <c r="CZ159" s="59">
        <f t="shared" si="150"/>
        <v>327.03701004966723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61.910213861313146</v>
      </c>
      <c r="DG159" s="21">
        <f>EXP(-LN(2)/25)*DG158+(1-EXP(-LN(2)/25))/(LN(2)/25)*Calculateur!DB159*Calculateur!DD159*VLOOKUP('Données projet'!$B$13,Paramètres!$A$1:$I$89,3,0)*0.475*44/12</f>
        <v>25.768282391069796</v>
      </c>
      <c r="DH159" s="21">
        <f>EXP(-LN(2)/2)*DH158+(1-EXP(-LN(2)/2))/(LN(2)/2)*DB159*DE159*VLOOKUP('Données projet'!$B$13,Paramètres!$A$1:$I$89,3,0)*0.475*44/12</f>
        <v>9.2687315655201727E-5</v>
      </c>
      <c r="DI159" s="22">
        <f t="shared" si="175"/>
        <v>87.678588939698599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353.37479213497227</v>
      </c>
      <c r="DU159" s="59">
        <f t="shared" si="152"/>
        <v>345.4750813433123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11.53954240695092</v>
      </c>
      <c r="EB159" s="21">
        <f>EXP(-LN(2)/25)*EB158+(1-EXP(-LN(2)/25))/(LN(2)/25)*Calculateur!DW159*Calculateur!DY159*VLOOKUP('Données projet'!$B$14,Paramètres!$A$1:$I$89,3,0)*0.475*44/12</f>
        <v>6.2400370359219295</v>
      </c>
      <c r="EC159" s="21">
        <f>EXP(-LN(2)/2)*EC158+(1-EXP(-LN(2)/2))/(LN(2)/2)*DW159*DZ159*VLOOKUP('Données projet'!$B$14,Paramètres!$A$1:$I$89,3,0)*0.475*44/12</f>
        <v>2.2708744365227668E-10</v>
      </c>
      <c r="ED159" s="22">
        <f t="shared" si="178"/>
        <v>17.779579443099937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-4.5474735088646412E-13</v>
      </c>
      <c r="EK159" s="17">
        <f>EJ159*VLOOKUP('Données projet'!$B$15,Paramètres!$A$1:$I$89,3,0)*VLOOKUP('Données projet'!$B$15,Paramètres!$A$1:$I$89,5,0)</f>
        <v>-2.1282176021486519E-13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433.05041777893922</v>
      </c>
      <c r="EP159" s="59">
        <f t="shared" si="154"/>
        <v>591.24088611958996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128.01002442709225</v>
      </c>
      <c r="EW159" s="21">
        <f>EXP(-LN(2)/25)*EW158+(1-EXP(-LN(2)/25))/(LN(2)/25)*Calculateur!ER159*Calculateur!ET159*VLOOKUP('Données projet'!$B$15,Paramètres!$A$1:$I$89,3,0)*0.475*44/12</f>
        <v>26.103912644661307</v>
      </c>
      <c r="EX159" s="21">
        <f>EXP(-LN(2)/2)*EX158+(1-EXP(-LN(2)/2))/(LN(2)/2)*ER159*EU159*VLOOKUP('Données projet'!$B$15,Paramètres!$A$1:$I$89,3,0)*0.475*44/12</f>
        <v>1.0303947757919143E-6</v>
      </c>
      <c r="EY159" s="22">
        <f t="shared" si="181"/>
        <v>154.11393810214832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-8.5265128291212022E-14</v>
      </c>
      <c r="FF159" s="17">
        <f>FE159*VLOOKUP('Données projet'!$B$16,Paramètres!$A$1:$I$89,3,0)*VLOOKUP('Données projet'!$B$16,Paramètres!$A$1:$I$89,5,0)</f>
        <v>-6.9167072069831198E-14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159.4660488566085</v>
      </c>
      <c r="FK159" s="59">
        <f t="shared" si="156"/>
        <v>135.33030558297088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</v>
      </c>
      <c r="FR159" s="21">
        <f>EXP(-LN(2)/25)*FR158+(1-EXP(-LN(2)/25))/(LN(2)/25)*Calculateur!FM159*Calculateur!FO159*VLOOKUP('Données projet'!$B$16,Paramètres!$A$1:$I$89,3,0)*0.475*44/12</f>
        <v>2.595621554621458</v>
      </c>
      <c r="FS159" s="21">
        <f>EXP(-LN(2)/2)*FS158+(1-EXP(-LN(2)/2))/(LN(2)/2)*FM159*FP159*VLOOKUP('Données projet'!$B$16,Paramètres!$A$1:$I$89,3,0)*0.475*44/12</f>
        <v>2.9156294678373604E-9</v>
      </c>
      <c r="FT159" s="22">
        <f t="shared" si="184"/>
        <v>2.5956215575370876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9.4880000000000049</v>
      </c>
      <c r="N160" s="13">
        <f>IF('Données projet'!$A$36&gt;35,N159+M160-V159,IF(A160&lt;'Données projet'!$A$36,$K$205^A160,IF(A160='Données projet'!$A$36,'Données projet'!$B$36,N159+M160-V159)))</f>
        <v>513.90400000000102</v>
      </c>
      <c r="O160" s="13">
        <f>N160*VLOOKUP('Données projet'!$B$9,Paramètres!$A$1:$I$89,3,0)*VLOOKUP('Données projet'!$B$9,Paramètres!$A$1:$I$89,5,0)</f>
        <v>521.09865600000103</v>
      </c>
      <c r="P160" s="13">
        <f t="shared" si="141"/>
        <v>115.93712735408282</v>
      </c>
      <c r="Q160" s="20">
        <f t="shared" si="162"/>
        <v>1109.5039893416961</v>
      </c>
      <c r="R160" s="59">
        <f t="shared" si="109"/>
        <v>1402.8373226750293</v>
      </c>
      <c r="S160" s="59">
        <f ca="1">AVERAGE(OFFSET($R$3,0,0,'Données projet'!$E$9+1,1))-AVERAGE(OFFSET($H$3,0,0,'Données projet'!$E$9+1,1))</f>
        <v>706.69239849991595</v>
      </c>
      <c r="T160" s="59">
        <f t="shared" si="142"/>
        <v>310.59887275116529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57.177572483835526</v>
      </c>
      <c r="AA160" s="21">
        <f>EXP(-LN(2)/25)*AA159+(1-EXP(-LN(2)/25))/(LN(2)/25)*Calculateur!V160*Calculateur!X160*VLOOKUP('Données projet'!$B$9,Paramètres!$A$1:$I$89,3,0)*0.475*44/12</f>
        <v>23.610682289991448</v>
      </c>
      <c r="AB160" s="21">
        <f>EXP(-LN(2)/2)*AB159+(1-EXP(-LN(2)/2))/(LN(2)/2)*V160*Y160*VLOOKUP('Données projet'!$B$9,Paramètres!$A$1:$I$89,3,0)*0.475*44/12</f>
        <v>6.1740419028045323E-5</v>
      </c>
      <c r="AC160" s="22">
        <f t="shared" si="163"/>
        <v>80.788316514246006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239.26156489359892</v>
      </c>
      <c r="AO160" s="59">
        <f t="shared" si="144"/>
        <v>213.97034450798111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2.8690052482104407</v>
      </c>
      <c r="AV160" s="21">
        <f>EXP(-LN(2)/25)*AV159+(1-EXP(-LN(2)/25))/(LN(2)/25)*Calculateur!AQ160*Calculateur!AS160*VLOOKUP('Données projet'!$B$10,Paramètres!$A$1:$I$89,3,0)*0.475*44/12</f>
        <v>9.9652565638480866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12.834261812058527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-1.7053025658242404E-13</v>
      </c>
      <c r="BE160" s="13">
        <f>BD160*VLOOKUP('Données projet'!$B$11,Paramètres!$A$1:$I$89,3,0)*VLOOKUP('Données projet'!$B$11,Paramètres!$A$1:$I$89,5,0)</f>
        <v>-1.4897523215040567E-13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324.86930206492627</v>
      </c>
      <c r="BJ160" s="59">
        <f t="shared" si="146"/>
        <v>317.03005098025352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10.027768427614852</v>
      </c>
      <c r="BQ160" s="21">
        <f>EXP(-LN(2)/25)*BQ159+(1-EXP(-LN(2)/25))/(LN(2)/25)*Calculateur!BL160*Calculateur!BN160*VLOOKUP('Données projet'!$B$11,Paramètres!$A$1:$I$89,3,0)*0.475*44/12</f>
        <v>5.5007596920573567</v>
      </c>
      <c r="BR160" s="21">
        <f>EXP(-LN(2)/2)*BR159+(1-EXP(-LN(2)/2))/(LN(2)/2)*BL160*BO160*VLOOKUP('Données projet'!$B$11,Paramètres!$A$1:$I$89,3,0)*0.475*44/12</f>
        <v>1.4682457920802585E-10</v>
      </c>
      <c r="BS160" s="22">
        <f t="shared" si="169"/>
        <v>15.528528119819034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7.6783333333333319</v>
      </c>
      <c r="BY160" s="12">
        <f>IF('Données projet'!$A$114&gt;35,BY159+BX160-CG159,IF(A160&lt;'Données projet'!$A$114,$BV$205^A160,IF(A160='Données projet'!$A$114,'Données projet'!$B$114,BY159+BX160-CG159)))</f>
        <v>351.18833333333293</v>
      </c>
      <c r="BZ160" s="13">
        <f>BY160*VLOOKUP('Données projet'!$B$12,Paramètres!$A$1:$I$89,3,0)*VLOOKUP('Données projet'!$B$12,Paramètres!$A$1:$I$89,5,0)</f>
        <v>399.93327399999959</v>
      </c>
      <c r="CA160" s="13">
        <f t="shared" si="170"/>
        <v>91.763137417414484</v>
      </c>
      <c r="CB160" s="20">
        <f t="shared" si="171"/>
        <v>856.37124988532958</v>
      </c>
      <c r="CC160" s="59">
        <f t="shared" si="119"/>
        <v>1149.7045832186629</v>
      </c>
      <c r="CD160" s="59">
        <f ca="1">AVERAGE(OFFSET($CC$3,0,0,'Données projet'!$E$12+1,1))-AVERAGE(OFFSET($H$3,0,0,'Données projet'!$E$12+1,1))</f>
        <v>593.28343396240075</v>
      </c>
      <c r="CE160" s="59">
        <f t="shared" si="148"/>
        <v>289.66477662068695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46.322874937226665</v>
      </c>
      <c r="CL160" s="21">
        <f>EXP(-LN(2)/25)*CL159+(1-EXP(-LN(2)/25))/(LN(2)/25)*Calculateur!CG160*Calculateur!CI160*VLOOKUP('Données projet'!$B$12,Paramètres!$A$1:$I$89,3,0)*0.475*44/12</f>
        <v>24.973198632953313</v>
      </c>
      <c r="CM160" s="21">
        <f>EXP(-LN(2)/2)*CM159+(1-EXP(-LN(2)/2))/(LN(2)/2)*CG160*CJ160*VLOOKUP('Données projet'!$B$12,Paramètres!$A$1:$I$89,3,0)*0.475*44/12</f>
        <v>7.3288018571639205E-2</v>
      </c>
      <c r="CN160" s="22">
        <f t="shared" si="172"/>
        <v>71.369361588751616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9.4880000000000049</v>
      </c>
      <c r="CT160" s="12">
        <f>IF('Données projet'!$A$140&gt;35,CT159+CS160-DB159,IF(A160&lt;'Données projet'!$A$140,$CQ$205^A160,IF(A160='Données projet'!$A$140,'Données projet'!$B$140,CT159+CS160-DB159)))</f>
        <v>513.90400000000102</v>
      </c>
      <c r="CU160" s="17">
        <f>CT160*VLOOKUP('Données projet'!$B$13,Paramètres!$A$1:$I$89,3,0)*VLOOKUP('Données projet'!$B$13,Paramètres!$A$1:$I$89,5,0)</f>
        <v>553.166265600001</v>
      </c>
      <c r="CV160" s="13">
        <f t="shared" si="173"/>
        <v>122.21917561856273</v>
      </c>
      <c r="CW160" s="20">
        <f t="shared" si="174"/>
        <v>1176.296310122332</v>
      </c>
      <c r="CX160" s="59">
        <f t="shared" si="122"/>
        <v>1469.6296434556652</v>
      </c>
      <c r="CY160" s="59">
        <f ca="1">AVERAGE(OFFSET($CX$3,0,0,'Données projet'!$E$13+1,1))-AVERAGE(OFFSET($H$3,0,0,'Données projet'!$E$13+1,1))</f>
        <v>747.18304127457918</v>
      </c>
      <c r="CZ160" s="59">
        <f t="shared" si="150"/>
        <v>327.03701004966723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60.696192328994613</v>
      </c>
      <c r="DG160" s="21">
        <f>EXP(-LN(2)/25)*DG159+(1-EXP(-LN(2)/25))/(LN(2)/25)*Calculateur!DB160*Calculateur!DD160*VLOOKUP('Données projet'!$B$13,Paramètres!$A$1:$I$89,3,0)*0.475*44/12</f>
        <v>25.063647353990916</v>
      </c>
      <c r="DH160" s="21">
        <f>EXP(-LN(2)/2)*DH159+(1-EXP(-LN(2)/2))/(LN(2)/2)*DB160*DE160*VLOOKUP('Données projet'!$B$13,Paramètres!$A$1:$I$89,3,0)*0.475*44/12</f>
        <v>6.5539829429771187E-5</v>
      </c>
      <c r="DI160" s="22">
        <f t="shared" si="175"/>
        <v>85.759905222814965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353.37479213497227</v>
      </c>
      <c r="DU160" s="59">
        <f t="shared" si="152"/>
        <v>345.4750813433123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11.313259018776494</v>
      </c>
      <c r="EB160" s="21">
        <f>EXP(-LN(2)/25)*EB159+(1-EXP(-LN(2)/25))/(LN(2)/25)*Calculateur!DW160*Calculateur!DY160*VLOOKUP('Données projet'!$B$14,Paramètres!$A$1:$I$89,3,0)*0.475*44/12</f>
        <v>6.069402895025358</v>
      </c>
      <c r="EC160" s="21">
        <f>EXP(-LN(2)/2)*EC159+(1-EXP(-LN(2)/2))/(LN(2)/2)*DW160*DZ160*VLOOKUP('Données projet'!$B$14,Paramètres!$A$1:$I$89,3,0)*0.475*44/12</f>
        <v>1.6057507132884284E-10</v>
      </c>
      <c r="ED160" s="22">
        <f t="shared" si="178"/>
        <v>17.382661913962426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-4.5474735088646412E-13</v>
      </c>
      <c r="EK160" s="17">
        <f>EJ160*VLOOKUP('Données projet'!$B$15,Paramètres!$A$1:$I$89,3,0)*VLOOKUP('Données projet'!$B$15,Paramètres!$A$1:$I$89,5,0)</f>
        <v>-2.1282176021486519E-13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433.05041777893922</v>
      </c>
      <c r="EP160" s="59">
        <f t="shared" si="154"/>
        <v>591.24088611958996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125.49982592648227</v>
      </c>
      <c r="EW160" s="21">
        <f>EXP(-LN(2)/25)*EW159+(1-EXP(-LN(2)/25))/(LN(2)/25)*Calculateur!ER160*Calculateur!ET160*VLOOKUP('Données projet'!$B$15,Paramètres!$A$1:$I$89,3,0)*0.475*44/12</f>
        <v>25.39009978064794</v>
      </c>
      <c r="EX160" s="21">
        <f>EXP(-LN(2)/2)*EX159+(1-EXP(-LN(2)/2))/(LN(2)/2)*ER160*EU160*VLOOKUP('Données projet'!$B$15,Paramètres!$A$1:$I$89,3,0)*0.475*44/12</f>
        <v>7.2859913326165486E-7</v>
      </c>
      <c r="EY160" s="22">
        <f t="shared" si="181"/>
        <v>150.88992643572934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-8.5265128291212022E-14</v>
      </c>
      <c r="FF160" s="17">
        <f>FE160*VLOOKUP('Données projet'!$B$16,Paramètres!$A$1:$I$89,3,0)*VLOOKUP('Données projet'!$B$16,Paramètres!$A$1:$I$89,5,0)</f>
        <v>-6.9167072069831198E-14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159.4660488566085</v>
      </c>
      <c r="FK160" s="59">
        <f t="shared" si="156"/>
        <v>135.33030558297088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</v>
      </c>
      <c r="FR160" s="21">
        <f>EXP(-LN(2)/25)*FR159+(1-EXP(-LN(2)/25))/(LN(2)/25)*Calculateur!FM160*Calculateur!FO160*VLOOKUP('Données projet'!$B$16,Paramètres!$A$1:$I$89,3,0)*0.475*44/12</f>
        <v>2.5246441467125291</v>
      </c>
      <c r="FS160" s="21">
        <f>EXP(-LN(2)/2)*FS159+(1-EXP(-LN(2)/2))/(LN(2)/2)*FM160*FP160*VLOOKUP('Données projet'!$B$16,Paramètres!$A$1:$I$89,3,0)*0.475*44/12</f>
        <v>2.0616613681351223E-9</v>
      </c>
      <c r="FT160" s="22">
        <f t="shared" si="184"/>
        <v>2.5246441487741906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9.4880000000000049</v>
      </c>
      <c r="N161" s="13">
        <f>IF('Données projet'!$A$36&gt;35,N160+M161-V160,IF(A161&lt;'Données projet'!$A$36,$K$205^A161,IF(A161='Données projet'!$A$36,'Données projet'!$B$36,N160+M161-V160)))</f>
        <v>523.39200000000108</v>
      </c>
      <c r="O161" s="13">
        <f>N161*VLOOKUP('Données projet'!$B$9,Paramètres!$A$1:$I$89,3,0)*VLOOKUP('Données projet'!$B$9,Paramètres!$A$1:$I$89,5,0)</f>
        <v>530.71948800000109</v>
      </c>
      <c r="P161" s="13">
        <f t="shared" si="141"/>
        <v>117.82645460602643</v>
      </c>
      <c r="Q161" s="20">
        <f t="shared" si="162"/>
        <v>1129.5508500388312</v>
      </c>
      <c r="R161" s="59">
        <f t="shared" si="109"/>
        <v>1422.8841833721644</v>
      </c>
      <c r="S161" s="59">
        <f ca="1">AVERAGE(OFFSET($R$3,0,0,'Données projet'!$E$9+1,1))-AVERAGE(OFFSET($H$3,0,0,'Données projet'!$E$9+1,1))</f>
        <v>706.69239849991595</v>
      </c>
      <c r="T161" s="59">
        <f t="shared" si="142"/>
        <v>310.59887275116529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56.05635516230312</v>
      </c>
      <c r="AA161" s="21">
        <f>EXP(-LN(2)/25)*AA160+(1-EXP(-LN(2)/25))/(LN(2)/25)*Calculateur!V161*Calculateur!X161*VLOOKUP('Données projet'!$B$9,Paramètres!$A$1:$I$89,3,0)*0.475*44/12</f>
        <v>22.965046941139814</v>
      </c>
      <c r="AB161" s="21">
        <f>EXP(-LN(2)/2)*AB160+(1-EXP(-LN(2)/2))/(LN(2)/2)*V161*Y161*VLOOKUP('Données projet'!$B$9,Paramètres!$A$1:$I$89,3,0)*0.475*44/12</f>
        <v>4.36570689680298E-5</v>
      </c>
      <c r="AC161" s="22">
        <f t="shared" si="163"/>
        <v>79.021445760511909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239.26156489359892</v>
      </c>
      <c r="AO161" s="59">
        <f t="shared" si="144"/>
        <v>213.97034450798111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2.8127458052134449</v>
      </c>
      <c r="AV161" s="21">
        <f>EXP(-LN(2)/25)*AV160+(1-EXP(-LN(2)/25))/(LN(2)/25)*Calculateur!AQ161*Calculateur!AS161*VLOOKUP('Données projet'!$B$10,Paramètres!$A$1:$I$89,3,0)*0.475*44/12</f>
        <v>9.6927560990595936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12.505501904273039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-1.7053025658242404E-13</v>
      </c>
      <c r="BE161" s="13">
        <f>BD161*VLOOKUP('Données projet'!$B$11,Paramètres!$A$1:$I$89,3,0)*VLOOKUP('Données projet'!$B$11,Paramètres!$A$1:$I$89,5,0)</f>
        <v>-1.4897523215040567E-13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324.86930206492627</v>
      </c>
      <c r="BJ161" s="59">
        <f t="shared" si="146"/>
        <v>317.03005098025352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9.8311300050841268</v>
      </c>
      <c r="BQ161" s="21">
        <f>EXP(-LN(2)/25)*BQ160+(1-EXP(-LN(2)/25))/(LN(2)/25)*Calculateur!BL161*Calculateur!BN161*VLOOKUP('Données projet'!$B$11,Paramètres!$A$1:$I$89,3,0)*0.475*44/12</f>
        <v>5.3503411290056686</v>
      </c>
      <c r="BR161" s="21">
        <f>EXP(-LN(2)/2)*BR160+(1-EXP(-LN(2)/2))/(LN(2)/2)*BL161*BO161*VLOOKUP('Données projet'!$B$11,Paramètres!$A$1:$I$89,3,0)*0.475*44/12</f>
        <v>1.0382065560285645E-10</v>
      </c>
      <c r="BS161" s="22">
        <f t="shared" si="169"/>
        <v>15.181471134193616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7.6783333333333319</v>
      </c>
      <c r="BY161" s="12">
        <f>IF('Données projet'!$A$114&gt;35,BY160+BX161-CG160,IF(A161&lt;'Données projet'!$A$114,$BV$205^A161,IF(A161='Données projet'!$A$114,'Données projet'!$B$114,BY160+BX161-CG160)))</f>
        <v>358.86666666666628</v>
      </c>
      <c r="BZ161" s="13">
        <f>BY161*VLOOKUP('Données projet'!$B$12,Paramètres!$A$1:$I$89,3,0)*VLOOKUP('Données projet'!$B$12,Paramètres!$A$1:$I$89,5,0)</f>
        <v>408.67735999999957</v>
      </c>
      <c r="CA161" s="13">
        <f t="shared" si="170"/>
        <v>93.533663431059196</v>
      </c>
      <c r="CB161" s="20">
        <f t="shared" si="171"/>
        <v>874.68419914242725</v>
      </c>
      <c r="CC161" s="59">
        <f t="shared" si="119"/>
        <v>1168.0175324757606</v>
      </c>
      <c r="CD161" s="59">
        <f ca="1">AVERAGE(OFFSET($CC$3,0,0,'Données projet'!$E$12+1,1))-AVERAGE(OFFSET($H$3,0,0,'Données projet'!$E$12+1,1))</f>
        <v>593.28343396240075</v>
      </c>
      <c r="CE161" s="59">
        <f t="shared" si="148"/>
        <v>289.66477662068695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45.414511613871497</v>
      </c>
      <c r="CL161" s="21">
        <f>EXP(-LN(2)/25)*CL160+(1-EXP(-LN(2)/25))/(LN(2)/25)*Calculateur!CG161*Calculateur!CI161*VLOOKUP('Données projet'!$B$12,Paramètres!$A$1:$I$89,3,0)*0.475*44/12</f>
        <v>24.290305203051766</v>
      </c>
      <c r="CM161" s="21">
        <f>EXP(-LN(2)/2)*CM160+(1-EXP(-LN(2)/2))/(LN(2)/2)*CG161*CJ161*VLOOKUP('Données projet'!$B$12,Paramètres!$A$1:$I$89,3,0)*0.475*44/12</f>
        <v>5.1822454911731715E-2</v>
      </c>
      <c r="CN161" s="22">
        <f t="shared" si="172"/>
        <v>69.756639271834985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9.4880000000000049</v>
      </c>
      <c r="CT161" s="12">
        <f>IF('Données projet'!$A$140&gt;35,CT160+CS161-DB160,IF(A161&lt;'Données projet'!$A$140,$CQ$205^A161,IF(A161='Données projet'!$A$140,'Données projet'!$B$140,CT160+CS161-DB160)))</f>
        <v>523.39200000000108</v>
      </c>
      <c r="CU161" s="17">
        <f>CT161*VLOOKUP('Données projet'!$B$13,Paramètres!$A$1:$I$89,3,0)*VLOOKUP('Données projet'!$B$13,Paramètres!$A$1:$I$89,5,0)</f>
        <v>563.37914880000108</v>
      </c>
      <c r="CV161" s="13">
        <f t="shared" si="173"/>
        <v>124.21087598647858</v>
      </c>
      <c r="CW161" s="20">
        <f t="shared" si="174"/>
        <v>1197.5526265031187</v>
      </c>
      <c r="CX161" s="59">
        <f t="shared" si="122"/>
        <v>1490.885959836452</v>
      </c>
      <c r="CY161" s="59">
        <f ca="1">AVERAGE(OFFSET($CX$3,0,0,'Données projet'!$E$13+1,1))-AVERAGE(OFFSET($H$3,0,0,'Données projet'!$E$13+1,1))</f>
        <v>747.18304127457918</v>
      </c>
      <c r="CZ161" s="59">
        <f t="shared" si="150"/>
        <v>327.03701004966723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59.505977018444824</v>
      </c>
      <c r="DG161" s="21">
        <f>EXP(-LN(2)/25)*DG160+(1-EXP(-LN(2)/25))/(LN(2)/25)*Calculateur!DB161*Calculateur!DD161*VLOOKUP('Données projet'!$B$13,Paramètres!$A$1:$I$89,3,0)*0.475*44/12</f>
        <v>24.378280599056104</v>
      </c>
      <c r="DH161" s="21">
        <f>EXP(-LN(2)/2)*DH160+(1-EXP(-LN(2)/2))/(LN(2)/2)*DB161*DE161*VLOOKUP('Données projet'!$B$13,Paramètres!$A$1:$I$89,3,0)*0.475*44/12</f>
        <v>4.6343657827600863E-5</v>
      </c>
      <c r="DI161" s="22">
        <f t="shared" si="175"/>
        <v>83.884303961158764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353.37479213497227</v>
      </c>
      <c r="DU161" s="59">
        <f t="shared" si="152"/>
        <v>345.4750813433123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11.09141290982493</v>
      </c>
      <c r="EB161" s="21">
        <f>EXP(-LN(2)/25)*EB160+(1-EXP(-LN(2)/25))/(LN(2)/25)*Calculateur!DW161*Calculateur!DY161*VLOOKUP('Données projet'!$B$14,Paramètres!$A$1:$I$89,3,0)*0.475*44/12</f>
        <v>5.9034347536848628</v>
      </c>
      <c r="EC161" s="21">
        <f>EXP(-LN(2)/2)*EC160+(1-EXP(-LN(2)/2))/(LN(2)/2)*DW161*DZ161*VLOOKUP('Données projet'!$B$14,Paramètres!$A$1:$I$89,3,0)*0.475*44/12</f>
        <v>1.1354372182613834E-10</v>
      </c>
      <c r="ED161" s="22">
        <f t="shared" si="178"/>
        <v>16.994847663623339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-4.5474735088646412E-13</v>
      </c>
      <c r="EK161" s="17">
        <f>EJ161*VLOOKUP('Données projet'!$B$15,Paramètres!$A$1:$I$89,3,0)*VLOOKUP('Données projet'!$B$15,Paramètres!$A$1:$I$89,5,0)</f>
        <v>-2.1282176021486519E-13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433.05041777893922</v>
      </c>
      <c r="EP161" s="59">
        <f t="shared" si="154"/>
        <v>591.24088611958996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123.03885088739935</v>
      </c>
      <c r="EW161" s="21">
        <f>EXP(-LN(2)/25)*EW160+(1-EXP(-LN(2)/25))/(LN(2)/25)*Calculateur!ER161*Calculateur!ET161*VLOOKUP('Données projet'!$B$15,Paramètres!$A$1:$I$89,3,0)*0.475*44/12</f>
        <v>24.695806166938805</v>
      </c>
      <c r="EX161" s="21">
        <f>EXP(-LN(2)/2)*EX160+(1-EXP(-LN(2)/2))/(LN(2)/2)*ER161*EU161*VLOOKUP('Données projet'!$B$15,Paramètres!$A$1:$I$89,3,0)*0.475*44/12</f>
        <v>5.1519738789595715E-7</v>
      </c>
      <c r="EY161" s="22">
        <f t="shared" si="181"/>
        <v>147.73465756953556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-8.5265128291212022E-14</v>
      </c>
      <c r="FF161" s="17">
        <f>FE161*VLOOKUP('Données projet'!$B$16,Paramètres!$A$1:$I$89,3,0)*VLOOKUP('Données projet'!$B$16,Paramètres!$A$1:$I$89,5,0)</f>
        <v>-6.9167072069831198E-14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159.4660488566085</v>
      </c>
      <c r="FK161" s="59">
        <f t="shared" si="156"/>
        <v>135.33030558297088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</v>
      </c>
      <c r="FR161" s="21">
        <f>EXP(-LN(2)/25)*FR160+(1-EXP(-LN(2)/25))/(LN(2)/25)*Calculateur!FM161*Calculateur!FO161*VLOOKUP('Données projet'!$B$16,Paramètres!$A$1:$I$89,3,0)*0.475*44/12</f>
        <v>2.4556076197554093</v>
      </c>
      <c r="FS161" s="21">
        <f>EXP(-LN(2)/2)*FS160+(1-EXP(-LN(2)/2))/(LN(2)/2)*FM161*FP161*VLOOKUP('Données projet'!$B$16,Paramètres!$A$1:$I$89,3,0)*0.475*44/12</f>
        <v>1.4578147339186802E-9</v>
      </c>
      <c r="FT161" s="22">
        <f t="shared" si="184"/>
        <v>2.4556076212132241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9.4880000000000049</v>
      </c>
      <c r="N162" s="13">
        <f>IF('Données projet'!$A$36&gt;35,N161+M162-V161,IF(A162&lt;'Données projet'!$A$36,$K$205^A162,IF(A162='Données projet'!$A$36,'Données projet'!$B$36,N161+M162-V161)))</f>
        <v>532.88000000000113</v>
      </c>
      <c r="O162" s="13">
        <f>N162*VLOOKUP('Données projet'!$B$9,Paramètres!$A$1:$I$89,3,0)*VLOOKUP('Données projet'!$B$9,Paramètres!$A$1:$I$89,5,0)</f>
        <v>540.34032000000116</v>
      </c>
      <c r="P162" s="13">
        <f t="shared" si="141"/>
        <v>119.71179918365929</v>
      </c>
      <c r="Q162" s="20">
        <f t="shared" si="162"/>
        <v>1149.5907742448753</v>
      </c>
      <c r="R162" s="59">
        <f t="shared" si="109"/>
        <v>1442.9241075782086</v>
      </c>
      <c r="S162" s="59">
        <f ca="1">AVERAGE(OFFSET($R$3,0,0,'Données projet'!$E$9+1,1))-AVERAGE(OFFSET($H$3,0,0,'Données projet'!$E$9+1,1))</f>
        <v>706.69239849991595</v>
      </c>
      <c r="T162" s="59">
        <f t="shared" si="142"/>
        <v>310.59887275116529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54.957124228570926</v>
      </c>
      <c r="AA162" s="21">
        <f>EXP(-LN(2)/25)*AA161+(1-EXP(-LN(2)/25))/(LN(2)/25)*Calculateur!V162*Calculateur!X162*VLOOKUP('Données projet'!$B$9,Paramètres!$A$1:$I$89,3,0)*0.475*44/12</f>
        <v>22.337066524855015</v>
      </c>
      <c r="AB162" s="21">
        <f>EXP(-LN(2)/2)*AB161+(1-EXP(-LN(2)/2))/(LN(2)/2)*V162*Y162*VLOOKUP('Données projet'!$B$9,Paramètres!$A$1:$I$89,3,0)*0.475*44/12</f>
        <v>3.0870209514022662E-5</v>
      </c>
      <c r="AC162" s="22">
        <f t="shared" si="163"/>
        <v>77.294221623635451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239.26156489359892</v>
      </c>
      <c r="AO162" s="59">
        <f t="shared" si="144"/>
        <v>213.97034450798111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2.7575895755787485</v>
      </c>
      <c r="AV162" s="21">
        <f>EXP(-LN(2)/25)*AV161+(1-EXP(-LN(2)/25))/(LN(2)/25)*Calculateur!AQ162*Calculateur!AS162*VLOOKUP('Données projet'!$B$10,Paramètres!$A$1:$I$89,3,0)*0.475*44/12</f>
        <v>9.4277071738109193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12.185296749389668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-1.7053025658242404E-13</v>
      </c>
      <c r="BE162" s="13">
        <f>BD162*VLOOKUP('Données projet'!$B$11,Paramètres!$A$1:$I$89,3,0)*VLOOKUP('Données projet'!$B$11,Paramètres!$A$1:$I$89,5,0)</f>
        <v>-1.4897523215040567E-13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324.86930206492627</v>
      </c>
      <c r="BJ162" s="59">
        <f t="shared" si="146"/>
        <v>317.03005098025352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9.638347542081636</v>
      </c>
      <c r="BQ162" s="21">
        <f>EXP(-LN(2)/25)*BQ161+(1-EXP(-LN(2)/25))/(LN(2)/25)*Calculateur!BL162*Calculateur!BN162*VLOOKUP('Données projet'!$B$11,Paramètres!$A$1:$I$89,3,0)*0.475*44/12</f>
        <v>5.2040357694707966</v>
      </c>
      <c r="BR162" s="21">
        <f>EXP(-LN(2)/2)*BR161+(1-EXP(-LN(2)/2))/(LN(2)/2)*BL162*BO162*VLOOKUP('Données projet'!$B$11,Paramètres!$A$1:$I$89,3,0)*0.475*44/12</f>
        <v>7.3412289604012923E-11</v>
      </c>
      <c r="BS162" s="22">
        <f t="shared" si="169"/>
        <v>14.842383311625843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7.6783333333333319</v>
      </c>
      <c r="BY162" s="12">
        <f>IF('Données projet'!$A$114&gt;35,BY161+BX162-CG161,IF(A162&lt;'Données projet'!$A$114,$BV$205^A162,IF(A162='Données projet'!$A$114,'Données projet'!$B$114,BY161+BX162-CG161)))</f>
        <v>366.54499999999962</v>
      </c>
      <c r="BZ162" s="13">
        <f>BY162*VLOOKUP('Données projet'!$B$12,Paramètres!$A$1:$I$89,3,0)*VLOOKUP('Données projet'!$B$12,Paramètres!$A$1:$I$89,5,0)</f>
        <v>417.42144599999961</v>
      </c>
      <c r="CA162" s="13">
        <f t="shared" si="170"/>
        <v>95.299785078044607</v>
      </c>
      <c r="CB162" s="20">
        <f t="shared" si="171"/>
        <v>892.98947746092699</v>
      </c>
      <c r="CC162" s="59">
        <f t="shared" si="119"/>
        <v>1186.3228107942602</v>
      </c>
      <c r="CD162" s="59">
        <f ca="1">AVERAGE(OFFSET($CC$3,0,0,'Données projet'!$E$12+1,1))-AVERAGE(OFFSET($H$3,0,0,'Données projet'!$E$12+1,1))</f>
        <v>593.28343396240075</v>
      </c>
      <c r="CE162" s="59">
        <f t="shared" si="148"/>
        <v>289.66477662068695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44.523960741240401</v>
      </c>
      <c r="CL162" s="21">
        <f>EXP(-LN(2)/25)*CL161+(1-EXP(-LN(2)/25))/(LN(2)/25)*Calculateur!CG162*Calculateur!CI162*VLOOKUP('Données projet'!$B$12,Paramètres!$A$1:$I$89,3,0)*0.475*44/12</f>
        <v>23.626085529902682</v>
      </c>
      <c r="CM162" s="21">
        <f>EXP(-LN(2)/2)*CM161+(1-EXP(-LN(2)/2))/(LN(2)/2)*CG162*CJ162*VLOOKUP('Données projet'!$B$12,Paramètres!$A$1:$I$89,3,0)*0.475*44/12</f>
        <v>3.6644009285819602E-2</v>
      </c>
      <c r="CN162" s="22">
        <f t="shared" si="172"/>
        <v>68.186690280428905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9.4880000000000049</v>
      </c>
      <c r="CT162" s="12">
        <f>IF('Données projet'!$A$140&gt;35,CT161+CS162-DB161,IF(A162&lt;'Données projet'!$A$140,$CQ$205^A162,IF(A162='Données projet'!$A$140,'Données projet'!$B$140,CT161+CS162-DB161)))</f>
        <v>532.88000000000113</v>
      </c>
      <c r="CU162" s="17">
        <f>CT162*VLOOKUP('Données projet'!$B$13,Paramètres!$A$1:$I$89,3,0)*VLOOKUP('Données projet'!$B$13,Paramètres!$A$1:$I$89,5,0)</f>
        <v>573.59203200000115</v>
      </c>
      <c r="CV162" s="13">
        <f t="shared" si="173"/>
        <v>126.19837787904737</v>
      </c>
      <c r="CW162" s="20">
        <f t="shared" si="174"/>
        <v>1218.8016305393428</v>
      </c>
      <c r="CX162" s="59">
        <f t="shared" si="122"/>
        <v>1512.1349638726761</v>
      </c>
      <c r="CY162" s="59">
        <f ca="1">AVERAGE(OFFSET($CX$3,0,0,'Données projet'!$E$13+1,1))-AVERAGE(OFFSET($H$3,0,0,'Données projet'!$E$13+1,1))</f>
        <v>747.18304127457918</v>
      </c>
      <c r="CZ162" s="59">
        <f t="shared" si="150"/>
        <v>327.03701004966723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58.339101104175263</v>
      </c>
      <c r="DG162" s="21">
        <f>EXP(-LN(2)/25)*DG161+(1-EXP(-LN(2)/25))/(LN(2)/25)*Calculateur!DB162*Calculateur!DD162*VLOOKUP('Données projet'!$B$13,Paramètres!$A$1:$I$89,3,0)*0.475*44/12</f>
        <v>23.711655234076854</v>
      </c>
      <c r="DH162" s="21">
        <f>EXP(-LN(2)/2)*DH161+(1-EXP(-LN(2)/2))/(LN(2)/2)*DB162*DE162*VLOOKUP('Données projet'!$B$13,Paramètres!$A$1:$I$89,3,0)*0.475*44/12</f>
        <v>3.2769914714885593E-5</v>
      </c>
      <c r="DI162" s="22">
        <f t="shared" si="175"/>
        <v>82.050789108166825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353.37479213497227</v>
      </c>
      <c r="DU162" s="59">
        <f t="shared" si="152"/>
        <v>345.4750813433123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10.873917067757141</v>
      </c>
      <c r="EB162" s="21">
        <f>EXP(-LN(2)/25)*EB161+(1-EXP(-LN(2)/25))/(LN(2)/25)*Calculateur!DW162*Calculateur!DY162*VLOOKUP('Données projet'!$B$14,Paramètres!$A$1:$I$89,3,0)*0.475*44/12</f>
        <v>5.742005019897209</v>
      </c>
      <c r="EC162" s="21">
        <f>EXP(-LN(2)/2)*EC161+(1-EXP(-LN(2)/2))/(LN(2)/2)*DW162*DZ162*VLOOKUP('Données projet'!$B$14,Paramètres!$A$1:$I$89,3,0)*0.475*44/12</f>
        <v>8.0287535664421421E-11</v>
      </c>
      <c r="ED162" s="22">
        <f t="shared" si="178"/>
        <v>16.615922087734639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-4.5474735088646412E-13</v>
      </c>
      <c r="EK162" s="17">
        <f>EJ162*VLOOKUP('Données projet'!$B$15,Paramètres!$A$1:$I$89,3,0)*VLOOKUP('Données projet'!$B$15,Paramètres!$A$1:$I$89,5,0)</f>
        <v>-2.1282176021486519E-13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433.05041777893922</v>
      </c>
      <c r="EP162" s="59">
        <f t="shared" si="154"/>
        <v>591.24088611958996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120.62613406778628</v>
      </c>
      <c r="EW162" s="21">
        <f>EXP(-LN(2)/25)*EW161+(1-EXP(-LN(2)/25))/(LN(2)/25)*Calculateur!ER162*Calculateur!ET162*VLOOKUP('Données projet'!$B$15,Paramètres!$A$1:$I$89,3,0)*0.475*44/12</f>
        <v>24.020498048607859</v>
      </c>
      <c r="EX162" s="21">
        <f>EXP(-LN(2)/2)*EX161+(1-EXP(-LN(2)/2))/(LN(2)/2)*ER162*EU162*VLOOKUP('Données projet'!$B$15,Paramètres!$A$1:$I$89,3,0)*0.475*44/12</f>
        <v>3.6429956663082743E-7</v>
      </c>
      <c r="EY162" s="22">
        <f t="shared" si="181"/>
        <v>144.64663248069371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-8.5265128291212022E-14</v>
      </c>
      <c r="FF162" s="17">
        <f>FE162*VLOOKUP('Données projet'!$B$16,Paramètres!$A$1:$I$89,3,0)*VLOOKUP('Données projet'!$B$16,Paramètres!$A$1:$I$89,5,0)</f>
        <v>-6.9167072069831198E-14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159.4660488566085</v>
      </c>
      <c r="FK162" s="59">
        <f t="shared" si="156"/>
        <v>135.33030558297088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</v>
      </c>
      <c r="FR162" s="21">
        <f>EXP(-LN(2)/25)*FR161+(1-EXP(-LN(2)/25))/(LN(2)/25)*Calculateur!FM162*Calculateur!FO162*VLOOKUP('Données projet'!$B$16,Paramètres!$A$1:$I$89,3,0)*0.475*44/12</f>
        <v>2.3884589002584051</v>
      </c>
      <c r="FS162" s="21">
        <f>EXP(-LN(2)/2)*FS161+(1-EXP(-LN(2)/2))/(LN(2)/2)*FM162*FP162*VLOOKUP('Données projet'!$B$16,Paramètres!$A$1:$I$89,3,0)*0.475*44/12</f>
        <v>1.0308306840675612E-9</v>
      </c>
      <c r="FT162" s="22">
        <f t="shared" si="184"/>
        <v>2.3884589012892357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9.4880000000000049</v>
      </c>
      <c r="N163" s="13">
        <f>IF('Données projet'!$A$36&gt;35,N162+M163-V162,IF(A163&lt;'Données projet'!$A$36,$K$205^A163,IF(A163='Données projet'!$A$36,'Données projet'!$B$36,N162+M163-V162)))</f>
        <v>542.36800000000119</v>
      </c>
      <c r="O163" s="13">
        <f>N163*VLOOKUP('Données projet'!$B$9,Paramètres!$A$1:$I$89,3,0)*VLOOKUP('Données projet'!$B$9,Paramètres!$A$1:$I$89,5,0)</f>
        <v>549.96115200000122</v>
      </c>
      <c r="P163" s="13">
        <f t="shared" si="141"/>
        <v>121.59324017964097</v>
      </c>
      <c r="Q163" s="20">
        <f t="shared" si="162"/>
        <v>1169.6238997128767</v>
      </c>
      <c r="R163" s="59">
        <f t="shared" si="109"/>
        <v>1462.9572330462099</v>
      </c>
      <c r="S163" s="59">
        <f ca="1">AVERAGE(OFFSET($R$3,0,0,'Données projet'!$E$9+1,1))-AVERAGE(OFFSET($H$3,0,0,'Données projet'!$E$9+1,1))</f>
        <v>706.69239849991595</v>
      </c>
      <c r="T163" s="59">
        <f t="shared" si="142"/>
        <v>310.59887275116529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53.879448542984555</v>
      </c>
      <c r="AA163" s="21">
        <f>EXP(-LN(2)/25)*AA162+(1-EXP(-LN(2)/25))/(LN(2)/25)*Calculateur!V163*Calculateur!X163*VLOOKUP('Données projet'!$B$9,Paramètres!$A$1:$I$89,3,0)*0.475*44/12</f>
        <v>21.726258266077579</v>
      </c>
      <c r="AB163" s="21">
        <f>EXP(-LN(2)/2)*AB162+(1-EXP(-LN(2)/2))/(LN(2)/2)*V163*Y163*VLOOKUP('Données projet'!$B$9,Paramètres!$A$1:$I$89,3,0)*0.475*44/12</f>
        <v>2.18285344840149E-5</v>
      </c>
      <c r="AC163" s="22">
        <f t="shared" si="163"/>
        <v>75.605728637596613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239.26156489359892</v>
      </c>
      <c r="AO163" s="59">
        <f t="shared" si="144"/>
        <v>213.97034450798111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2.70351492596521</v>
      </c>
      <c r="AV163" s="21">
        <f>EXP(-LN(2)/25)*AV162+(1-EXP(-LN(2)/25))/(LN(2)/25)*Calculateur!AQ163*Calculateur!AS163*VLOOKUP('Données projet'!$B$10,Paramètres!$A$1:$I$89,3,0)*0.475*44/12</f>
        <v>9.1699060253614864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11.873420951326697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-1.7053025658242404E-13</v>
      </c>
      <c r="BE163" s="13">
        <f>BD163*VLOOKUP('Données projet'!$B$11,Paramètres!$A$1:$I$89,3,0)*VLOOKUP('Données projet'!$B$11,Paramètres!$A$1:$I$89,5,0)</f>
        <v>-1.4897523215040567E-13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324.86930206492627</v>
      </c>
      <c r="BJ163" s="59">
        <f t="shared" si="146"/>
        <v>317.03005098025352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9.4493454255929308</v>
      </c>
      <c r="BQ163" s="21">
        <f>EXP(-LN(2)/25)*BQ162+(1-EXP(-LN(2)/25))/(LN(2)/25)*Calculateur!BL163*Calculateur!BN163*VLOOKUP('Données projet'!$B$11,Paramètres!$A$1:$I$89,3,0)*0.475*44/12</f>
        <v>5.0617311376862704</v>
      </c>
      <c r="BR163" s="21">
        <f>EXP(-LN(2)/2)*BR162+(1-EXP(-LN(2)/2))/(LN(2)/2)*BL163*BO163*VLOOKUP('Données projet'!$B$11,Paramètres!$A$1:$I$89,3,0)*0.475*44/12</f>
        <v>5.1910327801428224E-11</v>
      </c>
      <c r="BS163" s="22">
        <f t="shared" si="169"/>
        <v>14.511076563331111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7.6783333333333319</v>
      </c>
      <c r="BY163" s="12">
        <f>IF('Données projet'!$A$114&gt;35,BY162+BX163-CG162,IF(A163&lt;'Données projet'!$A$114,$BV$205^A163,IF(A163='Données projet'!$A$114,'Données projet'!$B$114,BY162+BX163-CG162)))</f>
        <v>374.22333333333296</v>
      </c>
      <c r="BZ163" s="13">
        <f>BY163*VLOOKUP('Données projet'!$B$12,Paramètres!$A$1:$I$89,3,0)*VLOOKUP('Données projet'!$B$12,Paramètres!$A$1:$I$89,5,0)</f>
        <v>426.16553199999959</v>
      </c>
      <c r="CA163" s="13">
        <f t="shared" si="170"/>
        <v>97.061605249450551</v>
      </c>
      <c r="CB163" s="20">
        <f t="shared" si="171"/>
        <v>911.28726404279223</v>
      </c>
      <c r="CC163" s="59">
        <f t="shared" si="119"/>
        <v>1204.6205973761255</v>
      </c>
      <c r="CD163" s="59">
        <f ca="1">AVERAGE(OFFSET($CC$3,0,0,'Données projet'!$E$12+1,1))-AVERAGE(OFFSET($H$3,0,0,'Données projet'!$E$12+1,1))</f>
        <v>593.28343396240075</v>
      </c>
      <c r="CE163" s="59">
        <f t="shared" si="148"/>
        <v>289.66477662068695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43.650873028039207</v>
      </c>
      <c r="CL163" s="21">
        <f>EXP(-LN(2)/25)*CL162+(1-EXP(-LN(2)/25))/(LN(2)/25)*Calculateur!CG163*Calculateur!CI163*VLOOKUP('Données projet'!$B$12,Paramètres!$A$1:$I$89,3,0)*0.475*44/12</f>
        <v>22.980028978645652</v>
      </c>
      <c r="CM163" s="21">
        <f>EXP(-LN(2)/2)*CM162+(1-EXP(-LN(2)/2))/(LN(2)/2)*CG163*CJ163*VLOOKUP('Données projet'!$B$12,Paramètres!$A$1:$I$89,3,0)*0.475*44/12</f>
        <v>2.5911227455865857E-2</v>
      </c>
      <c r="CN163" s="22">
        <f t="shared" si="172"/>
        <v>66.656813234140728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9.4880000000000049</v>
      </c>
      <c r="CT163" s="12">
        <f>IF('Données projet'!$A$140&gt;35,CT162+CS163-DB162,IF(A163&lt;'Données projet'!$A$140,$CQ$205^A163,IF(A163='Données projet'!$A$140,'Données projet'!$B$140,CT162+CS163-DB162)))</f>
        <v>542.36800000000119</v>
      </c>
      <c r="CU163" s="17">
        <f>CT163*VLOOKUP('Données projet'!$B$13,Paramètres!$A$1:$I$89,3,0)*VLOOKUP('Données projet'!$B$13,Paramètres!$A$1:$I$89,5,0)</f>
        <v>583.80491520000123</v>
      </c>
      <c r="CV163" s="13">
        <f t="shared" si="173"/>
        <v>128.1817646745607</v>
      </c>
      <c r="CW163" s="20">
        <f t="shared" si="174"/>
        <v>1240.0434674481953</v>
      </c>
      <c r="CX163" s="59">
        <f t="shared" si="122"/>
        <v>1533.3768007815286</v>
      </c>
      <c r="CY163" s="59">
        <f ca="1">AVERAGE(OFFSET($CX$3,0,0,'Données projet'!$E$13+1,1))-AVERAGE(OFFSET($H$3,0,0,'Données projet'!$E$13+1,1))</f>
        <v>747.18304127457918</v>
      </c>
      <c r="CZ163" s="59">
        <f t="shared" si="150"/>
        <v>327.03701004966723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57.195106914860496</v>
      </c>
      <c r="DG163" s="21">
        <f>EXP(-LN(2)/25)*DG162+(1-EXP(-LN(2)/25))/(LN(2)/25)*Calculateur!DB163*Calculateur!DD163*VLOOKUP('Données projet'!$B$13,Paramètres!$A$1:$I$89,3,0)*0.475*44/12</f>
        <v>23.063258774759266</v>
      </c>
      <c r="DH163" s="21">
        <f>EXP(-LN(2)/2)*DH162+(1-EXP(-LN(2)/2))/(LN(2)/2)*DB163*DE163*VLOOKUP('Données projet'!$B$13,Paramètres!$A$1:$I$89,3,0)*0.475*44/12</f>
        <v>2.3171828913800432E-5</v>
      </c>
      <c r="DI163" s="22">
        <f t="shared" si="175"/>
        <v>80.25838886144868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353.37479213497227</v>
      </c>
      <c r="DU163" s="59">
        <f t="shared" si="152"/>
        <v>345.4750813433123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10.660686186492937</v>
      </c>
      <c r="EB163" s="21">
        <f>EXP(-LN(2)/25)*EB162+(1-EXP(-LN(2)/25))/(LN(2)/25)*Calculateur!DW163*Calculateur!DY163*VLOOKUP('Données projet'!$B$14,Paramètres!$A$1:$I$89,3,0)*0.475*44/12</f>
        <v>5.5849895906691991</v>
      </c>
      <c r="EC163" s="21">
        <f>EXP(-LN(2)/2)*EC162+(1-EXP(-LN(2)/2))/(LN(2)/2)*DW163*DZ163*VLOOKUP('Données projet'!$B$14,Paramètres!$A$1:$I$89,3,0)*0.475*44/12</f>
        <v>5.6771860913069169E-11</v>
      </c>
      <c r="ED163" s="22">
        <f t="shared" si="178"/>
        <v>16.245675777218906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-4.5474735088646412E-13</v>
      </c>
      <c r="EK163" s="17">
        <f>EJ163*VLOOKUP('Données projet'!$B$15,Paramètres!$A$1:$I$89,3,0)*VLOOKUP('Données projet'!$B$15,Paramètres!$A$1:$I$89,5,0)</f>
        <v>-2.1282176021486519E-13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433.05041777893922</v>
      </c>
      <c r="EP163" s="59">
        <f t="shared" si="154"/>
        <v>591.24088611958996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118.26072915339388</v>
      </c>
      <c r="EW163" s="21">
        <f>EXP(-LN(2)/25)*EW162+(1-EXP(-LN(2)/25))/(LN(2)/25)*Calculateur!ER163*Calculateur!ET163*VLOOKUP('Données projet'!$B$15,Paramètres!$A$1:$I$89,3,0)*0.475*44/12</f>
        <v>23.363656266285584</v>
      </c>
      <c r="EX163" s="21">
        <f>EXP(-LN(2)/2)*EX162+(1-EXP(-LN(2)/2))/(LN(2)/2)*ER163*EU163*VLOOKUP('Données projet'!$B$15,Paramètres!$A$1:$I$89,3,0)*0.475*44/12</f>
        <v>2.5759869394797858E-7</v>
      </c>
      <c r="EY163" s="22">
        <f t="shared" si="181"/>
        <v>141.62438567727816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-8.5265128291212022E-14</v>
      </c>
      <c r="FF163" s="17">
        <f>FE163*VLOOKUP('Données projet'!$B$16,Paramètres!$A$1:$I$89,3,0)*VLOOKUP('Données projet'!$B$16,Paramètres!$A$1:$I$89,5,0)</f>
        <v>-6.9167072069831198E-14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159.4660488566085</v>
      </c>
      <c r="FK163" s="59">
        <f t="shared" si="156"/>
        <v>135.33030558297088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</v>
      </c>
      <c r="FR163" s="21">
        <f>EXP(-LN(2)/25)*FR162+(1-EXP(-LN(2)/25))/(LN(2)/25)*Calculateur!FM163*Calculateur!FO163*VLOOKUP('Données projet'!$B$16,Paramètres!$A$1:$I$89,3,0)*0.475*44/12</f>
        <v>2.3231463660272444</v>
      </c>
      <c r="FS163" s="21">
        <f>EXP(-LN(2)/2)*FS162+(1-EXP(-LN(2)/2))/(LN(2)/2)*FM163*FP163*VLOOKUP('Données projet'!$B$16,Paramètres!$A$1:$I$89,3,0)*0.475*44/12</f>
        <v>7.289073669593401E-10</v>
      </c>
      <c r="FT163" s="22">
        <f t="shared" si="184"/>
        <v>2.3231463667561516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9.4880000000000049</v>
      </c>
      <c r="N164" s="13">
        <f>IF('Données projet'!$A$36&gt;35,N163+M164-V163,IF(A164&lt;'Données projet'!$A$36,$K$205^A164,IF(A164='Données projet'!$A$36,'Données projet'!$B$36,N163+M164-V163)))</f>
        <v>551.85600000000125</v>
      </c>
      <c r="O164" s="13">
        <f>N164*VLOOKUP('Données projet'!$B$9,Paramètres!$A$1:$I$89,3,0)*VLOOKUP('Données projet'!$B$9,Paramètres!$A$1:$I$89,5,0)</f>
        <v>559.58198400000128</v>
      </c>
      <c r="P164" s="13">
        <f t="shared" si="141"/>
        <v>123.47085376087081</v>
      </c>
      <c r="Q164" s="20">
        <f t="shared" si="162"/>
        <v>1189.6503591001856</v>
      </c>
      <c r="R164" s="59">
        <f t="shared" si="109"/>
        <v>1482.9836924335189</v>
      </c>
      <c r="S164" s="59">
        <f ca="1">AVERAGE(OFFSET($R$3,0,0,'Données projet'!$E$9+1,1))-AVERAGE(OFFSET($H$3,0,0,'Données projet'!$E$9+1,1))</f>
        <v>706.69239849991595</v>
      </c>
      <c r="T164" s="59">
        <f t="shared" si="142"/>
        <v>310.59887275116529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52.822905420275269</v>
      </c>
      <c r="AA164" s="21">
        <f>EXP(-LN(2)/25)*AA163+(1-EXP(-LN(2)/25))/(LN(2)/25)*Calculateur!V164*Calculateur!X164*VLOOKUP('Données projet'!$B$9,Paramètres!$A$1:$I$89,3,0)*0.475*44/12</f>
        <v>21.132152591257423</v>
      </c>
      <c r="AB164" s="21">
        <f>EXP(-LN(2)/2)*AB163+(1-EXP(-LN(2)/2))/(LN(2)/2)*V164*Y164*VLOOKUP('Données projet'!$B$9,Paramètres!$A$1:$I$89,3,0)*0.475*44/12</f>
        <v>1.5435104757011331E-5</v>
      </c>
      <c r="AC164" s="22">
        <f t="shared" si="163"/>
        <v>73.955073446637442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239.26156489359892</v>
      </c>
      <c r="AO164" s="59">
        <f t="shared" si="144"/>
        <v>213.97034450798111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2.6505006472483137</v>
      </c>
      <c r="AV164" s="21">
        <f>EXP(-LN(2)/25)*AV163+(1-EXP(-LN(2)/25))/(LN(2)/25)*Calculateur!AQ164*Calculateur!AS164*VLOOKUP('Données projet'!$B$10,Paramètres!$A$1:$I$89,3,0)*0.475*44/12</f>
        <v>8.9191544628735766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11.569655110121889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-1.7053025658242404E-13</v>
      </c>
      <c r="BE164" s="13">
        <f>BD164*VLOOKUP('Données projet'!$B$11,Paramètres!$A$1:$I$89,3,0)*VLOOKUP('Données projet'!$B$11,Paramètres!$A$1:$I$89,5,0)</f>
        <v>-1.4897523215040567E-13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324.86930206492627</v>
      </c>
      <c r="BJ164" s="59">
        <f t="shared" si="146"/>
        <v>317.03005098025352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9.2640495253286623</v>
      </c>
      <c r="BQ164" s="21">
        <f>EXP(-LN(2)/25)*BQ163+(1-EXP(-LN(2)/25))/(LN(2)/25)*Calculateur!BL164*Calculateur!BN164*VLOOKUP('Données projet'!$B$11,Paramètres!$A$1:$I$89,3,0)*0.475*44/12</f>
        <v>4.9233178335413674</v>
      </c>
      <c r="BR164" s="21">
        <f>EXP(-LN(2)/2)*BR163+(1-EXP(-LN(2)/2))/(LN(2)/2)*BL164*BO164*VLOOKUP('Données projet'!$B$11,Paramètres!$A$1:$I$89,3,0)*0.475*44/12</f>
        <v>3.6706144802006462E-11</v>
      </c>
      <c r="BS164" s="22">
        <f t="shared" si="169"/>
        <v>14.187367358906737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7.6783333333333319</v>
      </c>
      <c r="BY164" s="12">
        <f>IF('Données projet'!$A$114&gt;35,BY163+BX164-CG163,IF(A164&lt;'Données projet'!$A$114,$BV$205^A164,IF(A164='Données projet'!$A$114,'Données projet'!$B$114,BY163+BX164-CG163)))</f>
        <v>381.9016666666663</v>
      </c>
      <c r="BZ164" s="13">
        <f>BY164*VLOOKUP('Données projet'!$B$12,Paramètres!$A$1:$I$89,3,0)*VLOOKUP('Données projet'!$B$12,Paramètres!$A$1:$I$89,5,0)</f>
        <v>434.90961799999963</v>
      </c>
      <c r="CA164" s="13">
        <f t="shared" si="170"/>
        <v>98.819222372764287</v>
      </c>
      <c r="CB164" s="20">
        <f t="shared" si="171"/>
        <v>929.57773031589704</v>
      </c>
      <c r="CC164" s="59">
        <f t="shared" si="119"/>
        <v>1222.9110636492303</v>
      </c>
      <c r="CD164" s="59">
        <f ca="1">AVERAGE(OFFSET($CC$3,0,0,'Données projet'!$E$12+1,1))-AVERAGE(OFFSET($H$3,0,0,'Données projet'!$E$12+1,1))</f>
        <v>593.28343396240075</v>
      </c>
      <c r="CE164" s="59">
        <f t="shared" si="148"/>
        <v>289.66477662068695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42.794906032362967</v>
      </c>
      <c r="CL164" s="21">
        <f>EXP(-LN(2)/25)*CL163+(1-EXP(-LN(2)/25))/(LN(2)/25)*Calculateur!CG164*Calculateur!CI164*VLOOKUP('Données projet'!$B$12,Paramètres!$A$1:$I$89,3,0)*0.475*44/12</f>
        <v>22.351638877757384</v>
      </c>
      <c r="CM164" s="21">
        <f>EXP(-LN(2)/2)*CM163+(1-EXP(-LN(2)/2))/(LN(2)/2)*CG164*CJ164*VLOOKUP('Données projet'!$B$12,Paramètres!$A$1:$I$89,3,0)*0.475*44/12</f>
        <v>1.8322004642909801E-2</v>
      </c>
      <c r="CN164" s="22">
        <f t="shared" si="172"/>
        <v>65.164866914763266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9.4880000000000049</v>
      </c>
      <c r="CT164" s="12">
        <f>IF('Données projet'!$A$140&gt;35,CT163+CS164-DB163,IF(A164&lt;'Données projet'!$A$140,$CQ$205^A164,IF(A164='Données projet'!$A$140,'Données projet'!$B$140,CT163+CS164-DB163)))</f>
        <v>551.85600000000125</v>
      </c>
      <c r="CU164" s="17">
        <f>CT164*VLOOKUP('Données projet'!$B$13,Paramètres!$A$1:$I$89,3,0)*VLOOKUP('Données projet'!$B$13,Paramètres!$A$1:$I$89,5,0)</f>
        <v>594.01779840000131</v>
      </c>
      <c r="CV164" s="13">
        <f t="shared" si="173"/>
        <v>130.16111666701843</v>
      </c>
      <c r="CW164" s="20">
        <f t="shared" si="174"/>
        <v>1261.2782770750593</v>
      </c>
      <c r="CX164" s="59">
        <f t="shared" si="122"/>
        <v>1554.6116104083926</v>
      </c>
      <c r="CY164" s="59">
        <f ca="1">AVERAGE(OFFSET($CX$3,0,0,'Données projet'!$E$13+1,1))-AVERAGE(OFFSET($H$3,0,0,'Données projet'!$E$13+1,1))</f>
        <v>747.18304127457918</v>
      </c>
      <c r="CZ164" s="59">
        <f t="shared" si="150"/>
        <v>327.03701004966723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56.073545753830636</v>
      </c>
      <c r="DG164" s="21">
        <f>EXP(-LN(2)/25)*DG163+(1-EXP(-LN(2)/25))/(LN(2)/25)*Calculateur!DB164*Calculateur!DD164*VLOOKUP('Données projet'!$B$13,Paramètres!$A$1:$I$89,3,0)*0.475*44/12</f>
        <v>22.432592750719408</v>
      </c>
      <c r="DH164" s="21">
        <f>EXP(-LN(2)/2)*DH163+(1-EXP(-LN(2)/2))/(LN(2)/2)*DB164*DE164*VLOOKUP('Données projet'!$B$13,Paramètres!$A$1:$I$89,3,0)*0.475*44/12</f>
        <v>1.6384957357442797E-5</v>
      </c>
      <c r="DI164" s="22">
        <f t="shared" si="175"/>
        <v>78.506154889507414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353.37479213497227</v>
      </c>
      <c r="DU164" s="59">
        <f t="shared" si="152"/>
        <v>345.4750813433123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10.451636632752328</v>
      </c>
      <c r="EB164" s="21">
        <f>EXP(-LN(2)/25)*EB163+(1-EXP(-LN(2)/25))/(LN(2)/25)*Calculateur!DW164*Calculateur!DY164*VLOOKUP('Données projet'!$B$14,Paramètres!$A$1:$I$89,3,0)*0.475*44/12</f>
        <v>5.4322677566105115</v>
      </c>
      <c r="EC164" s="21">
        <f>EXP(-LN(2)/2)*EC163+(1-EXP(-LN(2)/2))/(LN(2)/2)*DW164*DZ164*VLOOKUP('Données projet'!$B$14,Paramètres!$A$1:$I$89,3,0)*0.475*44/12</f>
        <v>4.0143767832210711E-11</v>
      </c>
      <c r="ED164" s="22">
        <f t="shared" si="178"/>
        <v>15.883904389402984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-4.5474735088646412E-13</v>
      </c>
      <c r="EK164" s="17">
        <f>EJ164*VLOOKUP('Données projet'!$B$15,Paramètres!$A$1:$I$89,3,0)*VLOOKUP('Données projet'!$B$15,Paramètres!$A$1:$I$89,5,0)</f>
        <v>-2.1282176021486519E-13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433.05041777893922</v>
      </c>
      <c r="EP164" s="59">
        <f t="shared" si="154"/>
        <v>591.24088611958996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115.94170838661817</v>
      </c>
      <c r="EW164" s="21">
        <f>EXP(-LN(2)/25)*EW163+(1-EXP(-LN(2)/25))/(LN(2)/25)*Calculateur!ER164*Calculateur!ET164*VLOOKUP('Données projet'!$B$15,Paramètres!$A$1:$I$89,3,0)*0.475*44/12</f>
        <v>22.724775857042719</v>
      </c>
      <c r="EX164" s="21">
        <f>EXP(-LN(2)/2)*EX163+(1-EXP(-LN(2)/2))/(LN(2)/2)*ER164*EU164*VLOOKUP('Données projet'!$B$15,Paramètres!$A$1:$I$89,3,0)*0.475*44/12</f>
        <v>1.8214978331541372E-7</v>
      </c>
      <c r="EY164" s="22">
        <f t="shared" si="181"/>
        <v>138.66648442581069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-8.5265128291212022E-14</v>
      </c>
      <c r="FF164" s="17">
        <f>FE164*VLOOKUP('Données projet'!$B$16,Paramètres!$A$1:$I$89,3,0)*VLOOKUP('Données projet'!$B$16,Paramètres!$A$1:$I$89,5,0)</f>
        <v>-6.9167072069831198E-14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159.4660488566085</v>
      </c>
      <c r="FK164" s="59">
        <f t="shared" si="156"/>
        <v>135.33030558297088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</v>
      </c>
      <c r="FR164" s="21">
        <f>EXP(-LN(2)/25)*FR163+(1-EXP(-LN(2)/25))/(LN(2)/25)*Calculateur!FM164*Calculateur!FO164*VLOOKUP('Données projet'!$B$16,Paramètres!$A$1:$I$89,3,0)*0.475*44/12</f>
        <v>2.2596198064792716</v>
      </c>
      <c r="FS164" s="21">
        <f>EXP(-LN(2)/2)*FS163+(1-EXP(-LN(2)/2))/(LN(2)/2)*FM164*FP164*VLOOKUP('Données projet'!$B$16,Paramètres!$A$1:$I$89,3,0)*0.475*44/12</f>
        <v>5.1541534203378058E-10</v>
      </c>
      <c r="FT164" s="22">
        <f t="shared" si="184"/>
        <v>2.2596198069946869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9.4880000000000049</v>
      </c>
      <c r="N165" s="13">
        <f>IF('Données projet'!$A$36&gt;35,N164+M165-V164,IF(A165&lt;'Données projet'!$A$36,$K$205^A165,IF(A165='Données projet'!$A$36,'Données projet'!$B$36,N164+M165-V164)))</f>
        <v>561.3440000000013</v>
      </c>
      <c r="O165" s="13">
        <f>N165*VLOOKUP('Données projet'!$B$9,Paramètres!$A$1:$I$89,3,0)*VLOOKUP('Données projet'!$B$9,Paramètres!$A$1:$I$89,5,0)</f>
        <v>569.20281600000135</v>
      </c>
      <c r="P165" s="13">
        <f t="shared" si="141"/>
        <v>125.34471332512402</v>
      </c>
      <c r="Q165" s="20">
        <f t="shared" si="162"/>
        <v>1209.6702802412601</v>
      </c>
      <c r="R165" s="59">
        <f t="shared" si="109"/>
        <v>1503.0036135745934</v>
      </c>
      <c r="S165" s="59">
        <f ca="1">AVERAGE(OFFSET($R$3,0,0,'Données projet'!$E$9+1,1))-AVERAGE(OFFSET($H$3,0,0,'Données projet'!$E$9+1,1))</f>
        <v>706.69239849991595</v>
      </c>
      <c r="T165" s="59">
        <f t="shared" si="142"/>
        <v>310.59887275116529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51.787080463774636</v>
      </c>
      <c r="AA165" s="21">
        <f>EXP(-LN(2)/25)*AA164+(1-EXP(-LN(2)/25))/(LN(2)/25)*Calculateur!V165*Calculateur!X165*VLOOKUP('Données projet'!$B$9,Paramètres!$A$1:$I$89,3,0)*0.475*44/12</f>
        <v>20.554292767357882</v>
      </c>
      <c r="AB165" s="21">
        <f>EXP(-LN(2)/2)*AB164+(1-EXP(-LN(2)/2))/(LN(2)/2)*V165*Y165*VLOOKUP('Données projet'!$B$9,Paramètres!$A$1:$I$89,3,0)*0.475*44/12</f>
        <v>1.091426724200745E-5</v>
      </c>
      <c r="AC165" s="22">
        <f t="shared" si="163"/>
        <v>72.341384145399758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239.26156489359892</v>
      </c>
      <c r="AO165" s="59">
        <f t="shared" si="144"/>
        <v>213.97034450798111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2.5985259462015384</v>
      </c>
      <c r="AV165" s="21">
        <f>EXP(-LN(2)/25)*AV164+(1-EXP(-LN(2)/25))/(LN(2)/25)*Calculateur!AQ165*Calculateur!AS165*VLOOKUP('Données projet'!$B$10,Paramètres!$A$1:$I$89,3,0)*0.475*44/12</f>
        <v>8.6752597150483499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11.273785661249889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-1.7053025658242404E-13</v>
      </c>
      <c r="BE165" s="13">
        <f>BD165*VLOOKUP('Données projet'!$B$11,Paramètres!$A$1:$I$89,3,0)*VLOOKUP('Données projet'!$B$11,Paramètres!$A$1:$I$89,5,0)</f>
        <v>-1.4897523215040567E-13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324.86930206492627</v>
      </c>
      <c r="BJ165" s="59">
        <f t="shared" si="146"/>
        <v>317.03005098025352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9.0823871646492353</v>
      </c>
      <c r="BQ165" s="21">
        <f>EXP(-LN(2)/25)*BQ164+(1-EXP(-LN(2)/25))/(LN(2)/25)*Calculateur!BL165*Calculateur!BN165*VLOOKUP('Données projet'!$B$11,Paramètres!$A$1:$I$89,3,0)*0.475*44/12</f>
        <v>4.7886894484771458</v>
      </c>
      <c r="BR165" s="21">
        <f>EXP(-LN(2)/2)*BR164+(1-EXP(-LN(2)/2))/(LN(2)/2)*BL165*BO165*VLOOKUP('Données projet'!$B$11,Paramètres!$A$1:$I$89,3,0)*0.475*44/12</f>
        <v>2.5955163900714112E-11</v>
      </c>
      <c r="BS165" s="22">
        <f t="shared" si="169"/>
        <v>13.871076613152335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7.6783333333333319</v>
      </c>
      <c r="BY165" s="12">
        <f>IF('Données projet'!$A$114&gt;35,BY164+BX165-CG164,IF(A165&lt;'Données projet'!$A$114,$BV$205^A165,IF(A165='Données projet'!$A$114,'Données projet'!$B$114,BY164+BX165-CG164)))</f>
        <v>389.57999999999964</v>
      </c>
      <c r="BZ165" s="13">
        <f>BY165*VLOOKUP('Données projet'!$B$12,Paramètres!$A$1:$I$89,3,0)*VLOOKUP('Données projet'!$B$12,Paramètres!$A$1:$I$89,5,0)</f>
        <v>443.65370399999966</v>
      </c>
      <c r="CA165" s="13">
        <f t="shared" si="170"/>
        <v>100.57273069130399</v>
      </c>
      <c r="CB165" s="20">
        <f t="shared" si="171"/>
        <v>947.86104042068712</v>
      </c>
      <c r="CC165" s="59">
        <f t="shared" si="119"/>
        <v>1241.1943737540205</v>
      </c>
      <c r="CD165" s="59">
        <f ca="1">AVERAGE(OFFSET($CC$3,0,0,'Données projet'!$E$12+1,1))-AVERAGE(OFFSET($H$3,0,0,'Données projet'!$E$12+1,1))</f>
        <v>593.28343396240075</v>
      </c>
      <c r="CE165" s="59">
        <f t="shared" si="148"/>
        <v>289.66477662068695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41.955724027383617</v>
      </c>
      <c r="CL165" s="21">
        <f>EXP(-LN(2)/25)*CL164+(1-EXP(-LN(2)/25))/(LN(2)/25)*Calculateur!CG165*Calculateur!CI165*VLOOKUP('Données projet'!$B$12,Paramètres!$A$1:$I$89,3,0)*0.475*44/12</f>
        <v>21.740432137223504</v>
      </c>
      <c r="CM165" s="21">
        <f>EXP(-LN(2)/2)*CM164+(1-EXP(-LN(2)/2))/(LN(2)/2)*CG165*CJ165*VLOOKUP('Données projet'!$B$12,Paramètres!$A$1:$I$89,3,0)*0.475*44/12</f>
        <v>1.2955613727932929E-2</v>
      </c>
      <c r="CN165" s="22">
        <f t="shared" si="172"/>
        <v>63.70911177833505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9.4880000000000049</v>
      </c>
      <c r="CT165" s="12">
        <f>IF('Données projet'!$A$140&gt;35,CT164+CS165-DB164,IF(A165&lt;'Données projet'!$A$140,$CQ$205^A165,IF(A165='Données projet'!$A$140,'Données projet'!$B$140,CT164+CS165-DB164)))</f>
        <v>561.3440000000013</v>
      </c>
      <c r="CU165" s="17">
        <f>CT165*VLOOKUP('Données projet'!$B$13,Paramètres!$A$1:$I$89,3,0)*VLOOKUP('Données projet'!$B$13,Paramètres!$A$1:$I$89,5,0)</f>
        <v>604.23068160000139</v>
      </c>
      <c r="CV165" s="13">
        <f t="shared" si="173"/>
        <v>132.13651123125092</v>
      </c>
      <c r="CW165" s="20">
        <f t="shared" si="174"/>
        <v>1282.5061941810975</v>
      </c>
      <c r="CX165" s="59">
        <f t="shared" si="122"/>
        <v>1575.8395275144308</v>
      </c>
      <c r="CY165" s="59">
        <f ca="1">AVERAGE(OFFSET($CX$3,0,0,'Données projet'!$E$13+1,1))-AVERAGE(OFFSET($H$3,0,0,'Données projet'!$E$13+1,1))</f>
        <v>747.18304127457918</v>
      </c>
      <c r="CZ165" s="59">
        <f t="shared" si="150"/>
        <v>327.03701004966723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54.973977723083813</v>
      </c>
      <c r="DG165" s="21">
        <f>EXP(-LN(2)/25)*DG164+(1-EXP(-LN(2)/25))/(LN(2)/25)*Calculateur!DB165*Calculateur!DD165*VLOOKUP('Données projet'!$B$13,Paramètres!$A$1:$I$89,3,0)*0.475*44/12</f>
        <v>21.819172322272202</v>
      </c>
      <c r="DH165" s="21">
        <f>EXP(-LN(2)/2)*DH164+(1-EXP(-LN(2)/2))/(LN(2)/2)*DB165*DE165*VLOOKUP('Données projet'!$B$13,Paramètres!$A$1:$I$89,3,0)*0.475*44/12</f>
        <v>1.1585914456900216E-5</v>
      </c>
      <c r="DI165" s="22">
        <f t="shared" si="175"/>
        <v>76.793161631270465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353.37479213497227</v>
      </c>
      <c r="DU165" s="59">
        <f t="shared" si="152"/>
        <v>345.4750813433123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10.246686413252934</v>
      </c>
      <c r="EB165" s="21">
        <f>EXP(-LN(2)/25)*EB164+(1-EXP(-LN(2)/25))/(LN(2)/25)*Calculateur!DW165*Calculateur!DY165*VLOOKUP('Données projet'!$B$14,Paramètres!$A$1:$I$89,3,0)*0.475*44/12</f>
        <v>5.2837221091354518</v>
      </c>
      <c r="EC165" s="21">
        <f>EXP(-LN(2)/2)*EC164+(1-EXP(-LN(2)/2))/(LN(2)/2)*DW165*DZ165*VLOOKUP('Données projet'!$B$14,Paramètres!$A$1:$I$89,3,0)*0.475*44/12</f>
        <v>2.8385930456534585E-11</v>
      </c>
      <c r="ED165" s="22">
        <f t="shared" si="178"/>
        <v>15.530408522416772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-4.5474735088646412E-13</v>
      </c>
      <c r="EK165" s="17">
        <f>EJ165*VLOOKUP('Données projet'!$B$15,Paramètres!$A$1:$I$89,3,0)*VLOOKUP('Données projet'!$B$15,Paramètres!$A$1:$I$89,5,0)</f>
        <v>-2.1282176021486519E-13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433.05041777893922</v>
      </c>
      <c r="EP165" s="59">
        <f t="shared" si="154"/>
        <v>591.24088611958996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113.66816220261593</v>
      </c>
      <c r="EW165" s="21">
        <f>EXP(-LN(2)/25)*EW164+(1-EXP(-LN(2)/25))/(LN(2)/25)*Calculateur!ER165*Calculateur!ET165*VLOOKUP('Données projet'!$B$15,Paramètres!$A$1:$I$89,3,0)*0.475*44/12</f>
        <v>22.103365666187862</v>
      </c>
      <c r="EX165" s="21">
        <f>EXP(-LN(2)/2)*EX164+(1-EXP(-LN(2)/2))/(LN(2)/2)*ER165*EU165*VLOOKUP('Données projet'!$B$15,Paramètres!$A$1:$I$89,3,0)*0.475*44/12</f>
        <v>1.2879934697398929E-7</v>
      </c>
      <c r="EY165" s="22">
        <f t="shared" si="181"/>
        <v>135.77152799760313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-8.5265128291212022E-14</v>
      </c>
      <c r="FF165" s="17">
        <f>FE165*VLOOKUP('Données projet'!$B$16,Paramètres!$A$1:$I$89,3,0)*VLOOKUP('Données projet'!$B$16,Paramètres!$A$1:$I$89,5,0)</f>
        <v>-6.9167072069831198E-14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159.4660488566085</v>
      </c>
      <c r="FK165" s="59">
        <f t="shared" si="156"/>
        <v>135.33030558297088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</v>
      </c>
      <c r="FR165" s="21">
        <f>EXP(-LN(2)/25)*FR164+(1-EXP(-LN(2)/25))/(LN(2)/25)*Calculateur!FM165*Calculateur!FO165*VLOOKUP('Données projet'!$B$16,Paramètres!$A$1:$I$89,3,0)*0.475*44/12</f>
        <v>2.1978303840428546</v>
      </c>
      <c r="FS165" s="21">
        <f>EXP(-LN(2)/2)*FS164+(1-EXP(-LN(2)/2))/(LN(2)/2)*FM165*FP165*VLOOKUP('Données projet'!$B$16,Paramètres!$A$1:$I$89,3,0)*0.475*44/12</f>
        <v>3.6445368347967005E-10</v>
      </c>
      <c r="FT165" s="22">
        <f t="shared" si="184"/>
        <v>2.1978303844073084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9.4880000000000049</v>
      </c>
      <c r="N166" s="13">
        <f>IF('Données projet'!$A$36&gt;35,N165+M166-V165,IF(A166&lt;'Données projet'!$A$36,$K$205^A166,IF(A166='Données projet'!$A$36,'Données projet'!$B$36,N165+M166-V165)))</f>
        <v>570.83200000000136</v>
      </c>
      <c r="O166" s="13">
        <f>N166*VLOOKUP('Données projet'!$B$9,Paramètres!$A$1:$I$89,3,0)*VLOOKUP('Données projet'!$B$9,Paramètres!$A$1:$I$89,5,0)</f>
        <v>578.82364800000141</v>
      </c>
      <c r="P166" s="13">
        <f t="shared" si="141"/>
        <v>127.21488964679713</v>
      </c>
      <c r="Q166" s="20">
        <f t="shared" si="162"/>
        <v>1229.6837864015072</v>
      </c>
      <c r="R166" s="59">
        <f t="shared" si="109"/>
        <v>1523.0171197348404</v>
      </c>
      <c r="S166" s="59">
        <f ca="1">AVERAGE(OFFSET($R$3,0,0,'Données projet'!$E$9+1,1))-AVERAGE(OFFSET($H$3,0,0,'Données projet'!$E$9+1,1))</f>
        <v>706.69239849991595</v>
      </c>
      <c r="T166" s="59">
        <f t="shared" si="142"/>
        <v>310.59887275116529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50.771567402880144</v>
      </c>
      <c r="AA166" s="21">
        <f>EXP(-LN(2)/25)*AA165+(1-EXP(-LN(2)/25))/(LN(2)/25)*Calculateur!V166*Calculateur!X166*VLOOKUP('Données projet'!$B$9,Paramètres!$A$1:$I$89,3,0)*0.475*44/12</f>
        <v>19.992234550731201</v>
      </c>
      <c r="AB166" s="21">
        <f>EXP(-LN(2)/2)*AB165+(1-EXP(-LN(2)/2))/(LN(2)/2)*V166*Y166*VLOOKUP('Données projet'!$B$9,Paramètres!$A$1:$I$89,3,0)*0.475*44/12</f>
        <v>7.7175523785056654E-6</v>
      </c>
      <c r="AC166" s="22">
        <f t="shared" si="163"/>
        <v>70.763809671163727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239.26156489359892</v>
      </c>
      <c r="AO166" s="59">
        <f t="shared" si="144"/>
        <v>213.97034450798111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2.5475704373408532</v>
      </c>
      <c r="AV166" s="21">
        <f>EXP(-LN(2)/25)*AV165+(1-EXP(-LN(2)/25))/(LN(2)/25)*Calculateur!AQ166*Calculateur!AS166*VLOOKUP('Données projet'!$B$10,Paramètres!$A$1:$I$89,3,0)*0.475*44/12</f>
        <v>8.4380342819282728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10.985604719269126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-1.7053025658242404E-13</v>
      </c>
      <c r="BE166" s="13">
        <f>BD166*VLOOKUP('Données projet'!$B$11,Paramètres!$A$1:$I$89,3,0)*VLOOKUP('Données projet'!$B$11,Paramètres!$A$1:$I$89,5,0)</f>
        <v>-1.4897523215040567E-13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324.86930206492627</v>
      </c>
      <c r="BJ166" s="59">
        <f t="shared" si="146"/>
        <v>317.03005098025352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8.9042870920596329</v>
      </c>
      <c r="BQ166" s="21">
        <f>EXP(-LN(2)/25)*BQ165+(1-EXP(-LN(2)/25))/(LN(2)/25)*Calculateur!BL166*Calculateur!BN166*VLOOKUP('Données projet'!$B$11,Paramètres!$A$1:$I$89,3,0)*0.475*44/12</f>
        <v>4.6577424836823047</v>
      </c>
      <c r="BR166" s="21">
        <f>EXP(-LN(2)/2)*BR165+(1-EXP(-LN(2)/2))/(LN(2)/2)*BL166*BO166*VLOOKUP('Données projet'!$B$11,Paramètres!$A$1:$I$89,3,0)*0.475*44/12</f>
        <v>1.8353072401003231E-11</v>
      </c>
      <c r="BS166" s="22">
        <f t="shared" si="169"/>
        <v>13.562029575760292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7.6783333333333319</v>
      </c>
      <c r="BY166" s="12">
        <f>IF('Données projet'!$A$114&gt;35,BY165+BX166-CG165,IF(A166&lt;'Données projet'!$A$114,$BV$205^A166,IF(A166='Données projet'!$A$114,'Données projet'!$B$114,BY165+BX166-CG165)))</f>
        <v>397.25833333333298</v>
      </c>
      <c r="BZ166" s="13">
        <f>BY166*VLOOKUP('Données projet'!$B$12,Paramètres!$A$1:$I$89,3,0)*VLOOKUP('Données projet'!$B$12,Paramètres!$A$1:$I$89,5,0)</f>
        <v>452.39778999999959</v>
      </c>
      <c r="CA166" s="13">
        <f t="shared" si="170"/>
        <v>102.32222052098986</v>
      </c>
      <c r="CB166" s="20">
        <f t="shared" si="171"/>
        <v>966.13735165739001</v>
      </c>
      <c r="CC166" s="59">
        <f t="shared" si="119"/>
        <v>1259.4706849907234</v>
      </c>
      <c r="CD166" s="59">
        <f ca="1">AVERAGE(OFFSET($CC$3,0,0,'Données projet'!$E$12+1,1))-AVERAGE(OFFSET($H$3,0,0,'Données projet'!$E$12+1,1))</f>
        <v>593.28343396240075</v>
      </c>
      <c r="CE166" s="59">
        <f t="shared" si="148"/>
        <v>289.66477662068695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41.132997869671435</v>
      </c>
      <c r="CL166" s="21">
        <f>EXP(-LN(2)/25)*CL165+(1-EXP(-LN(2)/25))/(LN(2)/25)*Calculateur!CG166*Calculateur!CI166*VLOOKUP('Données projet'!$B$12,Paramètres!$A$1:$I$89,3,0)*0.475*44/12</f>
        <v>21.14593887715149</v>
      </c>
      <c r="CM166" s="21">
        <f>EXP(-LN(2)/2)*CM165+(1-EXP(-LN(2)/2))/(LN(2)/2)*CG166*CJ166*VLOOKUP('Données projet'!$B$12,Paramètres!$A$1:$I$89,3,0)*0.475*44/12</f>
        <v>9.1610023214549006E-3</v>
      </c>
      <c r="CN166" s="22">
        <f t="shared" si="172"/>
        <v>62.288097749144377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9.4880000000000049</v>
      </c>
      <c r="CT166" s="12">
        <f>IF('Données projet'!$A$140&gt;35,CT165+CS166-DB165,IF(A166&lt;'Données projet'!$A$140,$CQ$205^A166,IF(A166='Données projet'!$A$140,'Données projet'!$B$140,CT165+CS166-DB165)))</f>
        <v>570.83200000000136</v>
      </c>
      <c r="CU166" s="17">
        <f>CT166*VLOOKUP('Données projet'!$B$13,Paramètres!$A$1:$I$89,3,0)*VLOOKUP('Données projet'!$B$13,Paramètres!$A$1:$I$89,5,0)</f>
        <v>614.44356480000147</v>
      </c>
      <c r="CV166" s="13">
        <f t="shared" si="173"/>
        <v>134.10802297656238</v>
      </c>
      <c r="CW166" s="20">
        <f t="shared" si="174"/>
        <v>1303.7273487108484</v>
      </c>
      <c r="CX166" s="59">
        <f t="shared" si="122"/>
        <v>1597.0606820441817</v>
      </c>
      <c r="CY166" s="59">
        <f ca="1">AVERAGE(OFFSET($CX$3,0,0,'Données projet'!$E$13+1,1))-AVERAGE(OFFSET($H$3,0,0,'Données projet'!$E$13+1,1))</f>
        <v>747.18304127457918</v>
      </c>
      <c r="CZ166" s="59">
        <f t="shared" si="150"/>
        <v>327.03701004966723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53.895971550749657</v>
      </c>
      <c r="DG166" s="21">
        <f>EXP(-LN(2)/25)*DG165+(1-EXP(-LN(2)/25))/(LN(2)/25)*Calculateur!DB166*Calculateur!DD166*VLOOKUP('Données projet'!$B$13,Paramètres!$A$1:$I$89,3,0)*0.475*44/12</f>
        <v>21.222525907699264</v>
      </c>
      <c r="DH166" s="21">
        <f>EXP(-LN(2)/2)*DH165+(1-EXP(-LN(2)/2))/(LN(2)/2)*DB166*DE166*VLOOKUP('Données projet'!$B$13,Paramètres!$A$1:$I$89,3,0)*0.475*44/12</f>
        <v>8.1924786787213983E-6</v>
      </c>
      <c r="DI166" s="22">
        <f t="shared" si="175"/>
        <v>75.118505650927602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353.37479213497227</v>
      </c>
      <c r="DU166" s="59">
        <f t="shared" si="152"/>
        <v>345.4750813433123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10.045755142550634</v>
      </c>
      <c r="EB166" s="21">
        <f>EXP(-LN(2)/25)*EB165+(1-EXP(-LN(2)/25))/(LN(2)/25)*Calculateur!DW166*Calculateur!DY166*VLOOKUP('Données projet'!$B$14,Paramètres!$A$1:$I$89,3,0)*0.475*44/12</f>
        <v>5.1392384502022734</v>
      </c>
      <c r="EC166" s="21">
        <f>EXP(-LN(2)/2)*EC165+(1-EXP(-LN(2)/2))/(LN(2)/2)*DW166*DZ166*VLOOKUP('Données projet'!$B$14,Paramètres!$A$1:$I$89,3,0)*0.475*44/12</f>
        <v>2.0071883916105355E-11</v>
      </c>
      <c r="ED166" s="22">
        <f t="shared" si="178"/>
        <v>15.184993592772978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-4.5474735088646412E-13</v>
      </c>
      <c r="EK166" s="17">
        <f>EJ166*VLOOKUP('Données projet'!$B$15,Paramètres!$A$1:$I$89,3,0)*VLOOKUP('Données projet'!$B$15,Paramètres!$A$1:$I$89,5,0)</f>
        <v>-2.1282176021486519E-13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433.05041777893922</v>
      </c>
      <c r="EP166" s="59">
        <f t="shared" si="154"/>
        <v>591.24088611958996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111.43919887255574</v>
      </c>
      <c r="EW166" s="21">
        <f>EXP(-LN(2)/25)*EW165+(1-EXP(-LN(2)/25))/(LN(2)/25)*Calculateur!ER166*Calculateur!ET166*VLOOKUP('Données projet'!$B$15,Paramètres!$A$1:$I$89,3,0)*0.475*44/12</f>
        <v>21.498947969680472</v>
      </c>
      <c r="EX166" s="21">
        <f>EXP(-LN(2)/2)*EX165+(1-EXP(-LN(2)/2))/(LN(2)/2)*ER166*EU166*VLOOKUP('Données projet'!$B$15,Paramètres!$A$1:$I$89,3,0)*0.475*44/12</f>
        <v>9.1074891657706858E-8</v>
      </c>
      <c r="EY166" s="22">
        <f t="shared" si="181"/>
        <v>132.93814693331112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-8.5265128291212022E-14</v>
      </c>
      <c r="FF166" s="17">
        <f>FE166*VLOOKUP('Données projet'!$B$16,Paramètres!$A$1:$I$89,3,0)*VLOOKUP('Données projet'!$B$16,Paramètres!$A$1:$I$89,5,0)</f>
        <v>-6.9167072069831198E-14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159.4660488566085</v>
      </c>
      <c r="FK166" s="59">
        <f t="shared" si="156"/>
        <v>135.33030558297088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</v>
      </c>
      <c r="FR166" s="21">
        <f>EXP(-LN(2)/25)*FR165+(1-EXP(-LN(2)/25))/(LN(2)/25)*Calculateur!FM166*Calculateur!FO166*VLOOKUP('Données projet'!$B$16,Paramètres!$A$1:$I$89,3,0)*0.475*44/12</f>
        <v>2.1377305966123261</v>
      </c>
      <c r="FS166" s="21">
        <f>EXP(-LN(2)/2)*FS165+(1-EXP(-LN(2)/2))/(LN(2)/2)*FM166*FP166*VLOOKUP('Données projet'!$B$16,Paramètres!$A$1:$I$89,3,0)*0.475*44/12</f>
        <v>2.5770767101689029E-10</v>
      </c>
      <c r="FT166" s="22">
        <f t="shared" si="184"/>
        <v>2.1377305968700338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580.32000000000005</v>
      </c>
      <c r="L167" s="12">
        <f>VLOOKUP(A167,'Données projet'!$A$35:$I$55,9,0)</f>
        <v>9.4880000000000049</v>
      </c>
      <c r="M167" s="12">
        <f t="array" ref="M167">INDEX(L:L,MIN(IF(ISNUMBER(L167:L363),ROW(L167:L363),"")))</f>
        <v>9.4880000000000049</v>
      </c>
      <c r="N167" s="13">
        <f>IF('Données projet'!$A$36&gt;35,N166+M167-V166,IF(A167&lt;'Données projet'!$A$36,$K$205^A167,IF(A167='Données projet'!$A$36,'Données projet'!$B$36,N166+M167-V166)))</f>
        <v>580.32000000000141</v>
      </c>
      <c r="O167" s="13">
        <f>N167*VLOOKUP('Données projet'!$B$9,Paramètres!$A$1:$I$89,3,0)*VLOOKUP('Données projet'!$B$9,Paramètres!$A$1:$I$89,5,0)</f>
        <v>588.44448000000148</v>
      </c>
      <c r="P167" s="13">
        <f t="shared" si="141"/>
        <v>129.08145101269025</v>
      </c>
      <c r="Q167" s="20">
        <f t="shared" si="162"/>
        <v>1249.6909965137713</v>
      </c>
      <c r="R167" s="59">
        <f t="shared" si="109"/>
        <v>1543.0243298471046</v>
      </c>
      <c r="S167" s="59">
        <f ca="1">AVERAGE(OFFSET($R$3,0,0,'Données projet'!$E$9+1,1))-AVERAGE(OFFSET($H$3,0,0,'Données projet'!$E$9+1,1))</f>
        <v>706.69239849991595</v>
      </c>
      <c r="T167" s="59">
        <f t="shared" si="142"/>
        <v>310.59887275116529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66.020000000000095</v>
      </c>
      <c r="W167" s="16">
        <f>IF(ISNA(VLOOKUP(A167,'Données projet'!$A$35:$I$55,5,0)),0%,VLOOKUP(A167,'Données projet'!$A$35:$I$55,5,0)*VLOOKUP('Données projet'!$B$9,Paramètres!$A$1:$I$89,7,0))</f>
        <v>0.215</v>
      </c>
      <c r="X167" s="16">
        <f>IF(ISNA(VLOOKUP(A167,'Données projet'!$A$35:$I$55,6,0)),0%,VLOOKUP(A167,'Données projet'!$A$35:$I$55,6,0)*VLOOKUP('Données projet'!$B$9,Paramètres!$A$1:$I$89,7,0))</f>
        <v>8.6000000000000007E-2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65.687025436827426</v>
      </c>
      <c r="AA167" s="21">
        <f>EXP(-LN(2)/25)*AA166+(1-EXP(-LN(2)/25))/(LN(2)/25)*Calculateur!V167*Calculateur!X167*VLOOKUP('Données projet'!$B$9,Paramètres!$A$1:$I$89,3,0)*0.475*44/12</f>
        <v>25.784909688452114</v>
      </c>
      <c r="AB167" s="21">
        <f>EXP(-LN(2)/2)*AB166+(1-EXP(-LN(2)/2))/(LN(2)/2)*V167*Y167*VLOOKUP('Données projet'!$B$9,Paramètres!$A$1:$I$89,3,0)*0.475*44/12</f>
        <v>5.4571336210037249E-6</v>
      </c>
      <c r="AC167" s="22">
        <f t="shared" si="163"/>
        <v>91.471940582413168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239.26156489359892</v>
      </c>
      <c r="AO167" s="59">
        <f t="shared" si="144"/>
        <v>213.97034450798111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2.4976141349291345</v>
      </c>
      <c r="AV167" s="21">
        <f>EXP(-LN(2)/25)*AV166+(1-EXP(-LN(2)/25))/(LN(2)/25)*Calculateur!AQ167*Calculateur!AS167*VLOOKUP('Données projet'!$B$10,Paramètres!$A$1:$I$89,3,0)*0.475*44/12</f>
        <v>8.2072957907520063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10.704909925681141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-1.7053025658242404E-13</v>
      </c>
      <c r="BE167" s="13">
        <f>BD167*VLOOKUP('Données projet'!$B$11,Paramètres!$A$1:$I$89,3,0)*VLOOKUP('Données projet'!$B$11,Paramètres!$A$1:$I$89,5,0)</f>
        <v>-1.4897523215040567E-13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324.86930206492627</v>
      </c>
      <c r="BJ167" s="59">
        <f t="shared" si="146"/>
        <v>317.03005098025352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8.7296794532631949</v>
      </c>
      <c r="BQ167" s="21">
        <f>EXP(-LN(2)/25)*BQ166+(1-EXP(-LN(2)/25))/(LN(2)/25)*Calculateur!BL167*Calculateur!BN167*VLOOKUP('Données projet'!$B$11,Paramètres!$A$1:$I$89,3,0)*0.475*44/12</f>
        <v>4.5303762705259807</v>
      </c>
      <c r="BR167" s="21">
        <f>EXP(-LN(2)/2)*BR166+(1-EXP(-LN(2)/2))/(LN(2)/2)*BL167*BO167*VLOOKUP('Données projet'!$B$11,Paramètres!$A$1:$I$89,3,0)*0.475*44/12</f>
        <v>1.2977581950357056E-11</v>
      </c>
      <c r="BS167" s="22">
        <f t="shared" si="169"/>
        <v>13.260055723802154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7.6783333333333319</v>
      </c>
      <c r="BY167" s="12">
        <f>IF('Données projet'!$A$114&gt;35,BY166+BX167-CG166,IF(A167&lt;'Données projet'!$A$114,$BV$205^A167,IF(A167='Données projet'!$A$114,'Données projet'!$B$114,BY166+BX167-CG166)))</f>
        <v>404.93666666666633</v>
      </c>
      <c r="BZ167" s="13">
        <f>BY167*VLOOKUP('Données projet'!$B$12,Paramètres!$A$1:$I$89,3,0)*VLOOKUP('Données projet'!$B$12,Paramètres!$A$1:$I$89,5,0)</f>
        <v>461.14187599999957</v>
      </c>
      <c r="CA167" s="13">
        <f t="shared" si="170"/>
        <v>104.06777848670333</v>
      </c>
      <c r="CB167" s="20">
        <f t="shared" si="171"/>
        <v>984.40681489767428</v>
      </c>
      <c r="CC167" s="59">
        <f t="shared" si="119"/>
        <v>1277.7401482310077</v>
      </c>
      <c r="CD167" s="59">
        <f ca="1">AVERAGE(OFFSET($CC$3,0,0,'Données projet'!$E$12+1,1))-AVERAGE(OFFSET($H$3,0,0,'Données projet'!$E$12+1,1))</f>
        <v>593.28343396240075</v>
      </c>
      <c r="CE167" s="59">
        <f t="shared" si="148"/>
        <v>289.66477662068695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40.326404870098578</v>
      </c>
      <c r="CL167" s="21">
        <f>EXP(-LN(2)/25)*CL166+(1-EXP(-LN(2)/25))/(LN(2)/25)*Calculateur!CG167*Calculateur!CI167*VLOOKUP('Données projet'!$B$12,Paramètres!$A$1:$I$89,3,0)*0.475*44/12</f>
        <v>20.567702066539187</v>
      </c>
      <c r="CM167" s="21">
        <f>EXP(-LN(2)/2)*CM166+(1-EXP(-LN(2)/2))/(LN(2)/2)*CG167*CJ167*VLOOKUP('Données projet'!$B$12,Paramètres!$A$1:$I$89,3,0)*0.475*44/12</f>
        <v>6.4778068639664644E-3</v>
      </c>
      <c r="CN167" s="22">
        <f t="shared" si="172"/>
        <v>60.900584743501739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>
        <f>VLOOKUP(A167,'Données projet'!$A$139:$I$159,2,0)</f>
        <v>580.32000000000005</v>
      </c>
      <c r="CR167" s="12">
        <f>VLOOKUP(A167,'Données projet'!$A$139:$I$159,9,0)</f>
        <v>9.4880000000000049</v>
      </c>
      <c r="CS167" s="12">
        <f t="array" ref="CS167">INDEX(CR:CR,MIN(IF(ISNUMBER(CR167:CR363),ROW(CR167:CR363),"")))</f>
        <v>9.4880000000000049</v>
      </c>
      <c r="CT167" s="12">
        <f>IF('Données projet'!$A$140&gt;35,CT166+CS167-DB166,IF(A167&lt;'Données projet'!$A$140,$CQ$205^A167,IF(A167='Données projet'!$A$140,'Données projet'!$B$140,CT166+CS167-DB166)))</f>
        <v>580.32000000000141</v>
      </c>
      <c r="CU167" s="17">
        <f>CT167*VLOOKUP('Données projet'!$B$13,Paramètres!$A$1:$I$89,3,0)*VLOOKUP('Données projet'!$B$13,Paramètres!$A$1:$I$89,5,0)</f>
        <v>624.65644800000155</v>
      </c>
      <c r="CV167" s="13">
        <f t="shared" si="173"/>
        <v>136.07572388987023</v>
      </c>
      <c r="CW167" s="20">
        <f t="shared" si="174"/>
        <v>1324.9418660415267</v>
      </c>
      <c r="CX167" s="59">
        <f t="shared" si="122"/>
        <v>1618.27519937486</v>
      </c>
      <c r="CY167" s="59">
        <f ca="1">AVERAGE(OFFSET($CX$3,0,0,'Données projet'!$E$13+1,1))-AVERAGE(OFFSET($H$3,0,0,'Données projet'!$E$13+1,1))</f>
        <v>747.18304127457918</v>
      </c>
      <c r="CZ167" s="59">
        <f t="shared" si="150"/>
        <v>327.03701004966723</v>
      </c>
      <c r="DA167" s="15">
        <f>IF(ISNA(VLOOKUP(A167,'Données projet'!$A$139:$I$159,3,0)),0,VLOOKUP(A167,'Données projet'!$A$139:$I$159,3,0))</f>
        <v>14</v>
      </c>
      <c r="DB167" s="15">
        <f>IF(ISNA(VLOOKUP(A167,'Données projet'!$A$139:$I$159,4,0)),0,VLOOKUP(A167,'Données projet'!$A$139:$I$159,4,0))</f>
        <v>66.020000000000095</v>
      </c>
      <c r="DC167" s="16">
        <f>IF(ISNA(VLOOKUP(A167,'Données projet'!$A$139:$I$159,5,0)),0%,VLOOKUP(A167,'Données projet'!$A$139:$I$159,5,0)*VLOOKUP('Données projet'!$B$13,Paramètres!$A$1:$I$89,7,0))</f>
        <v>0.215</v>
      </c>
      <c r="DD167" s="16">
        <f>IF(ISNA(VLOOKUP(A167,'Données projet'!$A$139:$I$159,6,0)),0%,VLOOKUP(A167,'Données projet'!$A$139:$I$159,6,0)*VLOOKUP('Données projet'!$B$13,Paramètres!$A$1:$I$89,7,0))</f>
        <v>8.6000000000000007E-2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69.729303925247535</v>
      </c>
      <c r="DG167" s="21">
        <f>EXP(-LN(2)/25)*DG166+(1-EXP(-LN(2)/25))/(LN(2)/25)*Calculateur!DB167*Calculateur!DD167*VLOOKUP('Données projet'!$B$13,Paramètres!$A$1:$I$89,3,0)*0.475*44/12</f>
        <v>27.371673361587618</v>
      </c>
      <c r="DH167" s="21">
        <f>EXP(-LN(2)/2)*DH166+(1-EXP(-LN(2)/2))/(LN(2)/2)*DB167*DE167*VLOOKUP('Données projet'!$B$13,Paramètres!$A$1:$I$89,3,0)*0.475*44/12</f>
        <v>5.7929572284501079E-6</v>
      </c>
      <c r="DI167" s="22">
        <f t="shared" si="175"/>
        <v>97.100983079792385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353.37479213497227</v>
      </c>
      <c r="DU167" s="59">
        <f t="shared" si="152"/>
        <v>345.4750813433123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9.8487640115108324</v>
      </c>
      <c r="EB167" s="21">
        <f>EXP(-LN(2)/25)*EB166+(1-EXP(-LN(2)/25))/(LN(2)/25)*Calculateur!DW167*Calculateur!DY167*VLOOKUP('Données projet'!$B$14,Paramètres!$A$1:$I$89,3,0)*0.475*44/12</f>
        <v>4.9987057045206882</v>
      </c>
      <c r="EC167" s="21">
        <f>EXP(-LN(2)/2)*EC166+(1-EXP(-LN(2)/2))/(LN(2)/2)*DW167*DZ167*VLOOKUP('Données projet'!$B$14,Paramètres!$A$1:$I$89,3,0)*0.475*44/12</f>
        <v>1.4192965228267292E-11</v>
      </c>
      <c r="ED167" s="22">
        <f t="shared" si="178"/>
        <v>14.847469716045714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-4.5474735088646412E-13</v>
      </c>
      <c r="EK167" s="17">
        <f>EJ167*VLOOKUP('Données projet'!$B$15,Paramètres!$A$1:$I$89,3,0)*VLOOKUP('Données projet'!$B$15,Paramètres!$A$1:$I$89,5,0)</f>
        <v>-2.1282176021486519E-13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433.05041777893922</v>
      </c>
      <c r="EP167" s="59">
        <f t="shared" si="154"/>
        <v>591.24088611958996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109.25394415386464</v>
      </c>
      <c r="EW167" s="21">
        <f>EXP(-LN(2)/25)*EW166+(1-EXP(-LN(2)/25))/(LN(2)/25)*Calculateur!ER167*Calculateur!ET167*VLOOKUP('Données projet'!$B$15,Paramètres!$A$1:$I$89,3,0)*0.475*44/12</f>
        <v>20.911058106869021</v>
      </c>
      <c r="EX167" s="21">
        <f>EXP(-LN(2)/2)*EX166+(1-EXP(-LN(2)/2))/(LN(2)/2)*ER167*EU167*VLOOKUP('Données projet'!$B$15,Paramètres!$A$1:$I$89,3,0)*0.475*44/12</f>
        <v>6.4399673486994644E-8</v>
      </c>
      <c r="EY167" s="22">
        <f t="shared" si="181"/>
        <v>130.16500232513334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-8.5265128291212022E-14</v>
      </c>
      <c r="FF167" s="17">
        <f>FE167*VLOOKUP('Données projet'!$B$16,Paramètres!$A$1:$I$89,3,0)*VLOOKUP('Données projet'!$B$16,Paramètres!$A$1:$I$89,5,0)</f>
        <v>-6.9167072069831198E-14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159.4660488566085</v>
      </c>
      <c r="FK167" s="59">
        <f t="shared" si="156"/>
        <v>135.33030558297088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</v>
      </c>
      <c r="FR167" s="21">
        <f>EXP(-LN(2)/25)*FR166+(1-EXP(-LN(2)/25))/(LN(2)/25)*Calculateur!FM167*Calculateur!FO167*VLOOKUP('Données projet'!$B$16,Paramètres!$A$1:$I$89,3,0)*0.475*44/12</f>
        <v>2.0792742410295957</v>
      </c>
      <c r="FS167" s="21">
        <f>EXP(-LN(2)/2)*FS166+(1-EXP(-LN(2)/2))/(LN(2)/2)*FM167*FP167*VLOOKUP('Données projet'!$B$16,Paramètres!$A$1:$I$89,3,0)*0.475*44/12</f>
        <v>1.8222684173983502E-10</v>
      </c>
      <c r="FT167" s="22">
        <f t="shared" si="184"/>
        <v>2.0792742412118224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9.6220000000000034</v>
      </c>
      <c r="N168" s="13">
        <f>IF('Données projet'!$A$36&gt;35,N167+M168-V167,IF(A168&lt;'Données projet'!$A$36,$K$205^A168,IF(A168='Données projet'!$A$36,'Données projet'!$B$36,N167+M168-V167)))</f>
        <v>523.92200000000128</v>
      </c>
      <c r="O168" s="13">
        <f>N168*VLOOKUP('Données projet'!$B$9,Paramètres!$A$1:$I$89,3,0)*VLOOKUP('Données projet'!$B$9,Paramètres!$A$1:$I$89,5,0)</f>
        <v>531.25690800000132</v>
      </c>
      <c r="P168" s="13">
        <f t="shared" si="141"/>
        <v>117.93187429253524</v>
      </c>
      <c r="Q168" s="20">
        <f t="shared" si="162"/>
        <v>1130.6704624928343</v>
      </c>
      <c r="R168" s="59">
        <f t="shared" si="109"/>
        <v>1424.0037958261676</v>
      </c>
      <c r="S168" s="59">
        <f ca="1">AVERAGE(OFFSET($R$3,0,0,'Données projet'!$E$9+1,1))-AVERAGE(OFFSET($H$3,0,0,'Données projet'!$E$9+1,1))</f>
        <v>706.69239849991595</v>
      </c>
      <c r="T168" s="59">
        <f t="shared" si="142"/>
        <v>310.59887275116529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64.39894293314066</v>
      </c>
      <c r="AA168" s="21">
        <f>EXP(-LN(2)/25)*AA167+(1-EXP(-LN(2)/25))/(LN(2)/25)*Calculateur!V168*Calculateur!X168*VLOOKUP('Données projet'!$B$9,Paramètres!$A$1:$I$89,3,0)*0.475*44/12</f>
        <v>25.079819977051923</v>
      </c>
      <c r="AB168" s="21">
        <f>EXP(-LN(2)/2)*AB167+(1-EXP(-LN(2)/2))/(LN(2)/2)*V168*Y168*VLOOKUP('Données projet'!$B$9,Paramètres!$A$1:$I$89,3,0)*0.475*44/12</f>
        <v>3.8587761892528327E-6</v>
      </c>
      <c r="AC168" s="22">
        <f t="shared" si="163"/>
        <v>89.478766768968782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239.26156489359892</v>
      </c>
      <c r="AO168" s="59">
        <f t="shared" si="144"/>
        <v>213.97034450798111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2.4486374451373738</v>
      </c>
      <c r="AV168" s="21">
        <f>EXP(-LN(2)/25)*AV167+(1-EXP(-LN(2)/25))/(LN(2)/25)*Calculateur!AQ168*Calculateur!AS168*VLOOKUP('Données projet'!$B$10,Paramètres!$A$1:$I$89,3,0)*0.475*44/12</f>
        <v>7.9828668557509648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10.431504300888339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-1.7053025658242404E-13</v>
      </c>
      <c r="BE168" s="13">
        <f>BD168*VLOOKUP('Données projet'!$B$11,Paramètres!$A$1:$I$89,3,0)*VLOOKUP('Données projet'!$B$11,Paramètres!$A$1:$I$89,5,0)</f>
        <v>-1.4897523215040567E-13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324.86930206492627</v>
      </c>
      <c r="BJ168" s="59">
        <f t="shared" si="146"/>
        <v>317.03005098025352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8.5584957637634123</v>
      </c>
      <c r="BQ168" s="21">
        <f>EXP(-LN(2)/25)*BQ167+(1-EXP(-LN(2)/25))/(LN(2)/25)*Calculateur!BL168*Calculateur!BN168*VLOOKUP('Données projet'!$B$11,Paramètres!$A$1:$I$89,3,0)*0.475*44/12</f>
        <v>4.4064928931663143</v>
      </c>
      <c r="BR168" s="21">
        <f>EXP(-LN(2)/2)*BR167+(1-EXP(-LN(2)/2))/(LN(2)/2)*BL168*BO168*VLOOKUP('Données projet'!$B$11,Paramètres!$A$1:$I$89,3,0)*0.475*44/12</f>
        <v>9.1765362005016154E-12</v>
      </c>
      <c r="BS168" s="22">
        <f t="shared" si="169"/>
        <v>12.964988656938903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7.6783333333333319</v>
      </c>
      <c r="BY168" s="12">
        <f>IF('Données projet'!$A$114&gt;35,BY167+BX168-CG167,IF(A168&lt;'Données projet'!$A$114,$BV$205^A168,IF(A168='Données projet'!$A$114,'Données projet'!$B$114,BY167+BX168-CG167)))</f>
        <v>412.61499999999967</v>
      </c>
      <c r="BZ168" s="13">
        <f>BY168*VLOOKUP('Données projet'!$B$12,Paramètres!$A$1:$I$89,3,0)*VLOOKUP('Données projet'!$B$12,Paramètres!$A$1:$I$89,5,0)</f>
        <v>469.88596199999961</v>
      </c>
      <c r="CA168" s="13">
        <f t="shared" si="170"/>
        <v>105.80948774021181</v>
      </c>
      <c r="CB168" s="20">
        <f t="shared" si="171"/>
        <v>1002.6695749642014</v>
      </c>
      <c r="CC168" s="59">
        <f t="shared" si="119"/>
        <v>1296.0029082975348</v>
      </c>
      <c r="CD168" s="59">
        <f ca="1">AVERAGE(OFFSET($CC$3,0,0,'Données projet'!$E$12+1,1))-AVERAGE(OFFSET($H$3,0,0,'Données projet'!$E$12+1,1))</f>
        <v>593.28343396240075</v>
      </c>
      <c r="CE168" s="59">
        <f t="shared" si="148"/>
        <v>289.66477662068695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39.535628667274196</v>
      </c>
      <c r="CL168" s="21">
        <f>EXP(-LN(2)/25)*CL167+(1-EXP(-LN(2)/25))/(LN(2)/25)*Calculateur!CG168*Calculateur!CI168*VLOOKUP('Données projet'!$B$12,Paramètres!$A$1:$I$89,3,0)*0.475*44/12</f>
        <v>20.005277171921229</v>
      </c>
      <c r="CM168" s="21">
        <f>EXP(-LN(2)/2)*CM167+(1-EXP(-LN(2)/2))/(LN(2)/2)*CG168*CJ168*VLOOKUP('Données projet'!$B$12,Paramètres!$A$1:$I$89,3,0)*0.475*44/12</f>
        <v>4.5805011607274503E-3</v>
      </c>
      <c r="CN168" s="22">
        <f t="shared" si="172"/>
        <v>59.545486340356149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9.6220000000000034</v>
      </c>
      <c r="CT168" s="12">
        <f>IF('Données projet'!$A$140&gt;35,CT167+CS168-DB167,IF(A168&lt;'Données projet'!$A$140,$CQ$205^A168,IF(A168='Données projet'!$A$140,'Données projet'!$B$140,CT167+CS168-DB167)))</f>
        <v>523.92200000000128</v>
      </c>
      <c r="CU168" s="17">
        <f>CT168*VLOOKUP('Données projet'!$B$13,Paramètres!$A$1:$I$89,3,0)*VLOOKUP('Données projet'!$B$13,Paramètres!$A$1:$I$89,5,0)</f>
        <v>563.94964080000136</v>
      </c>
      <c r="CV168" s="13">
        <f t="shared" si="173"/>
        <v>124.32200783417154</v>
      </c>
      <c r="CW168" s="20">
        <f t="shared" si="174"/>
        <v>1198.739788037851</v>
      </c>
      <c r="CX168" s="59">
        <f t="shared" si="122"/>
        <v>1492.0731213711842</v>
      </c>
      <c r="CY168" s="59">
        <f ca="1">AVERAGE(OFFSET($CX$3,0,0,'Données projet'!$E$13+1,1))-AVERAGE(OFFSET($H$3,0,0,'Données projet'!$E$13+1,1))</f>
        <v>747.18304127457918</v>
      </c>
      <c r="CZ168" s="59">
        <f t="shared" si="150"/>
        <v>327.03701004966723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68.361954805949267</v>
      </c>
      <c r="DG168" s="21">
        <f>EXP(-LN(2)/25)*DG167+(1-EXP(-LN(2)/25))/(LN(2)/25)*Calculateur!DB168*Calculateur!DD168*VLOOKUP('Données projet'!$B$13,Paramètres!$A$1:$I$89,3,0)*0.475*44/12</f>
        <v>26.62319351410126</v>
      </c>
      <c r="DH168" s="21">
        <f>EXP(-LN(2)/2)*DH167+(1-EXP(-LN(2)/2))/(LN(2)/2)*DB168*DE168*VLOOKUP('Données projet'!$B$13,Paramètres!$A$1:$I$89,3,0)*0.475*44/12</f>
        <v>4.0962393393606992E-6</v>
      </c>
      <c r="DI168" s="22">
        <f t="shared" si="175"/>
        <v>94.985152416289864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353.37479213497227</v>
      </c>
      <c r="DU168" s="59">
        <f t="shared" si="152"/>
        <v>345.4750813433123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9.6556357563979951</v>
      </c>
      <c r="EB168" s="21">
        <f>EXP(-LN(2)/25)*EB167+(1-EXP(-LN(2)/25))/(LN(2)/25)*Calculateur!DW168*Calculateur!DY168*VLOOKUP('Données projet'!$B$14,Paramètres!$A$1:$I$89,3,0)*0.475*44/12</f>
        <v>4.8620158341600614</v>
      </c>
      <c r="EC168" s="21">
        <f>EXP(-LN(2)/2)*EC167+(1-EXP(-LN(2)/2))/(LN(2)/2)*DW168*DZ168*VLOOKUP('Données projet'!$B$14,Paramètres!$A$1:$I$89,3,0)*0.475*44/12</f>
        <v>1.0035941958052678E-11</v>
      </c>
      <c r="ED168" s="22">
        <f t="shared" si="178"/>
        <v>14.517651590568093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-4.5474735088646412E-13</v>
      </c>
      <c r="EK168" s="17">
        <f>EJ168*VLOOKUP('Données projet'!$B$15,Paramètres!$A$1:$I$89,3,0)*VLOOKUP('Données projet'!$B$15,Paramètres!$A$1:$I$89,5,0)</f>
        <v>-2.1282176021486519E-13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433.05041777893922</v>
      </c>
      <c r="EP168" s="59">
        <f t="shared" si="154"/>
        <v>591.24088611958996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107.1115409473333</v>
      </c>
      <c r="EW168" s="21">
        <f>EXP(-LN(2)/25)*EW167+(1-EXP(-LN(2)/25))/(LN(2)/25)*Calculateur!ER168*Calculateur!ET168*VLOOKUP('Données projet'!$B$15,Paramètres!$A$1:$I$89,3,0)*0.475*44/12</f>
        <v>20.339244123271936</v>
      </c>
      <c r="EX168" s="21">
        <f>EXP(-LN(2)/2)*EX167+(1-EXP(-LN(2)/2))/(LN(2)/2)*ER168*EU168*VLOOKUP('Données projet'!$B$15,Paramètres!$A$1:$I$89,3,0)*0.475*44/12</f>
        <v>4.5537445828853429E-8</v>
      </c>
      <c r="EY168" s="22">
        <f t="shared" si="181"/>
        <v>127.45078511614268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-8.5265128291212022E-14</v>
      </c>
      <c r="FF168" s="17">
        <f>FE168*VLOOKUP('Données projet'!$B$16,Paramètres!$A$1:$I$89,3,0)*VLOOKUP('Données projet'!$B$16,Paramètres!$A$1:$I$89,5,0)</f>
        <v>-6.9167072069831198E-14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159.4660488566085</v>
      </c>
      <c r="FK168" s="59">
        <f t="shared" si="156"/>
        <v>135.33030558297088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</v>
      </c>
      <c r="FR168" s="21">
        <f>EXP(-LN(2)/25)*FR167+(1-EXP(-LN(2)/25))/(LN(2)/25)*Calculateur!FM168*Calculateur!FO168*VLOOKUP('Données projet'!$B$16,Paramètres!$A$1:$I$89,3,0)*0.475*44/12</f>
        <v>2.0224163775643613</v>
      </c>
      <c r="FS168" s="21">
        <f>EXP(-LN(2)/2)*FS167+(1-EXP(-LN(2)/2))/(LN(2)/2)*FM168*FP168*VLOOKUP('Données projet'!$B$16,Paramètres!$A$1:$I$89,3,0)*0.475*44/12</f>
        <v>1.2885383550844515E-10</v>
      </c>
      <c r="FT168" s="22">
        <f t="shared" si="184"/>
        <v>2.0224163776932151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9.6220000000000034</v>
      </c>
      <c r="N169" s="13">
        <f>IF('Données projet'!$A$36&gt;35,N168+M169-V168,IF(A169&lt;'Données projet'!$A$36,$K$205^A169,IF(A169='Données projet'!$A$36,'Données projet'!$B$36,N168+M169-V168)))</f>
        <v>533.54400000000123</v>
      </c>
      <c r="O169" s="13">
        <f>N169*VLOOKUP('Données projet'!$B$9,Paramètres!$A$1:$I$89,3,0)*VLOOKUP('Données projet'!$B$9,Paramètres!$A$1:$I$89,5,0)</f>
        <v>541.01361600000132</v>
      </c>
      <c r="P169" s="13">
        <f t="shared" si="141"/>
        <v>119.84359445909256</v>
      </c>
      <c r="Q169" s="20">
        <f t="shared" si="162"/>
        <v>1150.9929748829218</v>
      </c>
      <c r="R169" s="59">
        <f t="shared" si="109"/>
        <v>1444.326308216255</v>
      </c>
      <c r="S169" s="59">
        <f ca="1">AVERAGE(OFFSET($R$3,0,0,'Données projet'!$E$9+1,1))-AVERAGE(OFFSET($H$3,0,0,'Données projet'!$E$9+1,1))</f>
        <v>706.69239849991595</v>
      </c>
      <c r="T169" s="59">
        <f t="shared" si="142"/>
        <v>310.59887275116529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63.136118941698435</v>
      </c>
      <c r="AA169" s="21">
        <f>EXP(-LN(2)/25)*AA168+(1-EXP(-LN(2)/25))/(LN(2)/25)*Calculateur!V169*Calculateur!X169*VLOOKUP('Données projet'!$B$9,Paramètres!$A$1:$I$89,3,0)*0.475*44/12</f>
        <v>24.394010980889025</v>
      </c>
      <c r="AB169" s="21">
        <f>EXP(-LN(2)/2)*AB168+(1-EXP(-LN(2)/2))/(LN(2)/2)*V169*Y169*VLOOKUP('Données projet'!$B$9,Paramètres!$A$1:$I$89,3,0)*0.475*44/12</f>
        <v>2.7285668105018625E-6</v>
      </c>
      <c r="AC169" s="22">
        <f t="shared" si="163"/>
        <v>87.530132651154275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239.26156489359892</v>
      </c>
      <c r="AO169" s="59">
        <f t="shared" si="144"/>
        <v>213.97034450798111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2.4006211583595984</v>
      </c>
      <c r="AV169" s="21">
        <f>EXP(-LN(2)/25)*AV168+(1-EXP(-LN(2)/25))/(LN(2)/25)*Calculateur!AQ169*Calculateur!AS169*VLOOKUP('Données projet'!$B$10,Paramètres!$A$1:$I$89,3,0)*0.475*44/12</f>
        <v>7.7645749417797321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10.16519610013933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-1.7053025658242404E-13</v>
      </c>
      <c r="BE169" s="13">
        <f>BD169*VLOOKUP('Données projet'!$B$11,Paramètres!$A$1:$I$89,3,0)*VLOOKUP('Données projet'!$B$11,Paramètres!$A$1:$I$89,5,0)</f>
        <v>-1.4897523215040567E-13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324.86930206492627</v>
      </c>
      <c r="BJ169" s="59">
        <f t="shared" si="146"/>
        <v>317.03005098025352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8.3906688820029789</v>
      </c>
      <c r="BQ169" s="21">
        <f>EXP(-LN(2)/25)*BQ168+(1-EXP(-LN(2)/25))/(LN(2)/25)*Calculateur!BL169*Calculateur!BN169*VLOOKUP('Données projet'!$B$11,Paramètres!$A$1:$I$89,3,0)*0.475*44/12</f>
        <v>4.2859971132752914</v>
      </c>
      <c r="BR169" s="21">
        <f>EXP(-LN(2)/2)*BR168+(1-EXP(-LN(2)/2))/(LN(2)/2)*BL169*BO169*VLOOKUP('Données projet'!$B$11,Paramètres!$A$1:$I$89,3,0)*0.475*44/12</f>
        <v>6.4887909751785281E-12</v>
      </c>
      <c r="BS169" s="22">
        <f t="shared" si="169"/>
        <v>12.676665995284759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7.6783333333333319</v>
      </c>
      <c r="BY169" s="12">
        <f>IF('Données projet'!$A$114&gt;35,BY168+BX169-CG168,IF(A169&lt;'Données projet'!$A$114,$BV$205^A169,IF(A169='Données projet'!$A$114,'Données projet'!$B$114,BY168+BX169-CG168)))</f>
        <v>420.29333333333301</v>
      </c>
      <c r="BZ169" s="13">
        <f>BY169*VLOOKUP('Données projet'!$B$12,Paramètres!$A$1:$I$89,3,0)*VLOOKUP('Données projet'!$B$12,Paramètres!$A$1:$I$89,5,0)</f>
        <v>478.63004799999959</v>
      </c>
      <c r="CA169" s="13">
        <f t="shared" si="170"/>
        <v>107.54742816141284</v>
      </c>
      <c r="CB169" s="20">
        <f t="shared" si="171"/>
        <v>1020.9257709811267</v>
      </c>
      <c r="CC169" s="59">
        <f t="shared" si="119"/>
        <v>1314.25910431446</v>
      </c>
      <c r="CD169" s="59">
        <f ca="1">AVERAGE(OFFSET($CC$3,0,0,'Données projet'!$E$12+1,1))-AVERAGE(OFFSET($H$3,0,0,'Données projet'!$E$12+1,1))</f>
        <v>593.28343396240075</v>
      </c>
      <c r="CE169" s="59">
        <f t="shared" si="148"/>
        <v>289.66477662068695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38.76035910346134</v>
      </c>
      <c r="CL169" s="21">
        <f>EXP(-LN(2)/25)*CL168+(1-EXP(-LN(2)/25))/(LN(2)/25)*Calculateur!CG169*Calculateur!CI169*VLOOKUP('Données projet'!$B$12,Paramètres!$A$1:$I$89,3,0)*0.475*44/12</f>
        <v>19.45823181562324</v>
      </c>
      <c r="CM169" s="21">
        <f>EXP(-LN(2)/2)*CM168+(1-EXP(-LN(2)/2))/(LN(2)/2)*CG169*CJ169*VLOOKUP('Données projet'!$B$12,Paramètres!$A$1:$I$89,3,0)*0.475*44/12</f>
        <v>3.2389034319832322E-3</v>
      </c>
      <c r="CN169" s="22">
        <f t="shared" si="172"/>
        <v>58.221829822516561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9.6220000000000034</v>
      </c>
      <c r="CT169" s="12">
        <f>IF('Données projet'!$A$140&gt;35,CT168+CS169-DB168,IF(A169&lt;'Données projet'!$A$140,$CQ$205^A169,IF(A169='Données projet'!$A$140,'Données projet'!$B$140,CT168+CS169-DB168)))</f>
        <v>533.54400000000123</v>
      </c>
      <c r="CU169" s="17">
        <f>CT169*VLOOKUP('Données projet'!$B$13,Paramètres!$A$1:$I$89,3,0)*VLOOKUP('Données projet'!$B$13,Paramètres!$A$1:$I$89,5,0)</f>
        <v>574.30676160000132</v>
      </c>
      <c r="CV169" s="13">
        <f t="shared" si="173"/>
        <v>126.33731447581734</v>
      </c>
      <c r="CW169" s="20">
        <f t="shared" si="174"/>
        <v>1220.2884324987176</v>
      </c>
      <c r="CX169" s="59">
        <f t="shared" si="122"/>
        <v>1513.6217658320509</v>
      </c>
      <c r="CY169" s="59">
        <f ca="1">AVERAGE(OFFSET($CX$3,0,0,'Données projet'!$E$13+1,1))-AVERAGE(OFFSET($H$3,0,0,'Données projet'!$E$13+1,1))</f>
        <v>747.18304127457918</v>
      </c>
      <c r="CZ169" s="59">
        <f t="shared" si="150"/>
        <v>327.03701004966723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67.021418568879824</v>
      </c>
      <c r="DG169" s="21">
        <f>EXP(-LN(2)/25)*DG168+(1-EXP(-LN(2)/25))/(LN(2)/25)*Calculateur!DB169*Calculateur!DD169*VLOOKUP('Données projet'!$B$13,Paramètres!$A$1:$I$89,3,0)*0.475*44/12</f>
        <v>25.895180887405264</v>
      </c>
      <c r="DH169" s="21">
        <f>EXP(-LN(2)/2)*DH168+(1-EXP(-LN(2)/2))/(LN(2)/2)*DB169*DE169*VLOOKUP('Données projet'!$B$13,Paramètres!$A$1:$I$89,3,0)*0.475*44/12</f>
        <v>2.896478614225054E-6</v>
      </c>
      <c r="DI169" s="22">
        <f t="shared" si="175"/>
        <v>92.916602352763704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353.37479213497227</v>
      </c>
      <c r="DU169" s="59">
        <f t="shared" si="152"/>
        <v>345.4750813433123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9.4662946285713154</v>
      </c>
      <c r="EB169" s="21">
        <f>EXP(-LN(2)/25)*EB168+(1-EXP(-LN(2)/25))/(LN(2)/25)*Calculateur!DW169*Calculateur!DY169*VLOOKUP('Données projet'!$B$14,Paramètres!$A$1:$I$89,3,0)*0.475*44/12</f>
        <v>4.7290637554926542</v>
      </c>
      <c r="EC169" s="21">
        <f>EXP(-LN(2)/2)*EC168+(1-EXP(-LN(2)/2))/(LN(2)/2)*DW169*DZ169*VLOOKUP('Données projet'!$B$14,Paramètres!$A$1:$I$89,3,0)*0.475*44/12</f>
        <v>7.0964826141336461E-12</v>
      </c>
      <c r="ED169" s="22">
        <f t="shared" si="178"/>
        <v>14.195358384071065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-4.5474735088646412E-13</v>
      </c>
      <c r="EK169" s="17">
        <f>EJ169*VLOOKUP('Données projet'!$B$15,Paramètres!$A$1:$I$89,3,0)*VLOOKUP('Données projet'!$B$15,Paramètres!$A$1:$I$89,5,0)</f>
        <v>-2.1282176021486519E-13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433.05041777893922</v>
      </c>
      <c r="EP169" s="59">
        <f t="shared" si="154"/>
        <v>591.24088611958996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105.01114896094511</v>
      </c>
      <c r="EW169" s="21">
        <f>EXP(-LN(2)/25)*EW168+(1-EXP(-LN(2)/25))/(LN(2)/25)*Calculateur!ER169*Calculateur!ET169*VLOOKUP('Données projet'!$B$15,Paramètres!$A$1:$I$89,3,0)*0.475*44/12</f>
        <v>19.783066423126701</v>
      </c>
      <c r="EX169" s="21">
        <f>EXP(-LN(2)/2)*EX168+(1-EXP(-LN(2)/2))/(LN(2)/2)*ER169*EU169*VLOOKUP('Données projet'!$B$15,Paramètres!$A$1:$I$89,3,0)*0.475*44/12</f>
        <v>3.2199836743497322E-8</v>
      </c>
      <c r="EY169" s="22">
        <f t="shared" si="181"/>
        <v>124.79421541627164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-8.5265128291212022E-14</v>
      </c>
      <c r="FF169" s="17">
        <f>FE169*VLOOKUP('Données projet'!$B$16,Paramètres!$A$1:$I$89,3,0)*VLOOKUP('Données projet'!$B$16,Paramètres!$A$1:$I$89,5,0)</f>
        <v>-6.9167072069831198E-14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159.4660488566085</v>
      </c>
      <c r="FK169" s="59">
        <f t="shared" si="156"/>
        <v>135.33030558297088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</v>
      </c>
      <c r="FR169" s="21">
        <f>EXP(-LN(2)/25)*FR168+(1-EXP(-LN(2)/25))/(LN(2)/25)*Calculateur!FM169*Calculateur!FO169*VLOOKUP('Données projet'!$B$16,Paramètres!$A$1:$I$89,3,0)*0.475*44/12</f>
        <v>1.967113295365609</v>
      </c>
      <c r="FS169" s="21">
        <f>EXP(-LN(2)/2)*FS168+(1-EXP(-LN(2)/2))/(LN(2)/2)*FM169*FP169*VLOOKUP('Données projet'!$B$16,Paramètres!$A$1:$I$89,3,0)*0.475*44/12</f>
        <v>9.1113420869917512E-11</v>
      </c>
      <c r="FT169" s="22">
        <f t="shared" si="184"/>
        <v>1.9671132954567223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9.6220000000000034</v>
      </c>
      <c r="N170" s="13">
        <f>IF('Données projet'!$A$36&gt;35,N169+M170-V169,IF(A170&lt;'Données projet'!$A$36,$K$205^A170,IF(A170='Données projet'!$A$36,'Données projet'!$B$36,N169+M170-V169)))</f>
        <v>543.16600000000119</v>
      </c>
      <c r="O170" s="13">
        <f>N170*VLOOKUP('Données projet'!$B$9,Paramètres!$A$1:$I$89,3,0)*VLOOKUP('Données projet'!$B$9,Paramètres!$A$1:$I$89,5,0)</f>
        <v>550.77032400000132</v>
      </c>
      <c r="P170" s="13">
        <f t="shared" si="141"/>
        <v>121.75130557491971</v>
      </c>
      <c r="Q170" s="20">
        <f t="shared" si="162"/>
        <v>1171.3085048429873</v>
      </c>
      <c r="R170" s="59">
        <f t="shared" si="109"/>
        <v>1464.6418381763206</v>
      </c>
      <c r="S170" s="59">
        <f ca="1">AVERAGE(OFFSET($R$3,0,0,'Données projet'!$E$9+1,1))-AVERAGE(OFFSET($H$3,0,0,'Données projet'!$E$9+1,1))</f>
        <v>706.69239849991595</v>
      </c>
      <c r="T170" s="59">
        <f t="shared" si="142"/>
        <v>310.59887275116529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61.89805815848181</v>
      </c>
      <c r="AA170" s="21">
        <f>EXP(-LN(2)/25)*AA169+(1-EXP(-LN(2)/25))/(LN(2)/25)*Calculateur!V170*Calculateur!X170*VLOOKUP('Données projet'!$B$9,Paramètres!$A$1:$I$89,3,0)*0.475*44/12</f>
        <v>23.726955467791331</v>
      </c>
      <c r="AB170" s="21">
        <f>EXP(-LN(2)/2)*AB169+(1-EXP(-LN(2)/2))/(LN(2)/2)*V170*Y170*VLOOKUP('Données projet'!$B$9,Paramètres!$A$1:$I$89,3,0)*0.475*44/12</f>
        <v>1.9293880946264163E-6</v>
      </c>
      <c r="AC170" s="22">
        <f t="shared" si="163"/>
        <v>85.625015555661236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239.26156489359892</v>
      </c>
      <c r="AO170" s="59">
        <f t="shared" si="144"/>
        <v>213.97034450798111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2.3535464416784921</v>
      </c>
      <c r="AV170" s="21">
        <f>EXP(-LN(2)/25)*AV169+(1-EXP(-LN(2)/25))/(LN(2)/25)*Calculateur!AQ170*Calculateur!AS170*VLOOKUP('Données projet'!$B$10,Paramètres!$A$1:$I$89,3,0)*0.475*44/12</f>
        <v>7.5522522316755154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9.905798673354008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-1.7053025658242404E-13</v>
      </c>
      <c r="BE170" s="13">
        <f>BD170*VLOOKUP('Données projet'!$B$11,Paramètres!$A$1:$I$89,3,0)*VLOOKUP('Données projet'!$B$11,Paramètres!$A$1:$I$89,5,0)</f>
        <v>-1.4897523215040567E-13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324.86930206492627</v>
      </c>
      <c r="BJ170" s="59">
        <f t="shared" si="146"/>
        <v>317.03005098025352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8.2261329830295775</v>
      </c>
      <c r="BQ170" s="21">
        <f>EXP(-LN(2)/25)*BQ169+(1-EXP(-LN(2)/25))/(LN(2)/25)*Calculateur!BL170*Calculateur!BN170*VLOOKUP('Données projet'!$B$11,Paramètres!$A$1:$I$89,3,0)*0.475*44/12</f>
        <v>4.168796296821986</v>
      </c>
      <c r="BR170" s="21">
        <f>EXP(-LN(2)/2)*BR169+(1-EXP(-LN(2)/2))/(LN(2)/2)*BL170*BO170*VLOOKUP('Données projet'!$B$11,Paramètres!$A$1:$I$89,3,0)*0.475*44/12</f>
        <v>4.5882681002508077E-12</v>
      </c>
      <c r="BS170" s="22">
        <f t="shared" si="169"/>
        <v>12.394929279856152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7.6783333333333319</v>
      </c>
      <c r="BY170" s="12">
        <f>IF('Données projet'!$A$114&gt;35,BY169+BX170-CG169,IF(A170&lt;'Données projet'!$A$114,$BV$205^A170,IF(A170='Données projet'!$A$114,'Données projet'!$B$114,BY169+BX170-CG169)))</f>
        <v>427.97166666666635</v>
      </c>
      <c r="BZ170" s="13">
        <f>BY170*VLOOKUP('Données projet'!$B$12,Paramètres!$A$1:$I$89,3,0)*VLOOKUP('Données projet'!$B$12,Paramètres!$A$1:$I$89,5,0)</f>
        <v>487.37413399999963</v>
      </c>
      <c r="CA170" s="13">
        <f t="shared" si="170"/>
        <v>109.28167654445673</v>
      </c>
      <c r="CB170" s="20">
        <f t="shared" si="171"/>
        <v>1039.1755366982613</v>
      </c>
      <c r="CC170" s="59">
        <f t="shared" si="119"/>
        <v>1332.5088700315946</v>
      </c>
      <c r="CD170" s="59">
        <f ca="1">AVERAGE(OFFSET($CC$3,0,0,'Données projet'!$E$12+1,1))-AVERAGE(OFFSET($H$3,0,0,'Données projet'!$E$12+1,1))</f>
        <v>593.28343396240075</v>
      </c>
      <c r="CE170" s="59">
        <f t="shared" si="148"/>
        <v>289.66477662068695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38.000292102927112</v>
      </c>
      <c r="CL170" s="21">
        <f>EXP(-LN(2)/25)*CL169+(1-EXP(-LN(2)/25))/(LN(2)/25)*Calculateur!CG170*Calculateur!CI170*VLOOKUP('Données projet'!$B$12,Paramètres!$A$1:$I$89,3,0)*0.475*44/12</f>
        <v>18.926145443361083</v>
      </c>
      <c r="CM170" s="21">
        <f>EXP(-LN(2)/2)*CM169+(1-EXP(-LN(2)/2))/(LN(2)/2)*CG170*CJ170*VLOOKUP('Données projet'!$B$12,Paramètres!$A$1:$I$89,3,0)*0.475*44/12</f>
        <v>2.2902505803637251E-3</v>
      </c>
      <c r="CN170" s="22">
        <f t="shared" si="172"/>
        <v>56.928727796868564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9.6220000000000034</v>
      </c>
      <c r="CT170" s="12">
        <f>IF('Données projet'!$A$140&gt;35,CT169+CS170-DB169,IF(A170&lt;'Données projet'!$A$140,$CQ$205^A170,IF(A170='Données projet'!$A$140,'Données projet'!$B$140,CT169+CS170-DB169)))</f>
        <v>543.16600000000119</v>
      </c>
      <c r="CU170" s="17">
        <f>CT170*VLOOKUP('Données projet'!$B$13,Paramètres!$A$1:$I$89,3,0)*VLOOKUP('Données projet'!$B$13,Paramètres!$A$1:$I$89,5,0)</f>
        <v>584.66388240000128</v>
      </c>
      <c r="CV170" s="13">
        <f t="shared" si="173"/>
        <v>128.34839483649139</v>
      </c>
      <c r="CW170" s="20">
        <f t="shared" si="174"/>
        <v>1241.8297161868911</v>
      </c>
      <c r="CX170" s="59">
        <f t="shared" si="122"/>
        <v>1535.1630495202244</v>
      </c>
      <c r="CY170" s="59">
        <f ca="1">AVERAGE(OFFSET($CX$3,0,0,'Données projet'!$E$13+1,1))-AVERAGE(OFFSET($H$3,0,0,'Données projet'!$E$13+1,1))</f>
        <v>747.18304127457918</v>
      </c>
      <c r="CZ170" s="59">
        <f t="shared" si="150"/>
        <v>327.03701004966723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65.707169429772947</v>
      </c>
      <c r="DG170" s="21">
        <f>EXP(-LN(2)/25)*DG169+(1-EXP(-LN(2)/25))/(LN(2)/25)*Calculateur!DB170*Calculateur!DD170*VLOOKUP('Données projet'!$B$13,Paramètres!$A$1:$I$89,3,0)*0.475*44/12</f>
        <v>25.187075804270787</v>
      </c>
      <c r="DH170" s="21">
        <f>EXP(-LN(2)/2)*DH169+(1-EXP(-LN(2)/2))/(LN(2)/2)*DB170*DE170*VLOOKUP('Données projet'!$B$13,Paramètres!$A$1:$I$89,3,0)*0.475*44/12</f>
        <v>2.0481196696803496E-6</v>
      </c>
      <c r="DI170" s="22">
        <f t="shared" si="175"/>
        <v>90.894247282163406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353.37479213497227</v>
      </c>
      <c r="DU170" s="59">
        <f t="shared" si="152"/>
        <v>345.4750813433123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9.2806663647746337</v>
      </c>
      <c r="EB170" s="21">
        <f>EXP(-LN(2)/25)*EB169+(1-EXP(-LN(2)/25))/(LN(2)/25)*Calculateur!DW170*Calculateur!DY170*VLOOKUP('Données projet'!$B$14,Paramètres!$A$1:$I$89,3,0)*0.475*44/12</f>
        <v>4.599747258408053</v>
      </c>
      <c r="EC170" s="21">
        <f>EXP(-LN(2)/2)*EC169+(1-EXP(-LN(2)/2))/(LN(2)/2)*DW170*DZ170*VLOOKUP('Données projet'!$B$14,Paramètres!$A$1:$I$89,3,0)*0.475*44/12</f>
        <v>5.0179709790263388E-12</v>
      </c>
      <c r="ED170" s="22">
        <f t="shared" si="178"/>
        <v>13.880413623187705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-4.5474735088646412E-13</v>
      </c>
      <c r="EK170" s="17">
        <f>EJ170*VLOOKUP('Données projet'!$B$15,Paramètres!$A$1:$I$89,3,0)*VLOOKUP('Données projet'!$B$15,Paramètres!$A$1:$I$89,5,0)</f>
        <v>-2.1282176021486519E-13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433.05041777893922</v>
      </c>
      <c r="EP170" s="59">
        <f t="shared" si="154"/>
        <v>591.24088611958996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102.95194438029738</v>
      </c>
      <c r="EW170" s="21">
        <f>EXP(-LN(2)/25)*EW169+(1-EXP(-LN(2)/25))/(LN(2)/25)*Calculateur!ER170*Calculateur!ET170*VLOOKUP('Données projet'!$B$15,Paramètres!$A$1:$I$89,3,0)*0.475*44/12</f>
        <v>19.242097431440055</v>
      </c>
      <c r="EX170" s="21">
        <f>EXP(-LN(2)/2)*EX169+(1-EXP(-LN(2)/2))/(LN(2)/2)*ER170*EU170*VLOOKUP('Données projet'!$B$15,Paramètres!$A$1:$I$89,3,0)*0.475*44/12</f>
        <v>2.2768722914426714E-8</v>
      </c>
      <c r="EY170" s="22">
        <f t="shared" si="181"/>
        <v>122.19404183450615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-8.5265128291212022E-14</v>
      </c>
      <c r="FF170" s="17">
        <f>FE170*VLOOKUP('Données projet'!$B$16,Paramètres!$A$1:$I$89,3,0)*VLOOKUP('Données projet'!$B$16,Paramètres!$A$1:$I$89,5,0)</f>
        <v>-6.9167072069831198E-14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159.4660488566085</v>
      </c>
      <c r="FK170" s="59">
        <f t="shared" si="156"/>
        <v>135.33030558297088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</v>
      </c>
      <c r="FR170" s="21">
        <f>EXP(-LN(2)/25)*FR169+(1-EXP(-LN(2)/25))/(LN(2)/25)*Calculateur!FM170*Calculateur!FO170*VLOOKUP('Données projet'!$B$16,Paramètres!$A$1:$I$89,3,0)*0.475*44/12</f>
        <v>1.913322478857844</v>
      </c>
      <c r="FS170" s="21">
        <f>EXP(-LN(2)/2)*FS169+(1-EXP(-LN(2)/2))/(LN(2)/2)*FM170*FP170*VLOOKUP('Données projet'!$B$16,Paramètres!$A$1:$I$89,3,0)*0.475*44/12</f>
        <v>6.4426917754222573E-11</v>
      </c>
      <c r="FT170" s="22">
        <f t="shared" si="184"/>
        <v>1.9133224789222709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9.6220000000000034</v>
      </c>
      <c r="N171" s="13">
        <f>IF('Données projet'!$A$36&gt;35,N170+M171-V170,IF(A171&lt;'Données projet'!$A$36,$K$205^A171,IF(A171='Données projet'!$A$36,'Données projet'!$B$36,N170+M171-V170)))</f>
        <v>552.78800000000115</v>
      </c>
      <c r="O171" s="13">
        <f>N171*VLOOKUP('Données projet'!$B$9,Paramètres!$A$1:$I$89,3,0)*VLOOKUP('Données projet'!$B$9,Paramètres!$A$1:$I$89,5,0)</f>
        <v>560.52703200000121</v>
      </c>
      <c r="P171" s="13">
        <f t="shared" si="141"/>
        <v>123.65508685225305</v>
      </c>
      <c r="Q171" s="20">
        <f t="shared" si="162"/>
        <v>1191.6171903343427</v>
      </c>
      <c r="R171" s="59">
        <f t="shared" si="109"/>
        <v>1484.950523667676</v>
      </c>
      <c r="S171" s="59">
        <f ca="1">AVERAGE(OFFSET($R$3,0,0,'Données projet'!$E$9+1,1))-AVERAGE(OFFSET($H$3,0,0,'Données projet'!$E$9+1,1))</f>
        <v>706.69239849991595</v>
      </c>
      <c r="T171" s="59">
        <f t="shared" si="142"/>
        <v>310.59887275116529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60.684274992081555</v>
      </c>
      <c r="AA171" s="21">
        <f>EXP(-LN(2)/25)*AA170+(1-EXP(-LN(2)/25))/(LN(2)/25)*Calculateur!V171*Calculateur!X171*VLOOKUP('Données projet'!$B$9,Paramètres!$A$1:$I$89,3,0)*0.475*44/12</f>
        <v>23.078140622778218</v>
      </c>
      <c r="AB171" s="21">
        <f>EXP(-LN(2)/2)*AB170+(1-EXP(-LN(2)/2))/(LN(2)/2)*V171*Y171*VLOOKUP('Données projet'!$B$9,Paramètres!$A$1:$I$89,3,0)*0.475*44/12</f>
        <v>1.3642834052509312E-6</v>
      </c>
      <c r="AC171" s="22">
        <f t="shared" si="163"/>
        <v>83.762416979143183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239.26156489359892</v>
      </c>
      <c r="AO171" s="59">
        <f t="shared" si="144"/>
        <v>213.97034450798111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2.3073948314787605</v>
      </c>
      <c r="AV171" s="21">
        <f>EXP(-LN(2)/25)*AV170+(1-EXP(-LN(2)/25))/(LN(2)/25)*Calculateur!AQ171*Calculateur!AS171*VLOOKUP('Données projet'!$B$10,Paramètres!$A$1:$I$89,3,0)*0.475*44/12</f>
        <v>7.3457354972446645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9.6531303287234245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-1.7053025658242404E-13</v>
      </c>
      <c r="BE171" s="13">
        <f>BD171*VLOOKUP('Données projet'!$B$11,Paramètres!$A$1:$I$89,3,0)*VLOOKUP('Données projet'!$B$11,Paramètres!$A$1:$I$89,5,0)</f>
        <v>-1.4897523215040567E-13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324.86930206492627</v>
      </c>
      <c r="BJ171" s="59">
        <f t="shared" si="146"/>
        <v>317.03005098025352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8.0648235326780551</v>
      </c>
      <c r="BQ171" s="21">
        <f>EXP(-LN(2)/25)*BQ170+(1-EXP(-LN(2)/25))/(LN(2)/25)*Calculateur!BL171*Calculateur!BN171*VLOOKUP('Données projet'!$B$11,Paramètres!$A$1:$I$89,3,0)*0.475*44/12</f>
        <v>4.0548003428579191</v>
      </c>
      <c r="BR171" s="21">
        <f>EXP(-LN(2)/2)*BR170+(1-EXP(-LN(2)/2))/(LN(2)/2)*BL171*BO171*VLOOKUP('Données projet'!$B$11,Paramètres!$A$1:$I$89,3,0)*0.475*44/12</f>
        <v>3.244395487589264E-12</v>
      </c>
      <c r="BS171" s="22">
        <f t="shared" si="169"/>
        <v>12.119623875539219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>
        <f>VLOOKUP(A171,'Données projet'!$A$113:$I$133,2,0)</f>
        <v>435.65</v>
      </c>
      <c r="BW171" s="12">
        <f>VLOOKUP(A171,'Données projet'!$A$113:$I$133,9,0)</f>
        <v>7.6783333333333319</v>
      </c>
      <c r="BX171" s="12">
        <f t="array" ref="BX171">INDEX(BW:BW,MIN(IF(ISNUMBER(BW171:BW367),ROW(BW171:BW367),"")))</f>
        <v>7.6783333333333319</v>
      </c>
      <c r="BY171" s="12">
        <f>IF('Données projet'!$A$114&gt;35,BY170+BX171-CG170,IF(A171&lt;'Données projet'!$A$114,$BV$205^A171,IF(A171='Données projet'!$A$114,'Données projet'!$B$114,BY170+BX171-CG170)))</f>
        <v>435.64999999999969</v>
      </c>
      <c r="BZ171" s="13">
        <f>BY171*VLOOKUP('Données projet'!$B$12,Paramètres!$A$1:$I$89,3,0)*VLOOKUP('Données projet'!$B$12,Paramètres!$A$1:$I$89,5,0)</f>
        <v>496.11821999999967</v>
      </c>
      <c r="CA171" s="13">
        <f t="shared" si="170"/>
        <v>111.01230677013324</v>
      </c>
      <c r="CB171" s="20">
        <f t="shared" si="171"/>
        <v>1057.4190007913146</v>
      </c>
      <c r="CC171" s="59">
        <f t="shared" si="119"/>
        <v>1350.7523341246479</v>
      </c>
      <c r="CD171" s="59">
        <f ca="1">AVERAGE(OFFSET($CC$3,0,0,'Données projet'!$E$12+1,1))-AVERAGE(OFFSET($H$3,0,0,'Données projet'!$E$12+1,1))</f>
        <v>593.28343396240075</v>
      </c>
      <c r="CE171" s="59">
        <f t="shared" si="148"/>
        <v>289.66477662068695</v>
      </c>
      <c r="CF171" s="15">
        <f>IF(ISNA(VLOOKUP(A171,'Données projet'!$A$113:$I$133,3,0)),0,VLOOKUP(A171,'Données projet'!$A$113:$I$133,3,0))</f>
        <v>12</v>
      </c>
      <c r="CG171" s="15">
        <f>IF(ISNA(VLOOKUP(A171,'Données projet'!$A$113:$I$133,4,0)),0,VLOOKUP(A171,'Données projet'!$A$113:$I$133,4,0))</f>
        <v>71.37</v>
      </c>
      <c r="CH171" s="16">
        <f>IF(ISNA(VLOOKUP(A171,'Données projet'!$A$113:$I$133,5,0)),0%,VLOOKUP(A171,'Données projet'!$A$113:$I$133,5,0)*VLOOKUP('Données projet'!$B$12,Paramètres!$A$1:$I$89,7,0))</f>
        <v>0.215</v>
      </c>
      <c r="CI171" s="16">
        <f>IF(ISNA(VLOOKUP(A171,'Données projet'!$A$113:$I$133,6,0)),0%,VLOOKUP(A171,'Données projet'!$A$113:$I$133,6,0)*VLOOKUP('Données projet'!$B$12,Paramètres!$A$1:$I$89,7,0))</f>
        <v>8.6000000000000007E-2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56.572531902042613</v>
      </c>
      <c r="CL171" s="21">
        <f>EXP(-LN(2)/25)*CL170+(1-EXP(-LN(2)/25))/(LN(2)/25)*Calculateur!CG171*Calculateur!CI171*VLOOKUP('Données projet'!$B$12,Paramètres!$A$1:$I$89,3,0)*0.475*44/12</f>
        <v>26.105145951252659</v>
      </c>
      <c r="CM171" s="21">
        <f>EXP(-LN(2)/2)*CM170+(1-EXP(-LN(2)/2))/(LN(2)/2)*CG171*CJ171*VLOOKUP('Données projet'!$B$12,Paramètres!$A$1:$I$89,3,0)*0.475*44/12</f>
        <v>1.6194517159916161E-3</v>
      </c>
      <c r="CN171" s="22">
        <f t="shared" si="172"/>
        <v>82.679297305011275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9.6220000000000034</v>
      </c>
      <c r="CT171" s="12">
        <f>IF('Données projet'!$A$140&gt;35,CT170+CS171-DB170,IF(A171&lt;'Données projet'!$A$140,$CQ$205^A171,IF(A171='Données projet'!$A$140,'Données projet'!$B$140,CT170+CS171-DB170)))</f>
        <v>552.78800000000115</v>
      </c>
      <c r="CU171" s="17">
        <f>CT171*VLOOKUP('Données projet'!$B$13,Paramètres!$A$1:$I$89,3,0)*VLOOKUP('Données projet'!$B$13,Paramètres!$A$1:$I$89,5,0)</f>
        <v>595.02100320000113</v>
      </c>
      <c r="CV171" s="13">
        <f t="shared" si="173"/>
        <v>130.35533242054169</v>
      </c>
      <c r="CW171" s="20">
        <f t="shared" si="174"/>
        <v>1263.363784539112</v>
      </c>
      <c r="CX171" s="59">
        <f t="shared" si="122"/>
        <v>1556.6971178724452</v>
      </c>
      <c r="CY171" s="59">
        <f ca="1">AVERAGE(OFFSET($CX$3,0,0,'Données projet'!$E$13+1,1))-AVERAGE(OFFSET($H$3,0,0,'Données projet'!$E$13+1,1))</f>
        <v>747.18304127457918</v>
      </c>
      <c r="CZ171" s="59">
        <f t="shared" si="150"/>
        <v>327.03701004966723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64.418691914671129</v>
      </c>
      <c r="DG171" s="21">
        <f>EXP(-LN(2)/25)*DG170+(1-EXP(-LN(2)/25))/(LN(2)/25)*Calculateur!DB171*Calculateur!DD171*VLOOKUP('Données projet'!$B$13,Paramètres!$A$1:$I$89,3,0)*0.475*44/12</f>
        <v>24.498333891872253</v>
      </c>
      <c r="DH171" s="21">
        <f>EXP(-LN(2)/2)*DH170+(1-EXP(-LN(2)/2))/(LN(2)/2)*DB171*DE171*VLOOKUP('Données projet'!$B$13,Paramètres!$A$1:$I$89,3,0)*0.475*44/12</f>
        <v>1.448239307112527E-6</v>
      </c>
      <c r="DI171" s="22">
        <f t="shared" si="175"/>
        <v>88.917027254782681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353.37479213497227</v>
      </c>
      <c r="DU171" s="59">
        <f t="shared" si="152"/>
        <v>345.4750813433123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9.0986781580089424</v>
      </c>
      <c r="EB171" s="21">
        <f>EXP(-LN(2)/25)*EB170+(1-EXP(-LN(2)/25))/(LN(2)/25)*Calculateur!DW171*Calculateur!DY171*VLOOKUP('Données projet'!$B$14,Paramètres!$A$1:$I$89,3,0)*0.475*44/12</f>
        <v>4.4739669277366891</v>
      </c>
      <c r="EC171" s="21">
        <f>EXP(-LN(2)/2)*EC170+(1-EXP(-LN(2)/2))/(LN(2)/2)*DW171*DZ171*VLOOKUP('Données projet'!$B$14,Paramètres!$A$1:$I$89,3,0)*0.475*44/12</f>
        <v>3.5482413070668231E-12</v>
      </c>
      <c r="ED171" s="22">
        <f t="shared" si="178"/>
        <v>13.572645085749178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-4.5474735088646412E-13</v>
      </c>
      <c r="EK171" s="17">
        <f>EJ171*VLOOKUP('Données projet'!$B$15,Paramètres!$A$1:$I$89,3,0)*VLOOKUP('Données projet'!$B$15,Paramètres!$A$1:$I$89,5,0)</f>
        <v>-2.1282176021486519E-13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433.05041777893922</v>
      </c>
      <c r="EP171" s="59">
        <f t="shared" si="154"/>
        <v>591.24088611958996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100.93311954548538</v>
      </c>
      <c r="EW171" s="21">
        <f>EXP(-LN(2)/25)*EW170+(1-EXP(-LN(2)/25))/(LN(2)/25)*Calculateur!ER171*Calculateur!ET171*VLOOKUP('Données projet'!$B$15,Paramètres!$A$1:$I$89,3,0)*0.475*44/12</f>
        <v>18.715921265279402</v>
      </c>
      <c r="EX171" s="21">
        <f>EXP(-LN(2)/2)*EX170+(1-EXP(-LN(2)/2))/(LN(2)/2)*ER171*EU171*VLOOKUP('Données projet'!$B$15,Paramètres!$A$1:$I$89,3,0)*0.475*44/12</f>
        <v>1.6099918371748661E-8</v>
      </c>
      <c r="EY171" s="22">
        <f t="shared" si="181"/>
        <v>119.64904082686471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-8.5265128291212022E-14</v>
      </c>
      <c r="FF171" s="17">
        <f>FE171*VLOOKUP('Données projet'!$B$16,Paramètres!$A$1:$I$89,3,0)*VLOOKUP('Données projet'!$B$16,Paramètres!$A$1:$I$89,5,0)</f>
        <v>-6.9167072069831198E-14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159.4660488566085</v>
      </c>
      <c r="FK171" s="59">
        <f t="shared" si="156"/>
        <v>135.33030558297088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</v>
      </c>
      <c r="FR171" s="21">
        <f>EXP(-LN(2)/25)*FR170+(1-EXP(-LN(2)/25))/(LN(2)/25)*Calculateur!FM171*Calculateur!FO171*VLOOKUP('Données projet'!$B$16,Paramètres!$A$1:$I$89,3,0)*0.475*44/12</f>
        <v>1.86100257505622</v>
      </c>
      <c r="FS171" s="21">
        <f>EXP(-LN(2)/2)*FS170+(1-EXP(-LN(2)/2))/(LN(2)/2)*FM171*FP171*VLOOKUP('Données projet'!$B$16,Paramètres!$A$1:$I$89,3,0)*0.475*44/12</f>
        <v>4.5556710434958756E-11</v>
      </c>
      <c r="FT171" s="22">
        <f t="shared" si="184"/>
        <v>1.8610025751017767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9.6220000000000034</v>
      </c>
      <c r="N172" s="13">
        <f>IF('Données projet'!$A$36&gt;35,N171+M172-V171,IF(A172&lt;'Données projet'!$A$36,$K$205^A172,IF(A172='Données projet'!$A$36,'Données projet'!$B$36,N171+M172-V171)))</f>
        <v>562.41000000000111</v>
      </c>
      <c r="O172" s="13">
        <f>N172*VLOOKUP('Données projet'!$B$9,Paramètres!$A$1:$I$89,3,0)*VLOOKUP('Données projet'!$B$9,Paramètres!$A$1:$I$89,5,0)</f>
        <v>570.28374000000122</v>
      </c>
      <c r="P172" s="13">
        <f t="shared" si="141"/>
        <v>125.55501458776541</v>
      </c>
      <c r="Q172" s="20">
        <f t="shared" si="162"/>
        <v>1211.9191642403603</v>
      </c>
      <c r="R172" s="59">
        <f t="shared" si="109"/>
        <v>1505.2524975736935</v>
      </c>
      <c r="S172" s="59">
        <f ca="1">AVERAGE(OFFSET($R$3,0,0,'Données projet'!$E$9+1,1))-AVERAGE(OFFSET($H$3,0,0,'Données projet'!$E$9+1,1))</f>
        <v>706.69239849991595</v>
      </c>
      <c r="T172" s="59">
        <f t="shared" si="142"/>
        <v>310.59887275116529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59.494293373239778</v>
      </c>
      <c r="AA172" s="21">
        <f>EXP(-LN(2)/25)*AA171+(1-EXP(-LN(2)/25))/(LN(2)/25)*Calculateur!V172*Calculateur!X172*VLOOKUP('Données projet'!$B$9,Paramètres!$A$1:$I$89,3,0)*0.475*44/12</f>
        <v>22.447067653821676</v>
      </c>
      <c r="AB172" s="21">
        <f>EXP(-LN(2)/2)*AB171+(1-EXP(-LN(2)/2))/(LN(2)/2)*V172*Y172*VLOOKUP('Données projet'!$B$9,Paramètres!$A$1:$I$89,3,0)*0.475*44/12</f>
        <v>9.6469404731320817E-7</v>
      </c>
      <c r="AC172" s="22">
        <f t="shared" si="163"/>
        <v>81.9413619917555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239.26156489359892</v>
      </c>
      <c r="AO172" s="59">
        <f t="shared" si="144"/>
        <v>213.97034450798111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2.2621482262053427</v>
      </c>
      <c r="AV172" s="21">
        <f>EXP(-LN(2)/25)*AV171+(1-EXP(-LN(2)/25))/(LN(2)/25)*Calculateur!AQ172*Calculateur!AS172*VLOOKUP('Données projet'!$B$10,Paramètres!$A$1:$I$89,3,0)*0.475*44/12</f>
        <v>7.1448659737770681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9.4070141999824113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-1.7053025658242404E-13</v>
      </c>
      <c r="BE172" s="13">
        <f>BD172*VLOOKUP('Données projet'!$B$11,Paramètres!$A$1:$I$89,3,0)*VLOOKUP('Données projet'!$B$11,Paramètres!$A$1:$I$89,5,0)</f>
        <v>-1.4897523215040567E-13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324.86930206492627</v>
      </c>
      <c r="BJ172" s="59">
        <f t="shared" si="146"/>
        <v>317.03005098025352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7.906677262258877</v>
      </c>
      <c r="BQ172" s="21">
        <f>EXP(-LN(2)/25)*BQ171+(1-EXP(-LN(2)/25))/(LN(2)/25)*Calculateur!BL172*Calculateur!BN172*VLOOKUP('Données projet'!$B$11,Paramètres!$A$1:$I$89,3,0)*0.475*44/12</f>
        <v>3.9439216142497866</v>
      </c>
      <c r="BR172" s="21">
        <f>EXP(-LN(2)/2)*BR171+(1-EXP(-LN(2)/2))/(LN(2)/2)*BL172*BO172*VLOOKUP('Données projet'!$B$11,Paramètres!$A$1:$I$89,3,0)*0.475*44/12</f>
        <v>2.2941340501254038E-12</v>
      </c>
      <c r="BS172" s="22">
        <f t="shared" si="169"/>
        <v>11.850598876510956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7.688333333333337</v>
      </c>
      <c r="BY172" s="12">
        <f>IF('Données projet'!$A$114&gt;35,BY171+BX172-CG171,IF(A172&lt;'Données projet'!$A$114,$BV$205^A172,IF(A172='Données projet'!$A$114,'Données projet'!$B$114,BY171+BX172-CG171)))</f>
        <v>371.96833333333302</v>
      </c>
      <c r="BZ172" s="13">
        <f>BY172*VLOOKUP('Données projet'!$B$12,Paramètres!$A$1:$I$89,3,0)*VLOOKUP('Données projet'!$B$12,Paramètres!$A$1:$I$89,5,0)</f>
        <v>423.59753799999964</v>
      </c>
      <c r="CA172" s="13">
        <f t="shared" si="170"/>
        <v>96.544627937527807</v>
      </c>
      <c r="CB172" s="20">
        <f t="shared" si="171"/>
        <v>905.91427234119362</v>
      </c>
      <c r="CC172" s="59">
        <f t="shared" si="119"/>
        <v>1199.247605674527</v>
      </c>
      <c r="CD172" s="59">
        <f ca="1">AVERAGE(OFFSET($CC$3,0,0,'Données projet'!$E$12+1,1))-AVERAGE(OFFSET($H$3,0,0,'Données projet'!$E$12+1,1))</f>
        <v>593.28343396240075</v>
      </c>
      <c r="CE172" s="59">
        <f t="shared" si="148"/>
        <v>289.66477662068695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55.463179057280847</v>
      </c>
      <c r="CL172" s="21">
        <f>EXP(-LN(2)/25)*CL171+(1-EXP(-LN(2)/25))/(LN(2)/25)*Calculateur!CG172*Calculateur!CI172*VLOOKUP('Données projet'!$B$12,Paramètres!$A$1:$I$89,3,0)*0.475*44/12</f>
        <v>25.391299362405693</v>
      </c>
      <c r="CM172" s="21">
        <f>EXP(-LN(2)/2)*CM171+(1-EXP(-LN(2)/2))/(LN(2)/2)*CG172*CJ172*VLOOKUP('Données projet'!$B$12,Paramètres!$A$1:$I$89,3,0)*0.475*44/12</f>
        <v>1.1451252901818626E-3</v>
      </c>
      <c r="CN172" s="22">
        <f t="shared" si="172"/>
        <v>80.855623544976723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9.6220000000000034</v>
      </c>
      <c r="CT172" s="12">
        <f>IF('Données projet'!$A$140&gt;35,CT171+CS172-DB171,IF(A172&lt;'Données projet'!$A$140,$CQ$205^A172,IF(A172='Données projet'!$A$140,'Données projet'!$B$140,CT171+CS172-DB171)))</f>
        <v>562.41000000000111</v>
      </c>
      <c r="CU172" s="17">
        <f>CT172*VLOOKUP('Données projet'!$B$13,Paramètres!$A$1:$I$89,3,0)*VLOOKUP('Données projet'!$B$13,Paramètres!$A$1:$I$89,5,0)</f>
        <v>605.37812400000121</v>
      </c>
      <c r="CV172" s="13">
        <f t="shared" si="173"/>
        <v>132.35820765877301</v>
      </c>
      <c r="CW172" s="20">
        <f t="shared" si="174"/>
        <v>1284.8907776390317</v>
      </c>
      <c r="CX172" s="59">
        <f t="shared" si="122"/>
        <v>1578.224110972365</v>
      </c>
      <c r="CY172" s="59">
        <f ca="1">AVERAGE(OFFSET($CX$3,0,0,'Données projet'!$E$13+1,1))-AVERAGE(OFFSET($H$3,0,0,'Données projet'!$E$13+1,1))</f>
        <v>747.18304127457918</v>
      </c>
      <c r="CZ172" s="59">
        <f t="shared" si="150"/>
        <v>327.03701004966723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63.155480657746779</v>
      </c>
      <c r="DG172" s="21">
        <f>EXP(-LN(2)/25)*DG171+(1-EXP(-LN(2)/25))/(LN(2)/25)*Calculateur!DB172*Calculateur!DD172*VLOOKUP('Données projet'!$B$13,Paramètres!$A$1:$I$89,3,0)*0.475*44/12</f>
        <v>23.828425663287618</v>
      </c>
      <c r="DH172" s="21">
        <f>EXP(-LN(2)/2)*DH171+(1-EXP(-LN(2)/2))/(LN(2)/2)*DB172*DE172*VLOOKUP('Données projet'!$B$13,Paramètres!$A$1:$I$89,3,0)*0.475*44/12</f>
        <v>1.0240598348401748E-6</v>
      </c>
      <c r="DI172" s="22">
        <f t="shared" si="175"/>
        <v>86.983907345094238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353.37479213497227</v>
      </c>
      <c r="DU172" s="59">
        <f t="shared" si="152"/>
        <v>345.4750813433123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8.9202586289760806</v>
      </c>
      <c r="EB172" s="21">
        <f>EXP(-LN(2)/25)*EB171+(1-EXP(-LN(2)/25))/(LN(2)/25)*Calculateur!DW172*Calculateur!DY172*VLOOKUP('Données projet'!$B$14,Paramètres!$A$1:$I$89,3,0)*0.475*44/12</f>
        <v>4.3516260668220337</v>
      </c>
      <c r="EC172" s="21">
        <f>EXP(-LN(2)/2)*EC171+(1-EXP(-LN(2)/2))/(LN(2)/2)*DW172*DZ172*VLOOKUP('Données projet'!$B$14,Paramètres!$A$1:$I$89,3,0)*0.475*44/12</f>
        <v>2.5089854895131694E-12</v>
      </c>
      <c r="ED172" s="22">
        <f t="shared" si="178"/>
        <v>13.271884695800622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-4.5474735088646412E-13</v>
      </c>
      <c r="EK172" s="17">
        <f>EJ172*VLOOKUP('Données projet'!$B$15,Paramètres!$A$1:$I$89,3,0)*VLOOKUP('Données projet'!$B$15,Paramètres!$A$1:$I$89,5,0)</f>
        <v>-2.1282176021486519E-13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433.05041777893922</v>
      </c>
      <c r="EP172" s="59">
        <f t="shared" si="154"/>
        <v>591.24088611958996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98.953882634322483</v>
      </c>
      <c r="EW172" s="21">
        <f>EXP(-LN(2)/25)*EW171+(1-EXP(-LN(2)/25))/(LN(2)/25)*Calculateur!ER172*Calculateur!ET172*VLOOKUP('Données projet'!$B$15,Paramètres!$A$1:$I$89,3,0)*0.475*44/12</f>
        <v>18.204133414052812</v>
      </c>
      <c r="EX172" s="21">
        <f>EXP(-LN(2)/2)*EX171+(1-EXP(-LN(2)/2))/(LN(2)/2)*ER172*EU172*VLOOKUP('Données projet'!$B$15,Paramètres!$A$1:$I$89,3,0)*0.475*44/12</f>
        <v>1.1384361457213357E-8</v>
      </c>
      <c r="EY172" s="22">
        <f t="shared" si="181"/>
        <v>117.15801605975965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-8.5265128291212022E-14</v>
      </c>
      <c r="FF172" s="17">
        <f>FE172*VLOOKUP('Données projet'!$B$16,Paramètres!$A$1:$I$89,3,0)*VLOOKUP('Données projet'!$B$16,Paramètres!$A$1:$I$89,5,0)</f>
        <v>-6.9167072069831198E-14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159.4660488566085</v>
      </c>
      <c r="FK172" s="59">
        <f t="shared" si="156"/>
        <v>135.33030558297088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</v>
      </c>
      <c r="FR172" s="21">
        <f>EXP(-LN(2)/25)*FR171+(1-EXP(-LN(2)/25))/(LN(2)/25)*Calculateur!FM172*Calculateur!FO172*VLOOKUP('Données projet'!$B$16,Paramètres!$A$1:$I$89,3,0)*0.475*44/12</f>
        <v>1.8101133617754357</v>
      </c>
      <c r="FS172" s="21">
        <f>EXP(-LN(2)/2)*FS171+(1-EXP(-LN(2)/2))/(LN(2)/2)*FM172*FP172*VLOOKUP('Données projet'!$B$16,Paramètres!$A$1:$I$89,3,0)*0.475*44/12</f>
        <v>3.2213458877111287E-11</v>
      </c>
      <c r="FT172" s="22">
        <f t="shared" si="184"/>
        <v>1.8101133618076493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9.6220000000000034</v>
      </c>
      <c r="N173" s="13">
        <f>IF('Données projet'!$A$36&gt;35,N172+M173-V172,IF(A173&lt;'Données projet'!$A$36,$K$205^A173,IF(A173='Données projet'!$A$36,'Données projet'!$B$36,N172+M173-V172)))</f>
        <v>572.03200000000106</v>
      </c>
      <c r="O173" s="13">
        <f>N173*VLOOKUP('Données projet'!$B$9,Paramètres!$A$1:$I$89,3,0)*VLOOKUP('Données projet'!$B$9,Paramètres!$A$1:$I$89,5,0)</f>
        <v>580.04044800000111</v>
      </c>
      <c r="P173" s="13">
        <f t="shared" si="141"/>
        <v>127.45116231789045</v>
      </c>
      <c r="Q173" s="20">
        <f t="shared" si="162"/>
        <v>1232.2145546369943</v>
      </c>
      <c r="R173" s="59">
        <f t="shared" si="109"/>
        <v>1525.5478879703276</v>
      </c>
      <c r="S173" s="59">
        <f ca="1">AVERAGE(OFFSET($R$3,0,0,'Données projet'!$E$9+1,1))-AVERAGE(OFFSET($H$3,0,0,'Données projet'!$E$9+1,1))</f>
        <v>706.69239849991595</v>
      </c>
      <c r="T173" s="59">
        <f t="shared" si="142"/>
        <v>310.59887275116529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58.327646568126369</v>
      </c>
      <c r="AA173" s="21">
        <f>EXP(-LN(2)/25)*AA172+(1-EXP(-LN(2)/25))/(LN(2)/25)*Calculateur!V173*Calculateur!X173*VLOOKUP('Données projet'!$B$9,Paramètres!$A$1:$I$89,3,0)*0.475*44/12</f>
        <v>21.833251408387937</v>
      </c>
      <c r="AB173" s="21">
        <f>EXP(-LN(2)/2)*AB172+(1-EXP(-LN(2)/2))/(LN(2)/2)*V173*Y173*VLOOKUP('Données projet'!$B$9,Paramètres!$A$1:$I$89,3,0)*0.475*44/12</f>
        <v>6.8214170262546562E-7</v>
      </c>
      <c r="AC173" s="22">
        <f t="shared" si="163"/>
        <v>80.160898658656009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239.26156489359892</v>
      </c>
      <c r="AO173" s="59">
        <f t="shared" si="144"/>
        <v>213.97034450798111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2.2177888792636327</v>
      </c>
      <c r="AV173" s="21">
        <f>EXP(-LN(2)/25)*AV172+(1-EXP(-LN(2)/25))/(LN(2)/25)*Calculateur!AQ173*Calculateur!AS173*VLOOKUP('Données projet'!$B$10,Paramètres!$A$1:$I$89,3,0)*0.475*44/12</f>
        <v>6.9494892379919628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9.167278117255595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-1.7053025658242404E-13</v>
      </c>
      <c r="BE173" s="13">
        <f>BD173*VLOOKUP('Données projet'!$B$11,Paramètres!$A$1:$I$89,3,0)*VLOOKUP('Données projet'!$B$11,Paramètres!$A$1:$I$89,5,0)</f>
        <v>-1.4897523215040567E-13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324.86930206492627</v>
      </c>
      <c r="BJ173" s="59">
        <f t="shared" si="146"/>
        <v>317.03005098025352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7.7516321437429188</v>
      </c>
      <c r="BQ173" s="21">
        <f>EXP(-LN(2)/25)*BQ172+(1-EXP(-LN(2)/25))/(LN(2)/25)*Calculateur!BL173*Calculateur!BN173*VLOOKUP('Données projet'!$B$11,Paramètres!$A$1:$I$89,3,0)*0.475*44/12</f>
        <v>3.8360748703063026</v>
      </c>
      <c r="BR173" s="21">
        <f>EXP(-LN(2)/2)*BR172+(1-EXP(-LN(2)/2))/(LN(2)/2)*BL173*BO173*VLOOKUP('Données projet'!$B$11,Paramètres!$A$1:$I$89,3,0)*0.475*44/12</f>
        <v>1.622197743794632E-12</v>
      </c>
      <c r="BS173" s="22">
        <f t="shared" si="169"/>
        <v>11.587707014050844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7.688333333333337</v>
      </c>
      <c r="BY173" s="12">
        <f>IF('Données projet'!$A$114&gt;35,BY172+BX173-CG172,IF(A173&lt;'Données projet'!$A$114,$BV$205^A173,IF(A173='Données projet'!$A$114,'Données projet'!$B$114,BY172+BX173-CG172)))</f>
        <v>379.65666666666635</v>
      </c>
      <c r="BZ173" s="13">
        <f>BY173*VLOOKUP('Données projet'!$B$12,Paramètres!$A$1:$I$89,3,0)*VLOOKUP('Données projet'!$B$12,Paramètres!$A$1:$I$89,5,0)</f>
        <v>432.35301199999964</v>
      </c>
      <c r="CA173" s="13">
        <f t="shared" si="170"/>
        <v>98.305757408394228</v>
      </c>
      <c r="CB173" s="20">
        <f t="shared" si="171"/>
        <v>924.23069005295258</v>
      </c>
      <c r="CC173" s="59">
        <f t="shared" si="119"/>
        <v>1217.564023386286</v>
      </c>
      <c r="CD173" s="59">
        <f ca="1">AVERAGE(OFFSET($CC$3,0,0,'Données projet'!$E$12+1,1))-AVERAGE(OFFSET($H$3,0,0,'Données projet'!$E$12+1,1))</f>
        <v>593.28343396240075</v>
      </c>
      <c r="CE173" s="59">
        <f t="shared" si="148"/>
        <v>289.66477662068695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54.375579945166436</v>
      </c>
      <c r="CL173" s="21">
        <f>EXP(-LN(2)/25)*CL172+(1-EXP(-LN(2)/25))/(LN(2)/25)*Calculateur!CG173*Calculateur!CI173*VLOOKUP('Données projet'!$B$12,Paramètres!$A$1:$I$89,3,0)*0.475*44/12</f>
        <v>24.696972946070307</v>
      </c>
      <c r="CM173" s="21">
        <f>EXP(-LN(2)/2)*CM172+(1-EXP(-LN(2)/2))/(LN(2)/2)*CG173*CJ173*VLOOKUP('Données projet'!$B$12,Paramètres!$A$1:$I$89,3,0)*0.475*44/12</f>
        <v>8.0972585799580804E-4</v>
      </c>
      <c r="CN173" s="22">
        <f t="shared" si="172"/>
        <v>79.07336261709473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9.6220000000000034</v>
      </c>
      <c r="CT173" s="12">
        <f>IF('Données projet'!$A$140&gt;35,CT172+CS173-DB172,IF(A173&lt;'Données projet'!$A$140,$CQ$205^A173,IF(A173='Données projet'!$A$140,'Données projet'!$B$140,CT172+CS173-DB172)))</f>
        <v>572.03200000000106</v>
      </c>
      <c r="CU173" s="17">
        <f>CT173*VLOOKUP('Données projet'!$B$13,Paramètres!$A$1:$I$89,3,0)*VLOOKUP('Données projet'!$B$13,Paramètres!$A$1:$I$89,5,0)</f>
        <v>615.73524480000117</v>
      </c>
      <c r="CV173" s="13">
        <f t="shared" si="173"/>
        <v>134.35709807218751</v>
      </c>
      <c r="CW173" s="20">
        <f t="shared" si="174"/>
        <v>1306.4108305023954</v>
      </c>
      <c r="CX173" s="59">
        <f t="shared" si="122"/>
        <v>1599.7441638357286</v>
      </c>
      <c r="CY173" s="59">
        <f ca="1">AVERAGE(OFFSET($CX$3,0,0,'Données projet'!$E$13+1,1))-AVERAGE(OFFSET($H$3,0,0,'Données projet'!$E$13+1,1))</f>
        <v>747.18304127457918</v>
      </c>
      <c r="CZ173" s="59">
        <f t="shared" si="150"/>
        <v>327.03701004966723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61.917040203087929</v>
      </c>
      <c r="DG173" s="21">
        <f>EXP(-LN(2)/25)*DG172+(1-EXP(-LN(2)/25))/(LN(2)/25)*Calculateur!DB173*Calculateur!DD173*VLOOKUP('Données projet'!$B$13,Paramètres!$A$1:$I$89,3,0)*0.475*44/12</f>
        <v>23.176836110442572</v>
      </c>
      <c r="DH173" s="21">
        <f>EXP(-LN(2)/2)*DH172+(1-EXP(-LN(2)/2))/(LN(2)/2)*DB173*DE173*VLOOKUP('Données projet'!$B$13,Paramètres!$A$1:$I$89,3,0)*0.475*44/12</f>
        <v>7.2411965355626349E-7</v>
      </c>
      <c r="DI173" s="22">
        <f t="shared" si="175"/>
        <v>85.093877037650159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353.37479213497227</v>
      </c>
      <c r="DU173" s="59">
        <f t="shared" si="152"/>
        <v>345.4750813433123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8.745337798082387</v>
      </c>
      <c r="EB173" s="21">
        <f>EXP(-LN(2)/25)*EB172+(1-EXP(-LN(2)/25))/(LN(2)/25)*Calculateur!DW173*Calculateur!DY173*VLOOKUP('Données projet'!$B$14,Paramètres!$A$1:$I$89,3,0)*0.475*44/12</f>
        <v>4.2326306231827164</v>
      </c>
      <c r="EC173" s="21">
        <f>EXP(-LN(2)/2)*EC172+(1-EXP(-LN(2)/2))/(LN(2)/2)*DW173*DZ173*VLOOKUP('Données projet'!$B$14,Paramètres!$A$1:$I$89,3,0)*0.475*44/12</f>
        <v>1.7741206535334115E-12</v>
      </c>
      <c r="ED173" s="22">
        <f t="shared" si="178"/>
        <v>12.977968421266878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-4.5474735088646412E-13</v>
      </c>
      <c r="EK173" s="17">
        <f>EJ173*VLOOKUP('Données projet'!$B$15,Paramètres!$A$1:$I$89,3,0)*VLOOKUP('Données projet'!$B$15,Paramètres!$A$1:$I$89,5,0)</f>
        <v>-2.1282176021486519E-13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433.05041777893922</v>
      </c>
      <c r="EP173" s="59">
        <f t="shared" si="154"/>
        <v>591.24088611958996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97.013457351772175</v>
      </c>
      <c r="EW173" s="21">
        <f>EXP(-LN(2)/25)*EW172+(1-EXP(-LN(2)/25))/(LN(2)/25)*Calculateur!ER173*Calculateur!ET173*VLOOKUP('Données projet'!$B$15,Paramètres!$A$1:$I$89,3,0)*0.475*44/12</f>
        <v>17.706340428531767</v>
      </c>
      <c r="EX173" s="21">
        <f>EXP(-LN(2)/2)*EX172+(1-EXP(-LN(2)/2))/(LN(2)/2)*ER173*EU173*VLOOKUP('Données projet'!$B$15,Paramètres!$A$1:$I$89,3,0)*0.475*44/12</f>
        <v>8.0499591858743305E-9</v>
      </c>
      <c r="EY173" s="22">
        <f t="shared" si="181"/>
        <v>114.7197977883539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-8.5265128291212022E-14</v>
      </c>
      <c r="FF173" s="17">
        <f>FE173*VLOOKUP('Données projet'!$B$16,Paramètres!$A$1:$I$89,3,0)*VLOOKUP('Données projet'!$B$16,Paramètres!$A$1:$I$89,5,0)</f>
        <v>-6.9167072069831198E-14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159.4660488566085</v>
      </c>
      <c r="FK173" s="59">
        <f t="shared" si="156"/>
        <v>135.33030558297088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</v>
      </c>
      <c r="FR173" s="21">
        <f>EXP(-LN(2)/25)*FR172+(1-EXP(-LN(2)/25))/(LN(2)/25)*Calculateur!FM173*Calculateur!FO173*VLOOKUP('Données projet'!$B$16,Paramètres!$A$1:$I$89,3,0)*0.475*44/12</f>
        <v>1.7606157167079617</v>
      </c>
      <c r="FS173" s="21">
        <f>EXP(-LN(2)/2)*FS172+(1-EXP(-LN(2)/2))/(LN(2)/2)*FM173*FP173*VLOOKUP('Données projet'!$B$16,Paramètres!$A$1:$I$89,3,0)*0.475*44/12</f>
        <v>2.2778355217479378E-11</v>
      </c>
      <c r="FT173" s="22">
        <f t="shared" si="184"/>
        <v>1.7606157167307401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9.6220000000000034</v>
      </c>
      <c r="N174" s="13">
        <f>IF('Données projet'!$A$36&gt;35,N173+M174-V173,IF(A174&lt;'Données projet'!$A$36,$K$205^A174,IF(A174='Données projet'!$A$36,'Données projet'!$B$36,N173+M174-V173)))</f>
        <v>581.65400000000102</v>
      </c>
      <c r="O174" s="13">
        <f>N174*VLOOKUP('Données projet'!$B$9,Paramètres!$A$1:$I$89,3,0)*VLOOKUP('Données projet'!$B$9,Paramètres!$A$1:$I$89,5,0)</f>
        <v>589.79715600000111</v>
      </c>
      <c r="P174" s="13">
        <f t="shared" si="141"/>
        <v>129.34360096340086</v>
      </c>
      <c r="Q174" s="20">
        <f t="shared" si="162"/>
        <v>1252.5034850445916</v>
      </c>
      <c r="R174" s="59">
        <f t="shared" si="109"/>
        <v>1545.8368183779248</v>
      </c>
      <c r="S174" s="59">
        <f ca="1">AVERAGE(OFFSET($R$3,0,0,'Données projet'!$E$9+1,1))-AVERAGE(OFFSET($H$3,0,0,'Données projet'!$E$9+1,1))</f>
        <v>706.69239849991595</v>
      </c>
      <c r="T174" s="59">
        <f t="shared" si="142"/>
        <v>310.59887275116529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57.183876995276947</v>
      </c>
      <c r="AA174" s="21">
        <f>EXP(-LN(2)/25)*AA173+(1-EXP(-LN(2)/25))/(LN(2)/25)*Calculateur!V174*Calculateur!X174*VLOOKUP('Données projet'!$B$9,Paramètres!$A$1:$I$89,3,0)*0.475*44/12</f>
        <v>21.23622000046478</v>
      </c>
      <c r="AB174" s="21">
        <f>EXP(-LN(2)/2)*AB173+(1-EXP(-LN(2)/2))/(LN(2)/2)*V174*Y174*VLOOKUP('Données projet'!$B$9,Paramètres!$A$1:$I$89,3,0)*0.475*44/12</f>
        <v>4.8234702365660409E-7</v>
      </c>
      <c r="AC174" s="22">
        <f t="shared" si="163"/>
        <v>78.420097478088749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239.26156489359892</v>
      </c>
      <c r="AO174" s="59">
        <f t="shared" si="144"/>
        <v>213.97034450798111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2.1742993920589195</v>
      </c>
      <c r="AV174" s="21">
        <f>EXP(-LN(2)/25)*AV173+(1-EXP(-LN(2)/25))/(LN(2)/25)*Calculateur!AQ174*Calculateur!AS174*VLOOKUP('Données projet'!$B$10,Paramètres!$A$1:$I$89,3,0)*0.475*44/12</f>
        <v>6.7594550893213166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8.9337544813802356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-1.7053025658242404E-13</v>
      </c>
      <c r="BE174" s="13">
        <f>BD174*VLOOKUP('Données projet'!$B$11,Paramètres!$A$1:$I$89,3,0)*VLOOKUP('Données projet'!$B$11,Paramètres!$A$1:$I$89,5,0)</f>
        <v>-1.4897523215040567E-13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324.86930206492627</v>
      </c>
      <c r="BJ174" s="59">
        <f t="shared" si="146"/>
        <v>317.03005098025352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7.5996273654328741</v>
      </c>
      <c r="BQ174" s="21">
        <f>EXP(-LN(2)/25)*BQ173+(1-EXP(-LN(2)/25))/(LN(2)/25)*Calculateur!BL174*Calculateur!BN174*VLOOKUP('Données projet'!$B$11,Paramètres!$A$1:$I$89,3,0)*0.475*44/12</f>
        <v>3.731177201247367</v>
      </c>
      <c r="BR174" s="21">
        <f>EXP(-LN(2)/2)*BR173+(1-EXP(-LN(2)/2))/(LN(2)/2)*BL174*BO174*VLOOKUP('Données projet'!$B$11,Paramètres!$A$1:$I$89,3,0)*0.475*44/12</f>
        <v>1.1470670250627019E-12</v>
      </c>
      <c r="BS174" s="22">
        <f t="shared" si="169"/>
        <v>11.330804566681389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7.688333333333337</v>
      </c>
      <c r="BY174" s="12">
        <f>IF('Données projet'!$A$114&gt;35,BY173+BX174-CG173,IF(A174&lt;'Données projet'!$A$114,$BV$205^A174,IF(A174='Données projet'!$A$114,'Données projet'!$B$114,BY173+BX174-CG173)))</f>
        <v>387.34499999999969</v>
      </c>
      <c r="BZ174" s="13">
        <f>BY174*VLOOKUP('Données projet'!$B$12,Paramètres!$A$1:$I$89,3,0)*VLOOKUP('Données projet'!$B$12,Paramètres!$A$1:$I$89,5,0)</f>
        <v>441.10848599999963</v>
      </c>
      <c r="CA174" s="13">
        <f t="shared" si="170"/>
        <v>100.06274015592311</v>
      </c>
      <c r="CB174" s="20">
        <f t="shared" si="171"/>
        <v>942.53988555489889</v>
      </c>
      <c r="CC174" s="59">
        <f t="shared" si="119"/>
        <v>1235.8732188882323</v>
      </c>
      <c r="CD174" s="59">
        <f ca="1">AVERAGE(OFFSET($CC$3,0,0,'Données projet'!$E$12+1,1))-AVERAGE(OFFSET($H$3,0,0,'Données projet'!$E$12+1,1))</f>
        <v>593.28343396240075</v>
      </c>
      <c r="CE174" s="59">
        <f t="shared" si="148"/>
        <v>289.66477662068695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53.309307988270632</v>
      </c>
      <c r="CL174" s="21">
        <f>EXP(-LN(2)/25)*CL173+(1-EXP(-LN(2)/25))/(LN(2)/25)*Calculateur!CG174*Calculateur!CI174*VLOOKUP('Données projet'!$B$12,Paramètres!$A$1:$I$89,3,0)*0.475*44/12</f>
        <v>24.021632922102654</v>
      </c>
      <c r="CM174" s="21">
        <f>EXP(-LN(2)/2)*CM173+(1-EXP(-LN(2)/2))/(LN(2)/2)*CG174*CJ174*VLOOKUP('Données projet'!$B$12,Paramètres!$A$1:$I$89,3,0)*0.475*44/12</f>
        <v>5.7256264509093129E-4</v>
      </c>
      <c r="CN174" s="22">
        <f t="shared" si="172"/>
        <v>77.331513473018376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9.6220000000000034</v>
      </c>
      <c r="CT174" s="12">
        <f>IF('Données projet'!$A$140&gt;35,CT173+CS174-DB173,IF(A174&lt;'Données projet'!$A$140,$CQ$205^A174,IF(A174='Données projet'!$A$140,'Données projet'!$B$140,CT173+CS174-DB173)))</f>
        <v>581.65400000000102</v>
      </c>
      <c r="CU174" s="17">
        <f>CT174*VLOOKUP('Données projet'!$B$13,Paramètres!$A$1:$I$89,3,0)*VLOOKUP('Données projet'!$B$13,Paramètres!$A$1:$I$89,5,0)</f>
        <v>626.09236560000102</v>
      </c>
      <c r="CV174" s="13">
        <f t="shared" si="173"/>
        <v>136.35207842439701</v>
      </c>
      <c r="CW174" s="20">
        <f t="shared" si="174"/>
        <v>1327.9240733424931</v>
      </c>
      <c r="CX174" s="59">
        <f t="shared" si="122"/>
        <v>1621.2574066758264</v>
      </c>
      <c r="CY174" s="59">
        <f ca="1">AVERAGE(OFFSET($CX$3,0,0,'Données projet'!$E$13+1,1))-AVERAGE(OFFSET($H$3,0,0,'Données projet'!$E$13+1,1))</f>
        <v>747.18304127457918</v>
      </c>
      <c r="CZ174" s="59">
        <f t="shared" si="150"/>
        <v>327.03701004966723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60.702884810370847</v>
      </c>
      <c r="DG174" s="21">
        <f>EXP(-LN(2)/25)*DG173+(1-EXP(-LN(2)/25))/(LN(2)/25)*Calculateur!DB174*Calculateur!DD174*VLOOKUP('Données projet'!$B$13,Paramètres!$A$1:$I$89,3,0)*0.475*44/12</f>
        <v>22.543064308185681</v>
      </c>
      <c r="DH174" s="21">
        <f>EXP(-LN(2)/2)*DH173+(1-EXP(-LN(2)/2))/(LN(2)/2)*DB174*DE174*VLOOKUP('Données projet'!$B$13,Paramètres!$A$1:$I$89,3,0)*0.475*44/12</f>
        <v>5.120299174200874E-7</v>
      </c>
      <c r="DI174" s="22">
        <f t="shared" si="175"/>
        <v>83.245949630586438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353.37479213497227</v>
      </c>
      <c r="DU174" s="59">
        <f t="shared" si="152"/>
        <v>345.4750813433123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8.5738470579913475</v>
      </c>
      <c r="EB174" s="21">
        <f>EXP(-LN(2)/25)*EB173+(1-EXP(-LN(2)/25))/(LN(2)/25)*Calculateur!DW174*Calculateur!DY174*VLOOKUP('Données projet'!$B$14,Paramètres!$A$1:$I$89,3,0)*0.475*44/12</f>
        <v>4.1168891162074148</v>
      </c>
      <c r="EC174" s="21">
        <f>EXP(-LN(2)/2)*EC173+(1-EXP(-LN(2)/2))/(LN(2)/2)*DW174*DZ174*VLOOKUP('Données projet'!$B$14,Paramètres!$A$1:$I$89,3,0)*0.475*44/12</f>
        <v>1.2544927447565847E-12</v>
      </c>
      <c r="ED174" s="22">
        <f t="shared" si="178"/>
        <v>12.690736174200016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-4.5474735088646412E-13</v>
      </c>
      <c r="EK174" s="17">
        <f>EJ174*VLOOKUP('Données projet'!$B$15,Paramètres!$A$1:$I$89,3,0)*VLOOKUP('Données projet'!$B$15,Paramètres!$A$1:$I$89,5,0)</f>
        <v>-2.1282176021486519E-13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433.05041777893922</v>
      </c>
      <c r="EP174" s="59">
        <f t="shared" si="154"/>
        <v>591.24088611958996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95.111082625470118</v>
      </c>
      <c r="EW174" s="21">
        <f>EXP(-LN(2)/25)*EW173+(1-EXP(-LN(2)/25))/(LN(2)/25)*Calculateur!ER174*Calculateur!ET174*VLOOKUP('Données projet'!$B$15,Paramètres!$A$1:$I$89,3,0)*0.475*44/12</f>
        <v>17.222159618377592</v>
      </c>
      <c r="EX174" s="21">
        <f>EXP(-LN(2)/2)*EX173+(1-EXP(-LN(2)/2))/(LN(2)/2)*ER174*EU174*VLOOKUP('Données projet'!$B$15,Paramètres!$A$1:$I$89,3,0)*0.475*44/12</f>
        <v>5.6921807286066786E-9</v>
      </c>
      <c r="EY174" s="22">
        <f t="shared" si="181"/>
        <v>112.33324224953989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-8.5265128291212022E-14</v>
      </c>
      <c r="FF174" s="17">
        <f>FE174*VLOOKUP('Données projet'!$B$16,Paramètres!$A$1:$I$89,3,0)*VLOOKUP('Données projet'!$B$16,Paramètres!$A$1:$I$89,5,0)</f>
        <v>-6.9167072069831198E-14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159.4660488566085</v>
      </c>
      <c r="FK174" s="59">
        <f t="shared" si="156"/>
        <v>135.33030558297088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</v>
      </c>
      <c r="FR174" s="21">
        <f>EXP(-LN(2)/25)*FR173+(1-EXP(-LN(2)/25))/(LN(2)/25)*Calculateur!FM174*Calculateur!FO174*VLOOKUP('Données projet'!$B$16,Paramètres!$A$1:$I$89,3,0)*0.475*44/12</f>
        <v>1.7124715873478258</v>
      </c>
      <c r="FS174" s="21">
        <f>EXP(-LN(2)/2)*FS173+(1-EXP(-LN(2)/2))/(LN(2)/2)*FM174*FP174*VLOOKUP('Données projet'!$B$16,Paramètres!$A$1:$I$89,3,0)*0.475*44/12</f>
        <v>1.6106729438555643E-11</v>
      </c>
      <c r="FT174" s="22">
        <f t="shared" si="184"/>
        <v>1.7124715873639325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9.6220000000000034</v>
      </c>
      <c r="N175" s="13">
        <f>IF('Données projet'!$A$36&gt;35,N174+M175-V174,IF(A175&lt;'Données projet'!$A$36,$K$205^A175,IF(A175='Données projet'!$A$36,'Données projet'!$B$36,N174+M175-V174)))</f>
        <v>591.27600000000098</v>
      </c>
      <c r="O175" s="13">
        <f>N175*VLOOKUP('Données projet'!$B$9,Paramètres!$A$1:$I$89,3,0)*VLOOKUP('Données projet'!$B$9,Paramètres!$A$1:$I$89,5,0)</f>
        <v>599.553864000001</v>
      </c>
      <c r="P175" s="13">
        <f t="shared" si="141"/>
        <v>131.23239896414796</v>
      </c>
      <c r="Q175" s="20">
        <f t="shared" si="162"/>
        <v>1272.7860746625593</v>
      </c>
      <c r="R175" s="59">
        <f t="shared" si="109"/>
        <v>1566.1194079958925</v>
      </c>
      <c r="S175" s="59">
        <f ca="1">AVERAGE(OFFSET($R$3,0,0,'Données projet'!$E$9+1,1))-AVERAGE(OFFSET($H$3,0,0,'Données projet'!$E$9+1,1))</f>
        <v>706.69239849991595</v>
      </c>
      <c r="T175" s="59">
        <f t="shared" si="142"/>
        <v>310.59887275116529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56.062536046120549</v>
      </c>
      <c r="AA175" s="21">
        <f>EXP(-LN(2)/25)*AA174+(1-EXP(-LN(2)/25))/(LN(2)/25)*Calculateur!V175*Calculateur!X175*VLOOKUP('Données projet'!$B$9,Paramètres!$A$1:$I$89,3,0)*0.475*44/12</f>
        <v>20.655514447787798</v>
      </c>
      <c r="AB175" s="21">
        <f>EXP(-LN(2)/2)*AB174+(1-EXP(-LN(2)/2))/(LN(2)/2)*V175*Y175*VLOOKUP('Données projet'!$B$9,Paramètres!$A$1:$I$89,3,0)*0.475*44/12</f>
        <v>3.4107085131273281E-7</v>
      </c>
      <c r="AC175" s="22">
        <f t="shared" si="163"/>
        <v>76.718050834979195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239.26156489359892</v>
      </c>
      <c r="AO175" s="59">
        <f t="shared" si="144"/>
        <v>213.97034450798111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2.1316627071723229</v>
      </c>
      <c r="AV175" s="21">
        <f>EXP(-LN(2)/25)*AV174+(1-EXP(-LN(2)/25))/(LN(2)/25)*Calculateur!AQ175*Calculateur!AS175*VLOOKUP('Données projet'!$B$10,Paramètres!$A$1:$I$89,3,0)*0.475*44/12</f>
        <v>6.5746174344395314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8.7062801416118543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-1.7053025658242404E-13</v>
      </c>
      <c r="BE175" s="13">
        <f>BD175*VLOOKUP('Données projet'!$B$11,Paramètres!$A$1:$I$89,3,0)*VLOOKUP('Données projet'!$B$11,Paramètres!$A$1:$I$89,5,0)</f>
        <v>-1.4897523215040567E-13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324.86930206492627</v>
      </c>
      <c r="BJ175" s="59">
        <f t="shared" si="146"/>
        <v>317.03005098025352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7.4506033081117291</v>
      </c>
      <c r="BQ175" s="21">
        <f>EXP(-LN(2)/25)*BQ174+(1-EXP(-LN(2)/25))/(LN(2)/25)*Calculateur!BL175*Calculateur!BN175*VLOOKUP('Données projet'!$B$11,Paramètres!$A$1:$I$89,3,0)*0.475*44/12</f>
        <v>3.6291479644651763</v>
      </c>
      <c r="BR175" s="21">
        <f>EXP(-LN(2)/2)*BR174+(1-EXP(-LN(2)/2))/(LN(2)/2)*BL175*BO175*VLOOKUP('Données projet'!$B$11,Paramètres!$A$1:$I$89,3,0)*0.475*44/12</f>
        <v>8.1109887189731601E-13</v>
      </c>
      <c r="BS175" s="22">
        <f t="shared" si="169"/>
        <v>11.079751272577717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7.688333333333337</v>
      </c>
      <c r="BY175" s="12">
        <f>IF('Données projet'!$A$114&gt;35,BY174+BX175-CG174,IF(A175&lt;'Données projet'!$A$114,$BV$205^A175,IF(A175='Données projet'!$A$114,'Données projet'!$B$114,BY174+BX175-CG174)))</f>
        <v>395.03333333333302</v>
      </c>
      <c r="BZ175" s="13">
        <f>BY175*VLOOKUP('Données projet'!$B$12,Paramètres!$A$1:$I$89,3,0)*VLOOKUP('Données projet'!$B$12,Paramètres!$A$1:$I$89,5,0)</f>
        <v>449.86395999999962</v>
      </c>
      <c r="CA175" s="13">
        <f t="shared" si="170"/>
        <v>101.81566797428304</v>
      </c>
      <c r="CB175" s="20">
        <f t="shared" si="171"/>
        <v>960.84201872187566</v>
      </c>
      <c r="CC175" s="59">
        <f t="shared" si="119"/>
        <v>1254.175352055209</v>
      </c>
      <c r="CD175" s="59">
        <f ca="1">AVERAGE(OFFSET($CC$3,0,0,'Données projet'!$E$12+1,1))-AVERAGE(OFFSET($H$3,0,0,'Données projet'!$E$12+1,1))</f>
        <v>593.28343396240075</v>
      </c>
      <c r="CE175" s="59">
        <f t="shared" si="148"/>
        <v>289.66477662068695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52.263944974087885</v>
      </c>
      <c r="CL175" s="21">
        <f>EXP(-LN(2)/25)*CL174+(1-EXP(-LN(2)/25))/(LN(2)/25)*Calculateur!CG175*Calculateur!CI175*VLOOKUP('Données projet'!$B$12,Paramètres!$A$1:$I$89,3,0)*0.475*44/12</f>
        <v>23.364760106604983</v>
      </c>
      <c r="CM175" s="21">
        <f>EXP(-LN(2)/2)*CM174+(1-EXP(-LN(2)/2))/(LN(2)/2)*CG175*CJ175*VLOOKUP('Données projet'!$B$12,Paramètres!$A$1:$I$89,3,0)*0.475*44/12</f>
        <v>4.0486292899790402E-4</v>
      </c>
      <c r="CN175" s="22">
        <f t="shared" si="172"/>
        <v>75.62910994362187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9.6220000000000034</v>
      </c>
      <c r="CT175" s="12">
        <f>IF('Données projet'!$A$140&gt;35,CT174+CS175-DB174,IF(A175&lt;'Données projet'!$A$140,$CQ$205^A175,IF(A175='Données projet'!$A$140,'Données projet'!$B$140,CT174+CS175-DB174)))</f>
        <v>591.27600000000098</v>
      </c>
      <c r="CU175" s="17">
        <f>CT175*VLOOKUP('Données projet'!$B$13,Paramètres!$A$1:$I$89,3,0)*VLOOKUP('Données projet'!$B$13,Paramètres!$A$1:$I$89,5,0)</f>
        <v>636.44948640000109</v>
      </c>
      <c r="CV175" s="13">
        <f t="shared" si="173"/>
        <v>138.34322086366288</v>
      </c>
      <c r="CW175" s="20">
        <f t="shared" si="174"/>
        <v>1349.4306318175479</v>
      </c>
      <c r="CX175" s="59">
        <f t="shared" si="122"/>
        <v>1642.7639651508812</v>
      </c>
      <c r="CY175" s="59">
        <f ca="1">AVERAGE(OFFSET($CX$3,0,0,'Données projet'!$E$13+1,1))-AVERAGE(OFFSET($H$3,0,0,'Données projet'!$E$13+1,1))</f>
        <v>747.18304127457918</v>
      </c>
      <c r="CZ175" s="59">
        <f t="shared" si="150"/>
        <v>327.03701004966723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59.512538264343284</v>
      </c>
      <c r="DG175" s="21">
        <f>EXP(-LN(2)/25)*DG174+(1-EXP(-LN(2)/25))/(LN(2)/25)*Calculateur!DB175*Calculateur!DD175*VLOOKUP('Données projet'!$B$13,Paramètres!$A$1:$I$89,3,0)*0.475*44/12</f>
        <v>21.926623029190115</v>
      </c>
      <c r="DH175" s="21">
        <f>EXP(-LN(2)/2)*DH174+(1-EXP(-LN(2)/2))/(LN(2)/2)*DB175*DE175*VLOOKUP('Données projet'!$B$13,Paramètres!$A$1:$I$89,3,0)*0.475*44/12</f>
        <v>3.6205982677813175E-7</v>
      </c>
      <c r="DI175" s="22">
        <f t="shared" si="175"/>
        <v>81.439161655593225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353.37479213497227</v>
      </c>
      <c r="DU175" s="59">
        <f t="shared" si="152"/>
        <v>345.4750813433123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8.4057191467144694</v>
      </c>
      <c r="EB175" s="21">
        <f>EXP(-LN(2)/25)*EB174+(1-EXP(-LN(2)/25))/(LN(2)/25)*Calculateur!DW175*Calculateur!DY175*VLOOKUP('Données projet'!$B$14,Paramètres!$A$1:$I$89,3,0)*0.475*44/12</f>
        <v>4.0043125668269335</v>
      </c>
      <c r="EC175" s="21">
        <f>EXP(-LN(2)/2)*EC174+(1-EXP(-LN(2)/2))/(LN(2)/2)*DW175*DZ175*VLOOKUP('Données projet'!$B$14,Paramètres!$A$1:$I$89,3,0)*0.475*44/12</f>
        <v>8.8706032676670577E-13</v>
      </c>
      <c r="ED175" s="22">
        <f t="shared" si="178"/>
        <v>12.41003171354229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-4.5474735088646412E-13</v>
      </c>
      <c r="EK175" s="17">
        <f>EJ175*VLOOKUP('Données projet'!$B$15,Paramètres!$A$1:$I$89,3,0)*VLOOKUP('Données projet'!$B$15,Paramètres!$A$1:$I$89,5,0)</f>
        <v>-2.1282176021486519E-13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433.05041777893922</v>
      </c>
      <c r="EP175" s="59">
        <f t="shared" si="154"/>
        <v>591.24088611958996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93.246012307216844</v>
      </c>
      <c r="EW175" s="21">
        <f>EXP(-LN(2)/25)*EW174+(1-EXP(-LN(2)/25))/(LN(2)/25)*Calculateur!ER175*Calculateur!ET175*VLOOKUP('Données projet'!$B$15,Paramètres!$A$1:$I$89,3,0)*0.475*44/12</f>
        <v>16.751218757939043</v>
      </c>
      <c r="EX175" s="21">
        <f>EXP(-LN(2)/2)*EX174+(1-EXP(-LN(2)/2))/(LN(2)/2)*ER175*EU175*VLOOKUP('Données projet'!$B$15,Paramètres!$A$1:$I$89,3,0)*0.475*44/12</f>
        <v>4.0249795929371652E-9</v>
      </c>
      <c r="EY175" s="22">
        <f t="shared" si="181"/>
        <v>109.99723106918087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-8.5265128291212022E-14</v>
      </c>
      <c r="FF175" s="17">
        <f>FE175*VLOOKUP('Données projet'!$B$16,Paramètres!$A$1:$I$89,3,0)*VLOOKUP('Données projet'!$B$16,Paramètres!$A$1:$I$89,5,0)</f>
        <v>-6.9167072069831198E-14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159.4660488566085</v>
      </c>
      <c r="FK175" s="59">
        <f t="shared" si="156"/>
        <v>135.33030558297088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</v>
      </c>
      <c r="FR175" s="21">
        <f>EXP(-LN(2)/25)*FR174+(1-EXP(-LN(2)/25))/(LN(2)/25)*Calculateur!FM175*Calculateur!FO175*VLOOKUP('Données projet'!$B$16,Paramètres!$A$1:$I$89,3,0)*0.475*44/12</f>
        <v>1.6656439617368326</v>
      </c>
      <c r="FS175" s="21">
        <f>EXP(-LN(2)/2)*FS174+(1-EXP(-LN(2)/2))/(LN(2)/2)*FM175*FP175*VLOOKUP('Données projet'!$B$16,Paramètres!$A$1:$I$89,3,0)*0.475*44/12</f>
        <v>1.1389177608739689E-11</v>
      </c>
      <c r="FT175" s="22">
        <f t="shared" si="184"/>
        <v>1.6656439617482217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9.6220000000000034</v>
      </c>
      <c r="N176" s="13">
        <f>IF('Données projet'!$A$36&gt;35,N175+M176-V175,IF(A176&lt;'Données projet'!$A$36,$K$205^A176,IF(A176='Données projet'!$A$36,'Données projet'!$B$36,N175+M176-V175)))</f>
        <v>600.89800000000093</v>
      </c>
      <c r="O176" s="13">
        <f>N176*VLOOKUP('Données projet'!$B$9,Paramètres!$A$1:$I$89,3,0)*VLOOKUP('Données projet'!$B$9,Paramètres!$A$1:$I$89,5,0)</f>
        <v>609.310572000001</v>
      </c>
      <c r="P176" s="13">
        <f t="shared" si="141"/>
        <v>133.11762240478217</v>
      </c>
      <c r="Q176" s="20">
        <f t="shared" si="162"/>
        <v>1293.0624385883307</v>
      </c>
      <c r="R176" s="59">
        <f t="shared" si="109"/>
        <v>1586.3957719216639</v>
      </c>
      <c r="S176" s="59">
        <f ca="1">AVERAGE(OFFSET($R$3,0,0,'Données projet'!$E$9+1,1))-AVERAGE(OFFSET($H$3,0,0,'Données projet'!$E$9+1,1))</f>
        <v>706.69239849991595</v>
      </c>
      <c r="T176" s="59">
        <f t="shared" si="142"/>
        <v>310.59887275116529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54.963183909026661</v>
      </c>
      <c r="AA176" s="21">
        <f>EXP(-LN(2)/25)*AA175+(1-EXP(-LN(2)/25))/(LN(2)/25)*Calculateur!V176*Calculateur!X176*VLOOKUP('Données projet'!$B$9,Paramètres!$A$1:$I$89,3,0)*0.475*44/12</f>
        <v>20.090688318986746</v>
      </c>
      <c r="AB176" s="21">
        <f>EXP(-LN(2)/2)*AB175+(1-EXP(-LN(2)/2))/(LN(2)/2)*V176*Y176*VLOOKUP('Données projet'!$B$9,Paramètres!$A$1:$I$89,3,0)*0.475*44/12</f>
        <v>2.4117351182830204E-7</v>
      </c>
      <c r="AC176" s="22">
        <f t="shared" si="163"/>
        <v>75.053872469186913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239.26156489359892</v>
      </c>
      <c r="AO176" s="59">
        <f t="shared" si="144"/>
        <v>213.97034450798111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2.0898621016705423</v>
      </c>
      <c r="AV176" s="21">
        <f>EXP(-LN(2)/25)*AV175+(1-EXP(-LN(2)/25))/(LN(2)/25)*Calculateur!AQ176*Calculateur!AS176*VLOOKUP('Données projet'!$B$10,Paramètres!$A$1:$I$89,3,0)*0.475*44/12</f>
        <v>6.3948341749506783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8.4846962766212215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-1.7053025658242404E-13</v>
      </c>
      <c r="BE176" s="13">
        <f>BD176*VLOOKUP('Données projet'!$B$11,Paramètres!$A$1:$I$89,3,0)*VLOOKUP('Données projet'!$B$11,Paramètres!$A$1:$I$89,5,0)</f>
        <v>-1.4897523215040567E-13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324.86930206492627</v>
      </c>
      <c r="BJ176" s="59">
        <f t="shared" si="146"/>
        <v>317.03005098025352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7.3045015216589517</v>
      </c>
      <c r="BQ176" s="21">
        <f>EXP(-LN(2)/25)*BQ175+(1-EXP(-LN(2)/25))/(LN(2)/25)*Calculateur!BL176*Calculateur!BN176*VLOOKUP('Données projet'!$B$11,Paramètres!$A$1:$I$89,3,0)*0.475*44/12</f>
        <v>3.5299087225282793</v>
      </c>
      <c r="BR176" s="21">
        <f>EXP(-LN(2)/2)*BR175+(1-EXP(-LN(2)/2))/(LN(2)/2)*BL176*BO176*VLOOKUP('Données projet'!$B$11,Paramètres!$A$1:$I$89,3,0)*0.475*44/12</f>
        <v>5.7353351253135096E-13</v>
      </c>
      <c r="BS176" s="22">
        <f t="shared" si="169"/>
        <v>10.834410244187804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7.688333333333337</v>
      </c>
      <c r="BY176" s="12">
        <f>IF('Données projet'!$A$114&gt;35,BY175+BX176-CG175,IF(A176&lt;'Données projet'!$A$114,$BV$205^A176,IF(A176='Données projet'!$A$114,'Données projet'!$B$114,BY175+BX176-CG175)))</f>
        <v>402.72166666666635</v>
      </c>
      <c r="BZ176" s="13">
        <f>BY176*VLOOKUP('Données projet'!$B$12,Paramètres!$A$1:$I$89,3,0)*VLOOKUP('Données projet'!$B$12,Paramètres!$A$1:$I$89,5,0)</f>
        <v>458.61943399999961</v>
      </c>
      <c r="CA176" s="13">
        <f t="shared" si="170"/>
        <v>103.56462888016677</v>
      </c>
      <c r="CB176" s="20">
        <f t="shared" si="171"/>
        <v>979.13724284962302</v>
      </c>
      <c r="CC176" s="59">
        <f t="shared" si="119"/>
        <v>1272.4705761829564</v>
      </c>
      <c r="CD176" s="59">
        <f ca="1">AVERAGE(OFFSET($CC$3,0,0,'Données projet'!$E$12+1,1))-AVERAGE(OFFSET($H$3,0,0,'Données projet'!$E$12+1,1))</f>
        <v>593.28343396240075</v>
      </c>
      <c r="CE176" s="59">
        <f t="shared" si="148"/>
        <v>289.66477662068695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51.239080891004775</v>
      </c>
      <c r="CL176" s="21">
        <f>EXP(-LN(2)/25)*CL175+(1-EXP(-LN(2)/25))/(LN(2)/25)*Calculateur!CG176*Calculateur!CI176*VLOOKUP('Données projet'!$B$12,Paramètres!$A$1:$I$89,3,0)*0.475*44/12</f>
        <v>22.725849512790536</v>
      </c>
      <c r="CM176" s="21">
        <f>EXP(-LN(2)/2)*CM175+(1-EXP(-LN(2)/2))/(LN(2)/2)*CG176*CJ176*VLOOKUP('Données projet'!$B$12,Paramètres!$A$1:$I$89,3,0)*0.475*44/12</f>
        <v>2.8628132254546564E-4</v>
      </c>
      <c r="CN176" s="22">
        <f t="shared" si="172"/>
        <v>73.965216685117852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9.6220000000000034</v>
      </c>
      <c r="CT176" s="12">
        <f>IF('Données projet'!$A$140&gt;35,CT175+CS176-DB175,IF(A176&lt;'Données projet'!$A$140,$CQ$205^A176,IF(A176='Données projet'!$A$140,'Données projet'!$B$140,CT175+CS176-DB175)))</f>
        <v>600.89800000000093</v>
      </c>
      <c r="CU176" s="17">
        <f>CT176*VLOOKUP('Données projet'!$B$13,Paramètres!$A$1:$I$89,3,0)*VLOOKUP('Données projet'!$B$13,Paramètres!$A$1:$I$89,5,0)</f>
        <v>646.80660720000094</v>
      </c>
      <c r="CV176" s="13">
        <f t="shared" si="173"/>
        <v>140.33059505542982</v>
      </c>
      <c r="CW176" s="20">
        <f t="shared" si="174"/>
        <v>1370.930627261542</v>
      </c>
      <c r="CX176" s="59">
        <f t="shared" si="122"/>
        <v>1664.2639605948752</v>
      </c>
      <c r="CY176" s="59">
        <f ca="1">AVERAGE(OFFSET($CX$3,0,0,'Données projet'!$E$13+1,1))-AVERAGE(OFFSET($H$3,0,0,'Données projet'!$E$13+1,1))</f>
        <v>747.18304127457918</v>
      </c>
      <c r="CZ176" s="59">
        <f t="shared" si="150"/>
        <v>327.03701004966723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58.345533688043616</v>
      </c>
      <c r="DG176" s="21">
        <f>EXP(-LN(2)/25)*DG175+(1-EXP(-LN(2)/25))/(LN(2)/25)*Calculateur!DB176*Calculateur!DD176*VLOOKUP('Données projet'!$B$13,Paramètres!$A$1:$I$89,3,0)*0.475*44/12</f>
        <v>21.327038369385921</v>
      </c>
      <c r="DH176" s="21">
        <f>EXP(-LN(2)/2)*DH175+(1-EXP(-LN(2)/2))/(LN(2)/2)*DB176*DE176*VLOOKUP('Données projet'!$B$13,Paramètres!$A$1:$I$89,3,0)*0.475*44/12</f>
        <v>2.560149587100437E-7</v>
      </c>
      <c r="DI176" s="22">
        <f t="shared" si="175"/>
        <v>79.672572313444491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353.37479213497227</v>
      </c>
      <c r="DU176" s="59">
        <f t="shared" si="152"/>
        <v>345.4750813433123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8.2408881212298315</v>
      </c>
      <c r="EB176" s="21">
        <f>EXP(-LN(2)/25)*EB175+(1-EXP(-LN(2)/25))/(LN(2)/25)*Calculateur!DW176*Calculateur!DY176*VLOOKUP('Données projet'!$B$14,Paramètres!$A$1:$I$89,3,0)*0.475*44/12</f>
        <v>3.8948144291094051</v>
      </c>
      <c r="EC176" s="21">
        <f>EXP(-LN(2)/2)*EC175+(1-EXP(-LN(2)/2))/(LN(2)/2)*DW176*DZ176*VLOOKUP('Données projet'!$B$14,Paramètres!$A$1:$I$89,3,0)*0.475*44/12</f>
        <v>6.2724637237829235E-13</v>
      </c>
      <c r="ED176" s="22">
        <f t="shared" si="178"/>
        <v>12.135702550339863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-4.5474735088646412E-13</v>
      </c>
      <c r="EK176" s="17">
        <f>EJ176*VLOOKUP('Données projet'!$B$15,Paramètres!$A$1:$I$89,3,0)*VLOOKUP('Données projet'!$B$15,Paramètres!$A$1:$I$89,5,0)</f>
        <v>-2.1282176021486519E-13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433.05041777893922</v>
      </c>
      <c r="EP176" s="59">
        <f t="shared" si="154"/>
        <v>591.24088611958996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91.417514880323949</v>
      </c>
      <c r="EW176" s="21">
        <f>EXP(-LN(2)/25)*EW175+(1-EXP(-LN(2)/25))/(LN(2)/25)*Calculateur!ER176*Calculateur!ET176*VLOOKUP('Données projet'!$B$15,Paramètres!$A$1:$I$89,3,0)*0.475*44/12</f>
        <v>16.29315580009489</v>
      </c>
      <c r="EX176" s="21">
        <f>EXP(-LN(2)/2)*EX175+(1-EXP(-LN(2)/2))/(LN(2)/2)*ER176*EU176*VLOOKUP('Données projet'!$B$15,Paramètres!$A$1:$I$89,3,0)*0.475*44/12</f>
        <v>2.8460903643033393E-9</v>
      </c>
      <c r="EY176" s="22">
        <f t="shared" si="181"/>
        <v>107.71067068326494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-8.5265128291212022E-14</v>
      </c>
      <c r="FF176" s="17">
        <f>FE176*VLOOKUP('Données projet'!$B$16,Paramètres!$A$1:$I$89,3,0)*VLOOKUP('Données projet'!$B$16,Paramètres!$A$1:$I$89,5,0)</f>
        <v>-6.9167072069831198E-14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159.4660488566085</v>
      </c>
      <c r="FK176" s="59">
        <f t="shared" si="156"/>
        <v>135.33030558297088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</v>
      </c>
      <c r="FR176" s="21">
        <f>EXP(-LN(2)/25)*FR175+(1-EXP(-LN(2)/25))/(LN(2)/25)*Calculateur!FM176*Calculateur!FO176*VLOOKUP('Données projet'!$B$16,Paramètres!$A$1:$I$89,3,0)*0.475*44/12</f>
        <v>1.6200968400107298</v>
      </c>
      <c r="FS176" s="21">
        <f>EXP(-LN(2)/2)*FS175+(1-EXP(-LN(2)/2))/(LN(2)/2)*FM176*FP176*VLOOKUP('Données projet'!$B$16,Paramètres!$A$1:$I$89,3,0)*0.475*44/12</f>
        <v>8.0533647192778216E-12</v>
      </c>
      <c r="FT176" s="22">
        <f t="shared" si="184"/>
        <v>1.6200968400187832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610.52</v>
      </c>
      <c r="L177" s="12">
        <f>VLOOKUP(A177,'Données projet'!$A$35:$I$55,9,0)</f>
        <v>9.6220000000000034</v>
      </c>
      <c r="M177" s="12">
        <f t="array" ref="M177">INDEX(L:L,MIN(IF(ISNUMBER(L177:L373),ROW(L177:L373),"")))</f>
        <v>9.6220000000000034</v>
      </c>
      <c r="N177" s="13">
        <f>IF('Données projet'!$A$36&gt;35,N176+M177-V176,IF(A177&lt;'Données projet'!$A$36,$K$205^A177,IF(A177='Données projet'!$A$36,'Données projet'!$B$36,N176+M177-V176)))</f>
        <v>610.52000000000089</v>
      </c>
      <c r="O177" s="13">
        <f>N177*VLOOKUP('Données projet'!$B$9,Paramètres!$A$1:$I$89,3,0)*VLOOKUP('Données projet'!$B$9,Paramètres!$A$1:$I$89,5,0)</f>
        <v>619.06728000000089</v>
      </c>
      <c r="P177" s="13">
        <f t="shared" si="141"/>
        <v>134.99933513219278</v>
      </c>
      <c r="Q177" s="20">
        <f t="shared" si="162"/>
        <v>1313.332688021904</v>
      </c>
      <c r="R177" s="59">
        <f t="shared" si="109"/>
        <v>1606.6660213552373</v>
      </c>
      <c r="S177" s="59">
        <f ca="1">AVERAGE(OFFSET($R$3,0,0,'Données projet'!$E$9+1,1))-AVERAGE(OFFSET($H$3,0,0,'Données projet'!$E$9+1,1))</f>
        <v>706.69239849991595</v>
      </c>
      <c r="T177" s="59">
        <f t="shared" si="142"/>
        <v>310.59887275116529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240</v>
      </c>
      <c r="W177" s="16">
        <f>IF(ISNA(VLOOKUP(A177,'Données projet'!$A$35:$I$55,5,0)),0%,VLOOKUP(A177,'Données projet'!$A$35:$I$55,5,0)*VLOOKUP('Données projet'!$B$9,Paramètres!$A$1:$I$89,7,0))</f>
        <v>0.19350000000000001</v>
      </c>
      <c r="X177" s="16">
        <f>IF(ISNA(VLOOKUP(A177,'Données projet'!$A$35:$I$55,6,0)),0%,VLOOKUP(A177,'Données projet'!$A$35:$I$55,6,0)*VLOOKUP('Données projet'!$B$9,Paramètres!$A$1:$I$89,7,0))</f>
        <v>2.1500000000000002E-2</v>
      </c>
      <c r="Y177" s="16">
        <f>IF(ISNA(VLOOKUP(A177,'Données projet'!$A$35:$I$55,7,0)),0%,VLOOKUP(A177,'Données projet'!$A$35:$I$55,7,0))</f>
        <v>0.05</v>
      </c>
      <c r="Z177" s="21">
        <f>EXP(-LN(2)/35)*Z176+(1-EXP(-LN(2)/35))/(LN(2)/35)*V177*W177*VLOOKUP('Données projet'!$B$9,Paramètres!$A$1:$I$89,3,0)*0.475*44/12</f>
        <v>105.94216644426993</v>
      </c>
      <c r="AA177" s="21">
        <f>EXP(-LN(2)/25)*AA176+(1-EXP(-LN(2)/25))/(LN(2)/25)*Calculateur!V177*Calculateur!X177*VLOOKUP('Données projet'!$B$9,Paramètres!$A$1:$I$89,3,0)*0.475*44/12</f>
        <v>25.30261957716338</v>
      </c>
      <c r="AB177" s="21">
        <f>EXP(-LN(2)/2)*AB176+(1-EXP(-LN(2)/2))/(LN(2)/2)*V177*Y177*VLOOKUP('Données projet'!$B$9,Paramètres!$A$1:$I$89,3,0)*0.475*44/12</f>
        <v>11.480835667453793</v>
      </c>
      <c r="AC177" s="22">
        <f t="shared" si="163"/>
        <v>142.72562168888709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239.26156489359892</v>
      </c>
      <c r="AO177" s="59">
        <f t="shared" si="144"/>
        <v>213.97034450798111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2.0488811805467999</v>
      </c>
      <c r="AV177" s="21">
        <f>EXP(-LN(2)/25)*AV176+(1-EXP(-LN(2)/25))/(LN(2)/25)*Calculateur!AQ177*Calculateur!AS177*VLOOKUP('Données projet'!$B$10,Paramètres!$A$1:$I$89,3,0)*0.475*44/12</f>
        <v>6.2199670981469382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8.2688482786937385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-1.7053025658242404E-13</v>
      </c>
      <c r="BE177" s="13">
        <f>BD177*VLOOKUP('Données projet'!$B$11,Paramètres!$A$1:$I$89,3,0)*VLOOKUP('Données projet'!$B$11,Paramètres!$A$1:$I$89,5,0)</f>
        <v>-1.4897523215040567E-13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324.86930206492627</v>
      </c>
      <c r="BJ177" s="59">
        <f t="shared" si="146"/>
        <v>317.03005098025352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7.1612647021252229</v>
      </c>
      <c r="BQ177" s="21">
        <f>EXP(-LN(2)/25)*BQ176+(1-EXP(-LN(2)/25))/(LN(2)/25)*Calculateur!BL177*Calculateur!BN177*VLOOKUP('Données projet'!$B$11,Paramètres!$A$1:$I$89,3,0)*0.475*44/12</f>
        <v>3.4333831828809114</v>
      </c>
      <c r="BR177" s="21">
        <f>EXP(-LN(2)/2)*BR176+(1-EXP(-LN(2)/2))/(LN(2)/2)*BL177*BO177*VLOOKUP('Données projet'!$B$11,Paramètres!$A$1:$I$89,3,0)*0.475*44/12</f>
        <v>4.05549435948658E-13</v>
      </c>
      <c r="BS177" s="22">
        <f t="shared" si="169"/>
        <v>10.594647885006539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7.688333333333337</v>
      </c>
      <c r="BY177" s="12">
        <f>IF('Données projet'!$A$114&gt;35,BY176+BX177-CG176,IF(A177&lt;'Données projet'!$A$114,$BV$205^A177,IF(A177='Données projet'!$A$114,'Données projet'!$B$114,BY176+BX177-CG176)))</f>
        <v>410.40999999999968</v>
      </c>
      <c r="BZ177" s="13">
        <f>BY177*VLOOKUP('Données projet'!$B$12,Paramètres!$A$1:$I$89,3,0)*VLOOKUP('Données projet'!$B$12,Paramètres!$A$1:$I$89,5,0)</f>
        <v>467.37490799999961</v>
      </c>
      <c r="CA177" s="13">
        <f t="shared" si="170"/>
        <v>105.30970733733747</v>
      </c>
      <c r="CB177" s="20">
        <f t="shared" si="171"/>
        <v>997.42570504586217</v>
      </c>
      <c r="CC177" s="59">
        <f t="shared" si="119"/>
        <v>1290.7590383791955</v>
      </c>
      <c r="CD177" s="59">
        <f ca="1">AVERAGE(OFFSET($CC$3,0,0,'Données projet'!$E$12+1,1))-AVERAGE(OFFSET($H$3,0,0,'Données projet'!$E$12+1,1))</f>
        <v>593.28343396240075</v>
      </c>
      <c r="CE177" s="59">
        <f t="shared" si="148"/>
        <v>289.66477662068695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50.23431376748556</v>
      </c>
      <c r="CL177" s="21">
        <f>EXP(-LN(2)/25)*CL176+(1-EXP(-LN(2)/25))/(LN(2)/25)*Calculateur!CG177*Calculateur!CI177*VLOOKUP('Données projet'!$B$12,Paramètres!$A$1:$I$89,3,0)*0.475*44/12</f>
        <v>22.104409962762794</v>
      </c>
      <c r="CM177" s="21">
        <f>EXP(-LN(2)/2)*CM176+(1-EXP(-LN(2)/2))/(LN(2)/2)*CG177*CJ177*VLOOKUP('Données projet'!$B$12,Paramètres!$A$1:$I$89,3,0)*0.475*44/12</f>
        <v>2.0243146449895201E-4</v>
      </c>
      <c r="CN177" s="22">
        <f t="shared" si="172"/>
        <v>72.338926161712848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>
        <f>VLOOKUP(A177,'Données projet'!$A$139:$I$159,2,0)</f>
        <v>610.52</v>
      </c>
      <c r="CR177" s="12">
        <f>VLOOKUP(A177,'Données projet'!$A$139:$I$159,9,0)</f>
        <v>9.6220000000000034</v>
      </c>
      <c r="CS177" s="12">
        <f t="array" ref="CS177">INDEX(CR:CR,MIN(IF(ISNUMBER(CR177:CR373),ROW(CR177:CR373),"")))</f>
        <v>9.6220000000000034</v>
      </c>
      <c r="CT177" s="12">
        <f>IF('Données projet'!$A$140&gt;35,CT176+CS177-DB176,IF(A177&lt;'Données projet'!$A$140,$CQ$205^A177,IF(A177='Données projet'!$A$140,'Données projet'!$B$140,CT176+CS177-DB176)))</f>
        <v>610.52000000000089</v>
      </c>
      <c r="CU177" s="17">
        <f>CT177*VLOOKUP('Données projet'!$B$13,Paramètres!$A$1:$I$89,3,0)*VLOOKUP('Données projet'!$B$13,Paramètres!$A$1:$I$89,5,0)</f>
        <v>657.1637280000009</v>
      </c>
      <c r="CV177" s="13">
        <f t="shared" si="173"/>
        <v>142.31426830612801</v>
      </c>
      <c r="CW177" s="20">
        <f t="shared" si="174"/>
        <v>1392.4241768998411</v>
      </c>
      <c r="CX177" s="59">
        <f t="shared" si="122"/>
        <v>1685.7575102331743</v>
      </c>
      <c r="CY177" s="59">
        <f ca="1">AVERAGE(OFFSET($CX$3,0,0,'Données projet'!$E$13+1,1))-AVERAGE(OFFSET($H$3,0,0,'Données projet'!$E$13+1,1))</f>
        <v>747.18304127457918</v>
      </c>
      <c r="CZ177" s="59">
        <f t="shared" si="150"/>
        <v>327.03701004966723</v>
      </c>
      <c r="DA177" s="15">
        <f>IF(ISNA(VLOOKUP(A177,'Données projet'!$A$139:$I$159,3,0)),0,VLOOKUP(A177,'Données projet'!$A$139:$I$159,3,0))</f>
        <v>15</v>
      </c>
      <c r="DB177" s="15">
        <f>IF(ISNA(VLOOKUP(A177,'Données projet'!$A$139:$I$159,4,0)),0,VLOOKUP(A177,'Données projet'!$A$139:$I$159,4,0))</f>
        <v>240</v>
      </c>
      <c r="DC177" s="16">
        <f>IF(ISNA(VLOOKUP(A177,'Données projet'!$A$139:$I$159,5,0)),0%,VLOOKUP(A177,'Données projet'!$A$139:$I$159,5,0)*VLOOKUP('Données projet'!$B$13,Paramètres!$A$1:$I$89,7,0))</f>
        <v>0.19350000000000001</v>
      </c>
      <c r="DD177" s="16">
        <f>IF(ISNA(VLOOKUP(A177,'Données projet'!$A$139:$I$159,6,0)),0%,VLOOKUP(A177,'Données projet'!$A$139:$I$159,6,0)*VLOOKUP('Données projet'!$B$13,Paramètres!$A$1:$I$89,7,0))</f>
        <v>2.1500000000000002E-2</v>
      </c>
      <c r="DE177" s="16">
        <f>IF(ISNA(VLOOKUP(A177,'Données projet'!$A$139:$I$159,7,0)),0%,VLOOKUP(A177,'Données projet'!$A$139:$I$159,7,0))</f>
        <v>0.05</v>
      </c>
      <c r="DF177" s="21">
        <f>EXP(-LN(2)/35)*DF176+(1-EXP(-LN(2)/35))/(LN(2)/35)*DB177*DC177*VLOOKUP('Données projet'!$B$13,Paramètres!$A$1:$I$89,3,0)*0.475*44/12</f>
        <v>112.46168437930186</v>
      </c>
      <c r="DG177" s="21">
        <f>EXP(-LN(2)/25)*DG176+(1-EXP(-LN(2)/25))/(LN(2)/25)*Calculateur!DB177*Calculateur!DD177*VLOOKUP('Données projet'!$B$13,Paramètres!$A$1:$I$89,3,0)*0.475*44/12</f>
        <v>26.859703858834965</v>
      </c>
      <c r="DH177" s="21">
        <f>EXP(-LN(2)/2)*DH176+(1-EXP(-LN(2)/2))/(LN(2)/2)*DB177*DE177*VLOOKUP('Données projet'!$B$13,Paramètres!$A$1:$I$89,3,0)*0.475*44/12</f>
        <v>12.187348631604792</v>
      </c>
      <c r="DI177" s="22">
        <f t="shared" si="175"/>
        <v>151.5087368697416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353.37479213497227</v>
      </c>
      <c r="DU177" s="59">
        <f t="shared" si="152"/>
        <v>345.4750813433123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8.0792893316179484</v>
      </c>
      <c r="EB177" s="21">
        <f>EXP(-LN(2)/25)*EB176+(1-EXP(-LN(2)/25))/(LN(2)/25)*Calculateur!DW177*Calculateur!DY177*VLOOKUP('Données projet'!$B$14,Paramètres!$A$1:$I$89,3,0)*0.475*44/12</f>
        <v>3.7883105237260195</v>
      </c>
      <c r="EC177" s="21">
        <f>EXP(-LN(2)/2)*EC176+(1-EXP(-LN(2)/2))/(LN(2)/2)*DW177*DZ177*VLOOKUP('Données projet'!$B$14,Paramètres!$A$1:$I$89,3,0)*0.475*44/12</f>
        <v>4.4353016338335288E-13</v>
      </c>
      <c r="ED177" s="22">
        <f t="shared" si="178"/>
        <v>11.867599855344412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-4.5474735088646412E-13</v>
      </c>
      <c r="EK177" s="17">
        <f>EJ177*VLOOKUP('Données projet'!$B$15,Paramètres!$A$1:$I$89,3,0)*VLOOKUP('Données projet'!$B$15,Paramètres!$A$1:$I$89,5,0)</f>
        <v>-2.1282176021486519E-13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433.05041777893922</v>
      </c>
      <c r="EP177" s="59">
        <f t="shared" si="154"/>
        <v>591.24088611958996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89.624873172699111</v>
      </c>
      <c r="EW177" s="21">
        <f>EXP(-LN(2)/25)*EW176+(1-EXP(-LN(2)/25))/(LN(2)/25)*Calculateur!ER177*Calculateur!ET177*VLOOKUP('Données projet'!$B$15,Paramètres!$A$1:$I$89,3,0)*0.475*44/12</f>
        <v>15.847618597921471</v>
      </c>
      <c r="EX177" s="21">
        <f>EXP(-LN(2)/2)*EX176+(1-EXP(-LN(2)/2))/(LN(2)/2)*ER177*EU177*VLOOKUP('Données projet'!$B$15,Paramètres!$A$1:$I$89,3,0)*0.475*44/12</f>
        <v>2.0124897964685826E-9</v>
      </c>
      <c r="EY177" s="22">
        <f t="shared" si="181"/>
        <v>105.47249177263306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-8.5265128291212022E-14</v>
      </c>
      <c r="FF177" s="17">
        <f>FE177*VLOOKUP('Données projet'!$B$16,Paramètres!$A$1:$I$89,3,0)*VLOOKUP('Données projet'!$B$16,Paramètres!$A$1:$I$89,5,0)</f>
        <v>-6.9167072069831198E-14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159.4660488566085</v>
      </c>
      <c r="FK177" s="59">
        <f t="shared" si="156"/>
        <v>135.33030558297088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</v>
      </c>
      <c r="FR177" s="21">
        <f>EXP(-LN(2)/25)*FR176+(1-EXP(-LN(2)/25))/(LN(2)/25)*Calculateur!FM177*Calculateur!FO177*VLOOKUP('Données projet'!$B$16,Paramètres!$A$1:$I$89,3,0)*0.475*44/12</f>
        <v>1.5757952067234464</v>
      </c>
      <c r="FS177" s="21">
        <f>EXP(-LN(2)/2)*FS176+(1-EXP(-LN(2)/2))/(LN(2)/2)*FM177*FP177*VLOOKUP('Données projet'!$B$16,Paramètres!$A$1:$I$89,3,0)*0.475*44/12</f>
        <v>5.6945888043698445E-12</v>
      </c>
      <c r="FT177" s="22">
        <f t="shared" si="184"/>
        <v>1.575795206729141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6.140000000000005</v>
      </c>
      <c r="N178" s="13">
        <f>IF('Données projet'!$A$36&gt;35,N177+M178-V177,IF(A178&lt;'Données projet'!$A$36,$K$205^A178,IF(A178='Données projet'!$A$36,'Données projet'!$B$36,N177+M178-V177)))</f>
        <v>376.66000000000088</v>
      </c>
      <c r="O178" s="13">
        <f>N178*VLOOKUP('Données projet'!$B$9,Paramètres!$A$1:$I$89,3,0)*VLOOKUP('Données projet'!$B$9,Paramètres!$A$1:$I$89,5,0)</f>
        <v>381.93324000000092</v>
      </c>
      <c r="P178" s="13">
        <f t="shared" si="141"/>
        <v>88.104112736615605</v>
      </c>
      <c r="Q178" s="20">
        <f t="shared" si="162"/>
        <v>818.64838934960699</v>
      </c>
      <c r="R178" s="59">
        <f t="shared" si="109"/>
        <v>1111.9817226829402</v>
      </c>
      <c r="S178" s="59">
        <f ca="1">AVERAGE(OFFSET($R$3,0,0,'Données projet'!$E$9+1,1))-AVERAGE(OFFSET($H$3,0,0,'Données projet'!$E$9+1,1))</f>
        <v>706.69239849991595</v>
      </c>
      <c r="T178" s="59">
        <f t="shared" si="142"/>
        <v>310.59887275116529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103.8647051786388</v>
      </c>
      <c r="AA178" s="21">
        <f>EXP(-LN(2)/25)*AA177+(1-EXP(-LN(2)/25))/(LN(2)/25)*Calculateur!V178*Calculateur!X178*VLOOKUP('Données projet'!$B$9,Paramètres!$A$1:$I$89,3,0)*0.475*44/12</f>
        <v>24.610718114218916</v>
      </c>
      <c r="AB178" s="21">
        <f>EXP(-LN(2)/2)*AB177+(1-EXP(-LN(2)/2))/(LN(2)/2)*V178*Y178*VLOOKUP('Données projet'!$B$9,Paramètres!$A$1:$I$89,3,0)*0.475*44/12</f>
        <v>8.1181767541449599</v>
      </c>
      <c r="AC178" s="22">
        <f t="shared" si="163"/>
        <v>136.5936000470027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239.26156489359892</v>
      </c>
      <c r="AO178" s="59">
        <f t="shared" si="144"/>
        <v>213.97034450798111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2.0087038702904003</v>
      </c>
      <c r="AV178" s="21">
        <f>EXP(-LN(2)/25)*AV177+(1-EXP(-LN(2)/25))/(LN(2)/25)*Calculateur!AQ178*Calculateur!AS178*VLOOKUP('Données projet'!$B$10,Paramètres!$A$1:$I$89,3,0)*0.475*44/12</f>
        <v>6.049881770754256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8.0585856410446564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-1.7053025658242404E-13</v>
      </c>
      <c r="BE178" s="13">
        <f>BD178*VLOOKUP('Données projet'!$B$11,Paramètres!$A$1:$I$89,3,0)*VLOOKUP('Données projet'!$B$11,Paramètres!$A$1:$I$89,5,0)</f>
        <v>-1.4897523215040567E-13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324.86930206492627</v>
      </c>
      <c r="BJ178" s="59">
        <f t="shared" si="146"/>
        <v>317.03005098025352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7.0208366692567177</v>
      </c>
      <c r="BQ178" s="21">
        <f>EXP(-LN(2)/25)*BQ177+(1-EXP(-LN(2)/25))/(LN(2)/25)*Calculateur!BL178*Calculateur!BN178*VLOOKUP('Données projet'!$B$11,Paramètres!$A$1:$I$89,3,0)*0.475*44/12</f>
        <v>3.3394971391912582</v>
      </c>
      <c r="BR178" s="21">
        <f>EXP(-LN(2)/2)*BR177+(1-EXP(-LN(2)/2))/(LN(2)/2)*BL178*BO178*VLOOKUP('Données projet'!$B$11,Paramètres!$A$1:$I$89,3,0)*0.475*44/12</f>
        <v>2.8676675626567548E-13</v>
      </c>
      <c r="BS178" s="22">
        <f t="shared" si="169"/>
        <v>10.360333808448262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7.688333333333337</v>
      </c>
      <c r="BY178" s="12">
        <f>IF('Données projet'!$A$114&gt;35,BY177+BX178-CG177,IF(A178&lt;'Données projet'!$A$114,$BV$205^A178,IF(A178='Données projet'!$A$114,'Données projet'!$B$114,BY177+BX178-CG177)))</f>
        <v>418.09833333333302</v>
      </c>
      <c r="BZ178" s="13">
        <f>BY178*VLOOKUP('Données projet'!$B$12,Paramètres!$A$1:$I$89,3,0)*VLOOKUP('Données projet'!$B$12,Paramètres!$A$1:$I$89,5,0)</f>
        <v>476.1303819999996</v>
      </c>
      <c r="CA178" s="13">
        <f t="shared" si="170"/>
        <v>107.05098446387258</v>
      </c>
      <c r="CB178" s="20">
        <f t="shared" si="171"/>
        <v>1015.7075465912441</v>
      </c>
      <c r="CC178" s="59">
        <f t="shared" si="119"/>
        <v>1309.0408799245774</v>
      </c>
      <c r="CD178" s="59">
        <f ca="1">AVERAGE(OFFSET($CC$3,0,0,'Données projet'!$E$12+1,1))-AVERAGE(OFFSET($H$3,0,0,'Données projet'!$E$12+1,1))</f>
        <v>593.28343396240075</v>
      </c>
      <c r="CE178" s="59">
        <f t="shared" si="148"/>
        <v>289.66477662068695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49.249249514411126</v>
      </c>
      <c r="CL178" s="21">
        <f>EXP(-LN(2)/25)*CL177+(1-EXP(-LN(2)/25))/(LN(2)/25)*Calculateur!CG178*Calculateur!CI178*VLOOKUP('Données projet'!$B$12,Paramètres!$A$1:$I$89,3,0)*0.475*44/12</f>
        <v>21.499963709910645</v>
      </c>
      <c r="CM178" s="21">
        <f>EXP(-LN(2)/2)*CM177+(1-EXP(-LN(2)/2))/(LN(2)/2)*CG178*CJ178*VLOOKUP('Données projet'!$B$12,Paramètres!$A$1:$I$89,3,0)*0.475*44/12</f>
        <v>1.4314066127273282E-4</v>
      </c>
      <c r="CN178" s="22">
        <f t="shared" si="172"/>
        <v>70.749356364983058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6.140000000000005</v>
      </c>
      <c r="CT178" s="12">
        <f>IF('Données projet'!$A$140&gt;35,CT177+CS178-DB177,IF(A178&lt;'Données projet'!$A$140,$CQ$205^A178,IF(A178='Données projet'!$A$140,'Données projet'!$B$140,CT177+CS178-DB177)))</f>
        <v>376.66000000000088</v>
      </c>
      <c r="CU178" s="17">
        <f>CT178*VLOOKUP('Données projet'!$B$13,Paramètres!$A$1:$I$89,3,0)*VLOOKUP('Données projet'!$B$13,Paramètres!$A$1:$I$89,5,0)</f>
        <v>405.43682400000091</v>
      </c>
      <c r="CV178" s="13">
        <f t="shared" si="173"/>
        <v>92.878030299884514</v>
      </c>
      <c r="CW178" s="20">
        <f t="shared" si="174"/>
        <v>867.89837123896712</v>
      </c>
      <c r="CX178" s="59">
        <f t="shared" si="122"/>
        <v>1161.2317045723005</v>
      </c>
      <c r="CY178" s="59">
        <f ca="1">AVERAGE(OFFSET($CX$3,0,0,'Données projet'!$E$13+1,1))-AVERAGE(OFFSET($H$3,0,0,'Données projet'!$E$13+1,1))</f>
        <v>747.18304127457918</v>
      </c>
      <c r="CZ178" s="59">
        <f t="shared" si="150"/>
        <v>327.03701004966723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110.25637934347805</v>
      </c>
      <c r="DG178" s="21">
        <f>EXP(-LN(2)/25)*DG177+(1-EXP(-LN(2)/25))/(LN(2)/25)*Calculateur!DB178*Calculateur!DD178*VLOOKUP('Données projet'!$B$13,Paramètres!$A$1:$I$89,3,0)*0.475*44/12</f>
        <v>26.125223844324687</v>
      </c>
      <c r="DH178" s="21">
        <f>EXP(-LN(2)/2)*DH177+(1-EXP(-LN(2)/2))/(LN(2)/2)*DB178*DE178*VLOOKUP('Données projet'!$B$13,Paramètres!$A$1:$I$89,3,0)*0.475*44/12</f>
        <v>8.6177568620923388</v>
      </c>
      <c r="DI178" s="22">
        <f t="shared" si="175"/>
        <v>144.99936004989507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353.37479213497227</v>
      </c>
      <c r="DU178" s="59">
        <f t="shared" si="152"/>
        <v>345.4750813433123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7.9208593957048246</v>
      </c>
      <c r="EB178" s="21">
        <f>EXP(-LN(2)/25)*EB177+(1-EXP(-LN(2)/25))/(LN(2)/25)*Calculateur!DW178*Calculateur!DY178*VLOOKUP('Données projet'!$B$14,Paramètres!$A$1:$I$89,3,0)*0.475*44/12</f>
        <v>3.6847189732361394</v>
      </c>
      <c r="EC178" s="21">
        <f>EXP(-LN(2)/2)*EC177+(1-EXP(-LN(2)/2))/(LN(2)/2)*DW178*DZ178*VLOOKUP('Données projet'!$B$14,Paramètres!$A$1:$I$89,3,0)*0.475*44/12</f>
        <v>3.1362318618914618E-13</v>
      </c>
      <c r="ED178" s="22">
        <f t="shared" si="178"/>
        <v>11.605578368941279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-4.5474735088646412E-13</v>
      </c>
      <c r="EK178" s="17">
        <f>EJ178*VLOOKUP('Données projet'!$B$15,Paramètres!$A$1:$I$89,3,0)*VLOOKUP('Données projet'!$B$15,Paramètres!$A$1:$I$89,5,0)</f>
        <v>-2.1282176021486519E-13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433.05041777893922</v>
      </c>
      <c r="EP178" s="59">
        <f t="shared" si="154"/>
        <v>591.24088611958996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87.867384075557325</v>
      </c>
      <c r="EW178" s="21">
        <f>EXP(-LN(2)/25)*EW177+(1-EXP(-LN(2)/25))/(LN(2)/25)*Calculateur!ER178*Calculateur!ET178*VLOOKUP('Données projet'!$B$15,Paramètres!$A$1:$I$89,3,0)*0.475*44/12</f>
        <v>15.414264633971266</v>
      </c>
      <c r="EX178" s="21">
        <f>EXP(-LN(2)/2)*EX177+(1-EXP(-LN(2)/2))/(LN(2)/2)*ER178*EU178*VLOOKUP('Données projet'!$B$15,Paramètres!$A$1:$I$89,3,0)*0.475*44/12</f>
        <v>1.4230451821516697E-9</v>
      </c>
      <c r="EY178" s="22">
        <f t="shared" si="181"/>
        <v>103.28164871095164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-8.5265128291212022E-14</v>
      </c>
      <c r="FF178" s="17">
        <f>FE178*VLOOKUP('Données projet'!$B$16,Paramètres!$A$1:$I$89,3,0)*VLOOKUP('Données projet'!$B$16,Paramètres!$A$1:$I$89,5,0)</f>
        <v>-6.9167072069831198E-14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159.4660488566085</v>
      </c>
      <c r="FK178" s="59">
        <f t="shared" si="156"/>
        <v>135.33030558297088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</v>
      </c>
      <c r="FR178" s="21">
        <f>EXP(-LN(2)/25)*FR177+(1-EXP(-LN(2)/25))/(LN(2)/25)*Calculateur!FM178*Calculateur!FO178*VLOOKUP('Données projet'!$B$16,Paramètres!$A$1:$I$89,3,0)*0.475*44/12</f>
        <v>1.5327050039281254</v>
      </c>
      <c r="FS178" s="21">
        <f>EXP(-LN(2)/2)*FS177+(1-EXP(-LN(2)/2))/(LN(2)/2)*FM178*FP178*VLOOKUP('Données projet'!$B$16,Paramètres!$A$1:$I$89,3,0)*0.475*44/12</f>
        <v>4.0266823596389108E-12</v>
      </c>
      <c r="FT178" s="22">
        <f t="shared" si="184"/>
        <v>1.5327050039321521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6.140000000000005</v>
      </c>
      <c r="N179" s="13">
        <f>IF('Données projet'!$A$36&gt;35,N178+M179-V178,IF(A179&lt;'Données projet'!$A$36,$K$205^A179,IF(A179='Données projet'!$A$36,'Données projet'!$B$36,N178+M179-V178)))</f>
        <v>382.80000000000086</v>
      </c>
      <c r="O179" s="13">
        <f>N179*VLOOKUP('Données projet'!$B$9,Paramètres!$A$1:$I$89,3,0)*VLOOKUP('Données projet'!$B$9,Paramètres!$A$1:$I$89,5,0)</f>
        <v>388.15920000000091</v>
      </c>
      <c r="P179" s="13">
        <f t="shared" si="141"/>
        <v>89.37194271202209</v>
      </c>
      <c r="Q179" s="20">
        <f t="shared" si="162"/>
        <v>831.70007355677342</v>
      </c>
      <c r="R179" s="59">
        <f t="shared" si="109"/>
        <v>1125.0334068901068</v>
      </c>
      <c r="S179" s="59">
        <f ca="1">AVERAGE(OFFSET($R$3,0,0,'Données projet'!$E$9+1,1))-AVERAGE(OFFSET($H$3,0,0,'Données projet'!$E$9+1,1))</f>
        <v>706.69239849991595</v>
      </c>
      <c r="T179" s="59">
        <f t="shared" si="142"/>
        <v>310.59887275116529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101.82798166130044</v>
      </c>
      <c r="AA179" s="21">
        <f>EXP(-LN(2)/25)*AA178+(1-EXP(-LN(2)/25))/(LN(2)/25)*Calculateur!V179*Calculateur!X179*VLOOKUP('Données projet'!$B$9,Paramètres!$A$1:$I$89,3,0)*0.475*44/12</f>
        <v>23.937736733164183</v>
      </c>
      <c r="AB179" s="21">
        <f>EXP(-LN(2)/2)*AB178+(1-EXP(-LN(2)/2))/(LN(2)/2)*V179*Y179*VLOOKUP('Données projet'!$B$9,Paramètres!$A$1:$I$89,3,0)*0.475*44/12</f>
        <v>5.7404178337268972</v>
      </c>
      <c r="AC179" s="22">
        <f t="shared" si="163"/>
        <v>131.50613622819154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239.26156489359892</v>
      </c>
      <c r="AO179" s="59">
        <f t="shared" si="144"/>
        <v>213.97034450798111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1.9693144125823892</v>
      </c>
      <c r="AV179" s="21">
        <f>EXP(-LN(2)/25)*AV178+(1-EXP(-LN(2)/25))/(LN(2)/25)*Calculateur!AQ179*Calculateur!AS179*VLOOKUP('Données projet'!$B$10,Paramètres!$A$1:$I$89,3,0)*0.475*44/12</f>
        <v>5.8844474355835255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7.8537618481659148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-1.7053025658242404E-13</v>
      </c>
      <c r="BE179" s="13">
        <f>BD179*VLOOKUP('Données projet'!$B$11,Paramètres!$A$1:$I$89,3,0)*VLOOKUP('Données projet'!$B$11,Paramètres!$A$1:$I$89,5,0)</f>
        <v>-1.4897523215040567E-13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324.86930206492627</v>
      </c>
      <c r="BJ179" s="59">
        <f t="shared" si="146"/>
        <v>317.03005098025352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6.8831623444601213</v>
      </c>
      <c r="BQ179" s="21">
        <f>EXP(-LN(2)/25)*BQ178+(1-EXP(-LN(2)/25))/(LN(2)/25)*Calculateur!BL179*Calculateur!BN179*VLOOKUP('Données projet'!$B$11,Paramètres!$A$1:$I$89,3,0)*0.475*44/12</f>
        <v>3.2481784143035513</v>
      </c>
      <c r="BR179" s="21">
        <f>EXP(-LN(2)/2)*BR178+(1-EXP(-LN(2)/2))/(LN(2)/2)*BL179*BO179*VLOOKUP('Données projet'!$B$11,Paramètres!$A$1:$I$89,3,0)*0.475*44/12</f>
        <v>2.02774717974329E-13</v>
      </c>
      <c r="BS179" s="22">
        <f t="shared" si="169"/>
        <v>10.131340758763875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7.688333333333337</v>
      </c>
      <c r="BY179" s="12">
        <f>IF('Données projet'!$A$114&gt;35,BY178+BX179-CG178,IF(A179&lt;'Données projet'!$A$114,$BV$205^A179,IF(A179='Données projet'!$A$114,'Données projet'!$B$114,BY178+BX179-CG178)))</f>
        <v>425.78666666666635</v>
      </c>
      <c r="BZ179" s="13">
        <f>BY179*VLOOKUP('Données projet'!$B$12,Paramètres!$A$1:$I$89,3,0)*VLOOKUP('Données projet'!$B$12,Paramètres!$A$1:$I$89,5,0)</f>
        <v>484.88585599999959</v>
      </c>
      <c r="CA179" s="13">
        <f t="shared" si="170"/>
        <v>108.78853822373283</v>
      </c>
      <c r="CB179" s="20">
        <f t="shared" si="171"/>
        <v>1033.9829032730006</v>
      </c>
      <c r="CC179" s="59">
        <f t="shared" si="119"/>
        <v>1327.3162366063339</v>
      </c>
      <c r="CD179" s="59">
        <f ca="1">AVERAGE(OFFSET($CC$3,0,0,'Données projet'!$E$12+1,1))-AVERAGE(OFFSET($H$3,0,0,'Données projet'!$E$12+1,1))</f>
        <v>593.28343396240075</v>
      </c>
      <c r="CE179" s="59">
        <f t="shared" si="148"/>
        <v>289.66477662068695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48.283501770509616</v>
      </c>
      <c r="CL179" s="21">
        <f>EXP(-LN(2)/25)*CL178+(1-EXP(-LN(2)/25))/(LN(2)/25)*Calculateur!CG179*Calculateur!CI179*VLOOKUP('Données projet'!$B$12,Paramètres!$A$1:$I$89,3,0)*0.475*44/12</f>
        <v>20.912046071629184</v>
      </c>
      <c r="CM179" s="21">
        <f>EXP(-LN(2)/2)*CM178+(1-EXP(-LN(2)/2))/(LN(2)/2)*CG179*CJ179*VLOOKUP('Données projet'!$B$12,Paramètres!$A$1:$I$89,3,0)*0.475*44/12</f>
        <v>1.0121573224947601E-4</v>
      </c>
      <c r="CN179" s="22">
        <f t="shared" si="172"/>
        <v>69.195649057871051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6.140000000000005</v>
      </c>
      <c r="CT179" s="12">
        <f>IF('Données projet'!$A$140&gt;35,CT178+CS179-DB178,IF(A179&lt;'Données projet'!$A$140,$CQ$205^A179,IF(A179='Données projet'!$A$140,'Données projet'!$B$140,CT178+CS179-DB178)))</f>
        <v>382.80000000000086</v>
      </c>
      <c r="CU179" s="17">
        <f>CT179*VLOOKUP('Données projet'!$B$13,Paramètres!$A$1:$I$89,3,0)*VLOOKUP('Données projet'!$B$13,Paramètres!$A$1:$I$89,5,0)</f>
        <v>412.04592000000093</v>
      </c>
      <c r="CV179" s="13">
        <f t="shared" si="173"/>
        <v>94.214557588036485</v>
      </c>
      <c r="CW179" s="20">
        <f t="shared" si="174"/>
        <v>881.73699846583179</v>
      </c>
      <c r="CX179" s="59">
        <f t="shared" si="122"/>
        <v>1175.0703317991652</v>
      </c>
      <c r="CY179" s="59">
        <f ca="1">AVERAGE(OFFSET($CX$3,0,0,'Données projet'!$E$13+1,1))-AVERAGE(OFFSET($H$3,0,0,'Données projet'!$E$13+1,1))</f>
        <v>747.18304127457918</v>
      </c>
      <c r="CZ179" s="59">
        <f t="shared" si="150"/>
        <v>327.03701004966723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108.09431899430348</v>
      </c>
      <c r="DG179" s="21">
        <f>EXP(-LN(2)/25)*DG178+(1-EXP(-LN(2)/25))/(LN(2)/25)*Calculateur!DB179*Calculateur!DD179*VLOOKUP('Données projet'!$B$13,Paramètres!$A$1:$I$89,3,0)*0.475*44/12</f>
        <v>25.410828224435818</v>
      </c>
      <c r="DH179" s="21">
        <f>EXP(-LN(2)/2)*DH178+(1-EXP(-LN(2)/2))/(LN(2)/2)*DB179*DE179*VLOOKUP('Données projet'!$B$13,Paramètres!$A$1:$I$89,3,0)*0.475*44/12</f>
        <v>6.0936743158023958</v>
      </c>
      <c r="DI179" s="22">
        <f t="shared" si="175"/>
        <v>139.59882153454168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353.37479213497227</v>
      </c>
      <c r="DU179" s="59">
        <f t="shared" si="152"/>
        <v>345.4750813433123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7.7655361742022384</v>
      </c>
      <c r="EB179" s="21">
        <f>EXP(-LN(2)/25)*EB178+(1-EXP(-LN(2)/25))/(LN(2)/25)*Calculateur!DW179*Calculateur!DY179*VLOOKUP('Données projet'!$B$14,Paramètres!$A$1:$I$89,3,0)*0.475*44/12</f>
        <v>3.5839601391420479</v>
      </c>
      <c r="EC179" s="21">
        <f>EXP(-LN(2)/2)*EC178+(1-EXP(-LN(2)/2))/(LN(2)/2)*DW179*DZ179*VLOOKUP('Données projet'!$B$14,Paramètres!$A$1:$I$89,3,0)*0.475*44/12</f>
        <v>2.2176508169167644E-13</v>
      </c>
      <c r="ED179" s="22">
        <f t="shared" si="178"/>
        <v>11.349496313344508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-4.5474735088646412E-13</v>
      </c>
      <c r="EK179" s="17">
        <f>EJ179*VLOOKUP('Données projet'!$B$15,Paramètres!$A$1:$I$89,3,0)*VLOOKUP('Données projet'!$B$15,Paramètres!$A$1:$I$89,5,0)</f>
        <v>-2.1282176021486519E-13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433.05041777893922</v>
      </c>
      <c r="EP179" s="59">
        <f t="shared" si="154"/>
        <v>591.24088611958996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86.144358267647988</v>
      </c>
      <c r="EW179" s="21">
        <f>EXP(-LN(2)/25)*EW178+(1-EXP(-LN(2)/25))/(LN(2)/25)*Calculateur!ER179*Calculateur!ET179*VLOOKUP('Données projet'!$B$15,Paramètres!$A$1:$I$89,3,0)*0.475*44/12</f>
        <v>14.992760756954373</v>
      </c>
      <c r="EX179" s="21">
        <f>EXP(-LN(2)/2)*EX178+(1-EXP(-LN(2)/2))/(LN(2)/2)*ER179*EU179*VLOOKUP('Données projet'!$B$15,Paramètres!$A$1:$I$89,3,0)*0.475*44/12</f>
        <v>1.0062448982342913E-9</v>
      </c>
      <c r="EY179" s="22">
        <f t="shared" si="181"/>
        <v>101.1371190256086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-8.5265128291212022E-14</v>
      </c>
      <c r="FF179" s="17">
        <f>FE179*VLOOKUP('Données projet'!$B$16,Paramètres!$A$1:$I$89,3,0)*VLOOKUP('Données projet'!$B$16,Paramètres!$A$1:$I$89,5,0)</f>
        <v>-6.9167072069831198E-14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159.4660488566085</v>
      </c>
      <c r="FK179" s="59">
        <f t="shared" si="156"/>
        <v>135.33030558297088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</v>
      </c>
      <c r="FR179" s="21">
        <f>EXP(-LN(2)/25)*FR178+(1-EXP(-LN(2)/25))/(LN(2)/25)*Calculateur!FM179*Calculateur!FO179*VLOOKUP('Données projet'!$B$16,Paramètres!$A$1:$I$89,3,0)*0.475*44/12</f>
        <v>1.4907931049942578</v>
      </c>
      <c r="FS179" s="21">
        <f>EXP(-LN(2)/2)*FS178+(1-EXP(-LN(2)/2))/(LN(2)/2)*FM179*FP179*VLOOKUP('Données projet'!$B$16,Paramètres!$A$1:$I$89,3,0)*0.475*44/12</f>
        <v>2.8472944021849223E-12</v>
      </c>
      <c r="FT179" s="22">
        <f t="shared" si="184"/>
        <v>1.490793104997105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388.94</v>
      </c>
      <c r="L180" s="12">
        <f>VLOOKUP(A180,'Données projet'!$A$35:$I$55,9,0)</f>
        <v>6.140000000000005</v>
      </c>
      <c r="M180" s="12">
        <f t="array" ref="M180">INDEX(L:L,MIN(IF(ISNUMBER(L180:L376),ROW(L180:L376),"")))</f>
        <v>6.140000000000005</v>
      </c>
      <c r="N180" s="13">
        <f>IF('Données projet'!$A$36&gt;35,N179+M180-V179,IF(A180&lt;'Données projet'!$A$36,$K$205^A180,IF(A180='Données projet'!$A$36,'Données projet'!$B$36,N179+M180-V179)))</f>
        <v>388.94000000000085</v>
      </c>
      <c r="O180" s="13">
        <f>N180*VLOOKUP('Données projet'!$B$9,Paramètres!$A$1:$I$89,3,0)*VLOOKUP('Données projet'!$B$9,Paramètres!$A$1:$I$89,5,0)</f>
        <v>394.38516000000089</v>
      </c>
      <c r="P180" s="13">
        <f t="shared" si="141"/>
        <v>90.637407722136572</v>
      </c>
      <c r="Q180" s="20">
        <f t="shared" si="162"/>
        <v>844.74763878272279</v>
      </c>
      <c r="R180" s="59">
        <f t="shared" si="109"/>
        <v>1138.080972116056</v>
      </c>
      <c r="S180" s="59">
        <f ca="1">AVERAGE(OFFSET($R$3,0,0,'Données projet'!$E$9+1,1))-AVERAGE(OFFSET($H$3,0,0,'Données projet'!$E$9+1,1))</f>
        <v>706.69239849991595</v>
      </c>
      <c r="T180" s="59">
        <f t="shared" si="142"/>
        <v>310.59887275116529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128.66000000000003</v>
      </c>
      <c r="W180" s="16">
        <f>IF(ISNA(VLOOKUP(A180,'Données projet'!$A$35:$I$55,5,0)),0%,VLOOKUP(A180,'Données projet'!$A$35:$I$55,5,0)*VLOOKUP('Données projet'!$B$9,Paramètres!$A$1:$I$89,7,0))</f>
        <v>0.19350000000000001</v>
      </c>
      <c r="X180" s="16">
        <f>IF(ISNA(VLOOKUP(A180,'Données projet'!$A$35:$I$55,6,0)),0%,VLOOKUP(A180,'Données projet'!$A$35:$I$55,6,0)*VLOOKUP('Données projet'!$B$9,Paramètres!$A$1:$I$89,7,0))</f>
        <v>2.1500000000000002E-2</v>
      </c>
      <c r="Y180" s="16">
        <f>IF(ISNA(VLOOKUP(A180,'Données projet'!$A$35:$I$55,7,0)),0%,VLOOKUP(A180,'Données projet'!$A$35:$I$55,7,0))</f>
        <v>0.05</v>
      </c>
      <c r="Z180" s="21">
        <f>EXP(-LN(2)/35)*Z179+(1-EXP(-LN(2)/35))/(LN(2)/35)*V180*W180*VLOOKUP('Données projet'!$B$9,Paramètres!$A$1:$I$89,3,0)*0.475*44/12</f>
        <v>127.73796761205486</v>
      </c>
      <c r="AA180" s="21">
        <f>EXP(-LN(2)/25)*AA179+(1-EXP(-LN(2)/25))/(LN(2)/25)*Calculateur!V180*Calculateur!X180*VLOOKUP('Données projet'!$B$9,Paramètres!$A$1:$I$89,3,0)*0.475*44/12</f>
        <v>26.371701504829375</v>
      </c>
      <c r="AB180" s="21">
        <f>EXP(-LN(2)/2)*AB179+(1-EXP(-LN(2)/2))/(LN(2)/2)*V180*Y180*VLOOKUP('Données projet'!$B$9,Paramètres!$A$1:$I$89,3,0)*0.475*44/12</f>
        <v>10.213772939712136</v>
      </c>
      <c r="AC180" s="22">
        <f t="shared" si="163"/>
        <v>164.32344205659635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239.26156489359892</v>
      </c>
      <c r="AO180" s="59">
        <f t="shared" si="144"/>
        <v>213.97034450798111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1.9306973581148352</v>
      </c>
      <c r="AV180" s="21">
        <f>EXP(-LN(2)/25)*AV179+(1-EXP(-LN(2)/25))/(LN(2)/25)*Calculateur!AQ180*Calculateur!AS180*VLOOKUP('Données projet'!$B$10,Paramètres!$A$1:$I$89,3,0)*0.475*44/12</f>
        <v>5.7235369110078524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7.6542342691226875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-1.7053025658242404E-13</v>
      </c>
      <c r="BE180" s="13">
        <f>BD180*VLOOKUP('Données projet'!$B$11,Paramètres!$A$1:$I$89,3,0)*VLOOKUP('Données projet'!$B$11,Paramètres!$A$1:$I$89,5,0)</f>
        <v>-1.4897523215040567E-13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324.86930206492627</v>
      </c>
      <c r="BJ180" s="59">
        <f t="shared" si="146"/>
        <v>317.03005098025352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6.7481877291997394</v>
      </c>
      <c r="BQ180" s="21">
        <f>EXP(-LN(2)/25)*BQ179+(1-EXP(-LN(2)/25))/(LN(2)/25)*Calculateur!BL180*Calculateur!BN180*VLOOKUP('Données projet'!$B$11,Paramètres!$A$1:$I$89,3,0)*0.475*44/12</f>
        <v>3.1593568047501415</v>
      </c>
      <c r="BR180" s="21">
        <f>EXP(-LN(2)/2)*BR179+(1-EXP(-LN(2)/2))/(LN(2)/2)*BL180*BO180*VLOOKUP('Données projet'!$B$11,Paramètres!$A$1:$I$89,3,0)*0.475*44/12</f>
        <v>1.4338337813283774E-13</v>
      </c>
      <c r="BS180" s="22">
        <f t="shared" si="169"/>
        <v>9.9075445339500252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7.688333333333337</v>
      </c>
      <c r="BY180" s="12">
        <f>IF('Données projet'!$A$114&gt;35,BY179+BX180-CG179,IF(A180&lt;'Données projet'!$A$114,$BV$205^A180,IF(A180='Données projet'!$A$114,'Données projet'!$B$114,BY179+BX180-CG179)))</f>
        <v>433.47499999999968</v>
      </c>
      <c r="BZ180" s="13">
        <f>BY180*VLOOKUP('Données projet'!$B$12,Paramètres!$A$1:$I$89,3,0)*VLOOKUP('Données projet'!$B$12,Paramètres!$A$1:$I$89,5,0)</f>
        <v>493.64132999999958</v>
      </c>
      <c r="CA180" s="13">
        <f t="shared" si="170"/>
        <v>110.52244360410316</v>
      </c>
      <c r="CB180" s="20">
        <f t="shared" si="171"/>
        <v>1052.2519056938124</v>
      </c>
      <c r="CC180" s="59">
        <f t="shared" si="119"/>
        <v>1345.5852390271457</v>
      </c>
      <c r="CD180" s="59">
        <f ca="1">AVERAGE(OFFSET($CC$3,0,0,'Données projet'!$E$12+1,1))-AVERAGE(OFFSET($H$3,0,0,'Données projet'!$E$12+1,1))</f>
        <v>593.28343396240075</v>
      </c>
      <c r="CE180" s="59">
        <f t="shared" si="148"/>
        <v>289.66477662068695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47.336691750818055</v>
      </c>
      <c r="CL180" s="21">
        <f>EXP(-LN(2)/25)*CL179+(1-EXP(-LN(2)/25))/(LN(2)/25)*Calculateur!CG180*Calculateur!CI180*VLOOKUP('Données projet'!$B$12,Paramètres!$A$1:$I$89,3,0)*0.475*44/12</f>
        <v>20.340205072083776</v>
      </c>
      <c r="CM180" s="21">
        <f>EXP(-LN(2)/2)*CM179+(1-EXP(-LN(2)/2))/(LN(2)/2)*CG180*CJ180*VLOOKUP('Données projet'!$B$12,Paramètres!$A$1:$I$89,3,0)*0.475*44/12</f>
        <v>7.1570330636366411E-5</v>
      </c>
      <c r="CN180" s="22">
        <f t="shared" si="172"/>
        <v>67.676968393232457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>
        <f>VLOOKUP(A180,'Données projet'!$A$139:$I$159,2,0)</f>
        <v>388.94</v>
      </c>
      <c r="CR180" s="12">
        <f>VLOOKUP(A180,'Données projet'!$A$139:$I$159,9,0)</f>
        <v>6.140000000000005</v>
      </c>
      <c r="CS180" s="12">
        <f t="array" ref="CS180">INDEX(CR:CR,MIN(IF(ISNUMBER(CR180:CR376),ROW(CR180:CR376),"")))</f>
        <v>6.140000000000005</v>
      </c>
      <c r="CT180" s="12">
        <f>IF('Données projet'!$A$140&gt;35,CT179+CS180-DB179,IF(A180&lt;'Données projet'!$A$140,$CQ$205^A180,IF(A180='Données projet'!$A$140,'Données projet'!$B$140,CT179+CS180-DB179)))</f>
        <v>388.94000000000085</v>
      </c>
      <c r="CU180" s="17">
        <f>CT180*VLOOKUP('Données projet'!$B$13,Paramètres!$A$1:$I$89,3,0)*VLOOKUP('Données projet'!$B$13,Paramètres!$A$1:$I$89,5,0)</f>
        <v>418.6550160000009</v>
      </c>
      <c r="CV180" s="13">
        <f t="shared" si="173"/>
        <v>95.548591765353734</v>
      </c>
      <c r="CW180" s="20">
        <f t="shared" si="174"/>
        <v>895.57128352465918</v>
      </c>
      <c r="CX180" s="59">
        <f t="shared" si="122"/>
        <v>1188.9046168579926</v>
      </c>
      <c r="CY180" s="59">
        <f ca="1">AVERAGE(OFFSET($CX$3,0,0,'Données projet'!$E$13+1,1))-AVERAGE(OFFSET($H$3,0,0,'Données projet'!$E$13+1,1))</f>
        <v>747.18304127457918</v>
      </c>
      <c r="CZ180" s="59">
        <f t="shared" si="150"/>
        <v>327.03701004966723</v>
      </c>
      <c r="DA180" s="15">
        <f>IF(ISNA(VLOOKUP(A180,'Données projet'!$A$139:$I$159,3,0)),0,VLOOKUP(A180,'Données projet'!$A$139:$I$159,3,0))</f>
        <v>16</v>
      </c>
      <c r="DB180" s="15">
        <f>IF(ISNA(VLOOKUP(A180,'Données projet'!$A$139:$I$159,4,0)),0,VLOOKUP(A180,'Données projet'!$A$139:$I$159,4,0))</f>
        <v>128.66000000000003</v>
      </c>
      <c r="DC180" s="16">
        <f>IF(ISNA(VLOOKUP(A180,'Données projet'!$A$139:$I$159,5,0)),0%,VLOOKUP(A180,'Données projet'!$A$139:$I$159,5,0)*VLOOKUP('Données projet'!$B$13,Paramètres!$A$1:$I$89,7,0))</f>
        <v>0.19350000000000001</v>
      </c>
      <c r="DD180" s="16">
        <f>IF(ISNA(VLOOKUP(A180,'Données projet'!$A$139:$I$159,6,0)),0%,VLOOKUP(A180,'Données projet'!$A$139:$I$159,6,0)*VLOOKUP('Données projet'!$B$13,Paramètres!$A$1:$I$89,7,0))</f>
        <v>2.1500000000000002E-2</v>
      </c>
      <c r="DE180" s="16">
        <f>IF(ISNA(VLOOKUP(A180,'Données projet'!$A$139:$I$159,7,0)),0%,VLOOKUP(A180,'Données projet'!$A$139:$I$159,7,0))</f>
        <v>0.05</v>
      </c>
      <c r="DF180" s="21">
        <f>EXP(-LN(2)/35)*DF179+(1-EXP(-LN(2)/35))/(LN(2)/35)*DB180*DC180*VLOOKUP('Données projet'!$B$13,Paramètres!$A$1:$I$89,3,0)*0.475*44/12</f>
        <v>135.59876561895049</v>
      </c>
      <c r="DG180" s="21">
        <f>EXP(-LN(2)/25)*DG179+(1-EXP(-LN(2)/25))/(LN(2)/25)*Calculateur!DB180*Calculateur!DD180*VLOOKUP('Données projet'!$B$13,Paramètres!$A$1:$I$89,3,0)*0.475*44/12</f>
        <v>27.994575443588097</v>
      </c>
      <c r="DH180" s="21">
        <f>EXP(-LN(2)/2)*DH179+(1-EXP(-LN(2)/2))/(LN(2)/2)*DB180*DE180*VLOOKUP('Données projet'!$B$13,Paramètres!$A$1:$I$89,3,0)*0.475*44/12</f>
        <v>10.842312812925186</v>
      </c>
      <c r="DI180" s="22">
        <f t="shared" si="175"/>
        <v>174.4356538754638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353.37479213497227</v>
      </c>
      <c r="DU180" s="59">
        <f t="shared" si="152"/>
        <v>345.4750813433123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7.6132587463355073</v>
      </c>
      <c r="EB180" s="21">
        <f>EXP(-LN(2)/25)*EB179+(1-EXP(-LN(2)/25))/(LN(2)/25)*Calculateur!DW180*Calculateur!DY180*VLOOKUP('Données projet'!$B$14,Paramètres!$A$1:$I$89,3,0)*0.475*44/12</f>
        <v>3.4859565606649361</v>
      </c>
      <c r="EC180" s="21">
        <f>EXP(-LN(2)/2)*EC179+(1-EXP(-LN(2)/2))/(LN(2)/2)*DW180*DZ180*VLOOKUP('Données projet'!$B$14,Paramètres!$A$1:$I$89,3,0)*0.475*44/12</f>
        <v>1.5681159309457309E-13</v>
      </c>
      <c r="ED180" s="22">
        <f t="shared" si="178"/>
        <v>11.0992153070006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-4.5474735088646412E-13</v>
      </c>
      <c r="EK180" s="17">
        <f>EJ180*VLOOKUP('Données projet'!$B$15,Paramètres!$A$1:$I$89,3,0)*VLOOKUP('Données projet'!$B$15,Paramètres!$A$1:$I$89,5,0)</f>
        <v>-2.1282176021486519E-13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433.05041777893922</v>
      </c>
      <c r="EP180" s="59">
        <f t="shared" si="154"/>
        <v>591.24088611958996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84.455119944889773</v>
      </c>
      <c r="EW180" s="21">
        <f>EXP(-LN(2)/25)*EW179+(1-EXP(-LN(2)/25))/(LN(2)/25)*Calculateur!ER180*Calculateur!ET180*VLOOKUP('Données projet'!$B$15,Paramètres!$A$1:$I$89,3,0)*0.475*44/12</f>
        <v>14.582782925620434</v>
      </c>
      <c r="EX180" s="21">
        <f>EXP(-LN(2)/2)*EX179+(1-EXP(-LN(2)/2))/(LN(2)/2)*ER180*EU180*VLOOKUP('Données projet'!$B$15,Paramètres!$A$1:$I$89,3,0)*0.475*44/12</f>
        <v>7.1152259107583483E-10</v>
      </c>
      <c r="EY180" s="22">
        <f t="shared" si="181"/>
        <v>99.037902871221732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-8.5265128291212022E-14</v>
      </c>
      <c r="FF180" s="17">
        <f>FE180*VLOOKUP('Données projet'!$B$16,Paramètres!$A$1:$I$89,3,0)*VLOOKUP('Données projet'!$B$16,Paramètres!$A$1:$I$89,5,0)</f>
        <v>-6.9167072069831198E-14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159.4660488566085</v>
      </c>
      <c r="FK180" s="59">
        <f t="shared" si="156"/>
        <v>135.33030558297088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</v>
      </c>
      <c r="FR180" s="21">
        <f>EXP(-LN(2)/25)*FR179+(1-EXP(-LN(2)/25))/(LN(2)/25)*Calculateur!FM180*Calculateur!FO180*VLOOKUP('Données projet'!$B$16,Paramètres!$A$1:$I$89,3,0)*0.475*44/12</f>
        <v>1.4500272891407877</v>
      </c>
      <c r="FS180" s="21">
        <f>EXP(-LN(2)/2)*FS179+(1-EXP(-LN(2)/2))/(LN(2)/2)*FM180*FP180*VLOOKUP('Données projet'!$B$16,Paramètres!$A$1:$I$89,3,0)*0.475*44/12</f>
        <v>2.0133411798194554E-12</v>
      </c>
      <c r="FT180" s="22">
        <f t="shared" si="184"/>
        <v>1.450027289142801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3.76000000000001</v>
      </c>
      <c r="N181" s="13">
        <f>IF('Données projet'!$A$36&gt;35,N180+M181-V180,IF(A181&lt;'Données projet'!$A$36,$K$205^A181,IF(A181='Données projet'!$A$36,'Données projet'!$B$36,N180+M181-V180)))</f>
        <v>264.04000000000082</v>
      </c>
      <c r="O181" s="13">
        <f>N181*VLOOKUP('Données projet'!$B$9,Paramètres!$A$1:$I$89,3,0)*VLOOKUP('Données projet'!$B$9,Paramètres!$A$1:$I$89,5,0)</f>
        <v>267.73656000000085</v>
      </c>
      <c r="P181" s="13">
        <f t="shared" si="141"/>
        <v>64.368675094258279</v>
      </c>
      <c r="Q181" s="20">
        <f t="shared" si="162"/>
        <v>578.41661778916796</v>
      </c>
      <c r="R181" s="59">
        <f t="shared" si="109"/>
        <v>871.74995112250122</v>
      </c>
      <c r="S181" s="59">
        <f ca="1">AVERAGE(OFFSET($R$3,0,0,'Données projet'!$E$9+1,1))-AVERAGE(OFFSET($H$3,0,0,'Données projet'!$E$9+1,1))</f>
        <v>706.69239849991595</v>
      </c>
      <c r="T181" s="59">
        <f t="shared" si="142"/>
        <v>310.59887275116529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125.23310397964948</v>
      </c>
      <c r="AA181" s="21">
        <f>EXP(-LN(2)/25)*AA180+(1-EXP(-LN(2)/25))/(LN(2)/25)*Calculateur!V181*Calculateur!X181*VLOOKUP('Données projet'!$B$9,Paramètres!$A$1:$I$89,3,0)*0.475*44/12</f>
        <v>25.650565940352308</v>
      </c>
      <c r="AB181" s="21">
        <f>EXP(-LN(2)/2)*AB180+(1-EXP(-LN(2)/2))/(LN(2)/2)*V181*Y181*VLOOKUP('Données projet'!$B$9,Paramètres!$A$1:$I$89,3,0)*0.475*44/12</f>
        <v>7.2222281071701104</v>
      </c>
      <c r="AC181" s="22">
        <f t="shared" si="163"/>
        <v>158.10589802717192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239.26156489359892</v>
      </c>
      <c r="AO181" s="59">
        <f t="shared" si="144"/>
        <v>213.97034450798111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1.8928375605313126</v>
      </c>
      <c r="AV181" s="21">
        <f>EXP(-LN(2)/25)*AV180+(1-EXP(-LN(2)/25))/(LN(2)/25)*Calculateur!AQ181*Calculateur!AS181*VLOOKUP('Données projet'!$B$10,Paramètres!$A$1:$I$89,3,0)*0.475*44/12</f>
        <v>5.5670264931886182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7.4598640537199312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-1.7053025658242404E-13</v>
      </c>
      <c r="BE181" s="13">
        <f>BD181*VLOOKUP('Données projet'!$B$11,Paramètres!$A$1:$I$89,3,0)*VLOOKUP('Données projet'!$B$11,Paramètres!$A$1:$I$89,5,0)</f>
        <v>-1.4897523215040567E-13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324.86930206492627</v>
      </c>
      <c r="BJ181" s="59">
        <f t="shared" si="146"/>
        <v>317.03005098025352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6.615859883818227</v>
      </c>
      <c r="BQ181" s="21">
        <f>EXP(-LN(2)/25)*BQ180+(1-EXP(-LN(2)/25))/(LN(2)/25)*Calculateur!BL181*Calculateur!BN181*VLOOKUP('Données projet'!$B$11,Paramètres!$A$1:$I$89,3,0)*0.475*44/12</f>
        <v>3.0729640267808951</v>
      </c>
      <c r="BR181" s="21">
        <f>EXP(-LN(2)/2)*BR180+(1-EXP(-LN(2)/2))/(LN(2)/2)*BL181*BO181*VLOOKUP('Données projet'!$B$11,Paramètres!$A$1:$I$89,3,0)*0.475*44/12</f>
        <v>1.013873589871645E-13</v>
      </c>
      <c r="BS181" s="22">
        <f t="shared" si="169"/>
        <v>9.6888239105992238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7.688333333333337</v>
      </c>
      <c r="BY181" s="12">
        <f>IF('Données projet'!$A$114&gt;35,BY180+BX181-CG180,IF(A181&lt;'Données projet'!$A$114,$BV$205^A181,IF(A181='Données projet'!$A$114,'Données projet'!$B$114,BY180+BX181-CG180)))</f>
        <v>441.16333333333301</v>
      </c>
      <c r="BZ181" s="13">
        <f>BY181*VLOOKUP('Données projet'!$B$12,Paramètres!$A$1:$I$89,3,0)*VLOOKUP('Données projet'!$B$12,Paramètres!$A$1:$I$89,5,0)</f>
        <v>502.39680399999969</v>
      </c>
      <c r="CA181" s="13">
        <f t="shared" si="170"/>
        <v>112.25277277979573</v>
      </c>
      <c r="CB181" s="20">
        <f t="shared" si="171"/>
        <v>1070.5146795581438</v>
      </c>
      <c r="CC181" s="59">
        <f t="shared" si="119"/>
        <v>1363.8480128914771</v>
      </c>
      <c r="CD181" s="59">
        <f ca="1">AVERAGE(OFFSET($CC$3,0,0,'Données projet'!$E$12+1,1))-AVERAGE(OFFSET($H$3,0,0,'Données projet'!$E$12+1,1))</f>
        <v>593.28343396240075</v>
      </c>
      <c r="CE181" s="59">
        <f t="shared" si="148"/>
        <v>289.66477662068695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46.408448098115556</v>
      </c>
      <c r="CL181" s="21">
        <f>EXP(-LN(2)/25)*CL180+(1-EXP(-LN(2)/25))/(LN(2)/25)*Calculateur!CG181*Calculateur!CI181*VLOOKUP('Données projet'!$B$12,Paramètres!$A$1:$I$89,3,0)*0.475*44/12</f>
        <v>19.784001094742749</v>
      </c>
      <c r="CM181" s="21">
        <f>EXP(-LN(2)/2)*CM180+(1-EXP(-LN(2)/2))/(LN(2)/2)*CG181*CJ181*VLOOKUP('Données projet'!$B$12,Paramètres!$A$1:$I$89,3,0)*0.475*44/12</f>
        <v>5.0607866124738003E-5</v>
      </c>
      <c r="CN181" s="22">
        <f t="shared" si="172"/>
        <v>66.192499800724434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3.76000000000001</v>
      </c>
      <c r="CT181" s="12">
        <f>IF('Données projet'!$A$140&gt;35,CT180+CS181-DB180,IF(A181&lt;'Données projet'!$A$140,$CQ$205^A181,IF(A181='Données projet'!$A$140,'Données projet'!$B$140,CT180+CS181-DB180)))</f>
        <v>264.04000000000082</v>
      </c>
      <c r="CU181" s="17">
        <f>CT181*VLOOKUP('Données projet'!$B$13,Paramètres!$A$1:$I$89,3,0)*VLOOKUP('Données projet'!$B$13,Paramètres!$A$1:$I$89,5,0)</f>
        <v>284.21265600000083</v>
      </c>
      <c r="CV181" s="13">
        <f t="shared" si="173"/>
        <v>67.856488988661411</v>
      </c>
      <c r="CW181" s="20">
        <f t="shared" si="174"/>
        <v>613.18709418858668</v>
      </c>
      <c r="CX181" s="59">
        <f t="shared" si="122"/>
        <v>906.52042752192006</v>
      </c>
      <c r="CY181" s="59">
        <f ca="1">AVERAGE(OFFSET($CX$3,0,0,'Données projet'!$E$13+1,1))-AVERAGE(OFFSET($H$3,0,0,'Données projet'!$E$13+1,1))</f>
        <v>747.18304127457918</v>
      </c>
      <c r="CZ181" s="59">
        <f t="shared" si="150"/>
        <v>327.03701004966723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132.93975653224325</v>
      </c>
      <c r="DG181" s="21">
        <f>EXP(-LN(2)/25)*DG180+(1-EXP(-LN(2)/25))/(LN(2)/25)*Calculateur!DB181*Calculateur!DD181*VLOOKUP('Données projet'!$B$13,Paramètres!$A$1:$I$89,3,0)*0.475*44/12</f>
        <v>27.229062305912439</v>
      </c>
      <c r="DH181" s="21">
        <f>EXP(-LN(2)/2)*DH180+(1-EXP(-LN(2)/2))/(LN(2)/2)*DB181*DE181*VLOOKUP('Données projet'!$B$13,Paramètres!$A$1:$I$89,3,0)*0.475*44/12</f>
        <v>7.6666729137651908</v>
      </c>
      <c r="DI181" s="22">
        <f t="shared" si="175"/>
        <v>167.83549175192087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353.37479213497227</v>
      </c>
      <c r="DU181" s="59">
        <f t="shared" si="152"/>
        <v>345.4750813433123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7.4639673859491831</v>
      </c>
      <c r="EB181" s="21">
        <f>EXP(-LN(2)/25)*EB180+(1-EXP(-LN(2)/25))/(LN(2)/25)*Calculateur!DW181*Calculateur!DY181*VLOOKUP('Données projet'!$B$14,Paramètres!$A$1:$I$89,3,0)*0.475*44/12</f>
        <v>3.3906328951950653</v>
      </c>
      <c r="EC181" s="21">
        <f>EXP(-LN(2)/2)*EC180+(1-EXP(-LN(2)/2))/(LN(2)/2)*DW181*DZ181*VLOOKUP('Données projet'!$B$14,Paramètres!$A$1:$I$89,3,0)*0.475*44/12</f>
        <v>1.1088254084583822E-13</v>
      </c>
      <c r="ED181" s="22">
        <f t="shared" si="178"/>
        <v>10.854600281144359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-4.5474735088646412E-13</v>
      </c>
      <c r="EK181" s="17">
        <f>EJ181*VLOOKUP('Données projet'!$B$15,Paramètres!$A$1:$I$89,3,0)*VLOOKUP('Données projet'!$B$15,Paramètres!$A$1:$I$89,5,0)</f>
        <v>-2.1282176021486519E-13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433.05041777893922</v>
      </c>
      <c r="EP181" s="59">
        <f t="shared" si="154"/>
        <v>591.24088611958996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82.799006555307216</v>
      </c>
      <c r="EW181" s="21">
        <f>EXP(-LN(2)/25)*EW180+(1-EXP(-LN(2)/25))/(LN(2)/25)*Calculateur!ER181*Calculateur!ET181*VLOOKUP('Données projet'!$B$15,Paramètres!$A$1:$I$89,3,0)*0.475*44/12</f>
        <v>14.184015959644118</v>
      </c>
      <c r="EX181" s="21">
        <f>EXP(-LN(2)/2)*EX180+(1-EXP(-LN(2)/2))/(LN(2)/2)*ER181*EU181*VLOOKUP('Données projet'!$B$15,Paramètres!$A$1:$I$89,3,0)*0.475*44/12</f>
        <v>5.0312244911714566E-10</v>
      </c>
      <c r="EY181" s="22">
        <f t="shared" si="181"/>
        <v>96.983022515454451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-8.5265128291212022E-14</v>
      </c>
      <c r="FF181" s="17">
        <f>FE181*VLOOKUP('Données projet'!$B$16,Paramètres!$A$1:$I$89,3,0)*VLOOKUP('Données projet'!$B$16,Paramètres!$A$1:$I$89,5,0)</f>
        <v>-6.9167072069831198E-14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159.4660488566085</v>
      </c>
      <c r="FK181" s="59">
        <f t="shared" si="156"/>
        <v>135.33030558297088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</v>
      </c>
      <c r="FR181" s="21">
        <f>EXP(-LN(2)/25)*FR180+(1-EXP(-LN(2)/25))/(LN(2)/25)*Calculateur!FM181*Calculateur!FO181*VLOOKUP('Données projet'!$B$16,Paramètres!$A$1:$I$89,3,0)*0.475*44/12</f>
        <v>1.4103762166656117</v>
      </c>
      <c r="FS181" s="21">
        <f>EXP(-LN(2)/2)*FS180+(1-EXP(-LN(2)/2))/(LN(2)/2)*FM181*FP181*VLOOKUP('Données projet'!$B$16,Paramètres!$A$1:$I$89,3,0)*0.475*44/12</f>
        <v>1.4236472010924611E-12</v>
      </c>
      <c r="FT181" s="22">
        <f t="shared" si="184"/>
        <v>1.4103762166670355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3.76000000000001</v>
      </c>
      <c r="N182" s="13">
        <f>IF('Données projet'!$A$36&gt;35,N181+M182-V181,IF(A182&lt;'Données projet'!$A$36,$K$205^A182,IF(A182='Données projet'!$A$36,'Données projet'!$B$36,N181+M182-V181)))</f>
        <v>267.80000000000081</v>
      </c>
      <c r="O182" s="13">
        <f>N182*VLOOKUP('Données projet'!$B$9,Paramètres!$A$1:$I$89,3,0)*VLOOKUP('Données projet'!$B$9,Paramètres!$A$1:$I$89,5,0)</f>
        <v>271.54920000000084</v>
      </c>
      <c r="P182" s="13">
        <f t="shared" si="141"/>
        <v>65.177939068610073</v>
      </c>
      <c r="Q182" s="20">
        <f t="shared" si="162"/>
        <v>586.46643387783058</v>
      </c>
      <c r="R182" s="59">
        <f t="shared" si="109"/>
        <v>879.79976721116395</v>
      </c>
      <c r="S182" s="59">
        <f ca="1">AVERAGE(OFFSET($R$3,0,0,'Données projet'!$E$9+1,1))-AVERAGE(OFFSET($H$3,0,0,'Données projet'!$E$9+1,1))</f>
        <v>706.69239849991595</v>
      </c>
      <c r="T182" s="59">
        <f t="shared" si="142"/>
        <v>310.59887275116529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122.77735919525963</v>
      </c>
      <c r="AA182" s="21">
        <f>EXP(-LN(2)/25)*AA181+(1-EXP(-LN(2)/25))/(LN(2)/25)*Calculateur!V182*Calculateur!X182*VLOOKUP('Données projet'!$B$9,Paramètres!$A$1:$I$89,3,0)*0.475*44/12</f>
        <v>24.949149865808735</v>
      </c>
      <c r="AB182" s="21">
        <f>EXP(-LN(2)/2)*AB181+(1-EXP(-LN(2)/2))/(LN(2)/2)*V182*Y182*VLOOKUP('Données projet'!$B$9,Paramètres!$A$1:$I$89,3,0)*0.475*44/12</f>
        <v>5.106886469856069</v>
      </c>
      <c r="AC182" s="22">
        <f t="shared" si="163"/>
        <v>152.83339553092446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239.26156489359892</v>
      </c>
      <c r="AO182" s="59">
        <f t="shared" si="144"/>
        <v>213.97034450798111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1.8557201704862063</v>
      </c>
      <c r="AV182" s="21">
        <f>EXP(-LN(2)/25)*AV181+(1-EXP(-LN(2)/25))/(LN(2)/25)*Calculateur!AQ182*Calculateur!AS182*VLOOKUP('Données projet'!$B$10,Paramètres!$A$1:$I$89,3,0)*0.475*44/12</f>
        <v>5.4147958609751754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7.2705160314613817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-1.7053025658242404E-13</v>
      </c>
      <c r="BE182" s="13">
        <f>BD182*VLOOKUP('Données projet'!$B$11,Paramètres!$A$1:$I$89,3,0)*VLOOKUP('Données projet'!$B$11,Paramètres!$A$1:$I$89,5,0)</f>
        <v>-1.4897523215040567E-13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324.86930206492627</v>
      </c>
      <c r="BJ182" s="59">
        <f t="shared" si="146"/>
        <v>317.03005098025352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6.4861269067726299</v>
      </c>
      <c r="BQ182" s="21">
        <f>EXP(-LN(2)/25)*BQ181+(1-EXP(-LN(2)/25))/(LN(2)/25)*Calculateur!BL182*Calculateur!BN182*VLOOKUP('Données projet'!$B$11,Paramètres!$A$1:$I$89,3,0)*0.475*44/12</f>
        <v>2.9889336638684165</v>
      </c>
      <c r="BR182" s="21">
        <f>EXP(-LN(2)/2)*BR181+(1-EXP(-LN(2)/2))/(LN(2)/2)*BL182*BO182*VLOOKUP('Données projet'!$B$11,Paramètres!$A$1:$I$89,3,0)*0.475*44/12</f>
        <v>7.169168906641887E-14</v>
      </c>
      <c r="BS182" s="22">
        <f t="shared" si="169"/>
        <v>9.4750605706411175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7.688333333333337</v>
      </c>
      <c r="BY182" s="12">
        <f>IF('Données projet'!$A$114&gt;35,BY181+BX182-CG181,IF(A182&lt;'Données projet'!$A$114,$BV$205^A182,IF(A182='Données projet'!$A$114,'Données projet'!$B$114,BY181+BX182-CG181)))</f>
        <v>448.85166666666635</v>
      </c>
      <c r="BZ182" s="13">
        <f>BY182*VLOOKUP('Données projet'!$B$12,Paramètres!$A$1:$I$89,3,0)*VLOOKUP('Données projet'!$B$12,Paramètres!$A$1:$I$89,5,0)</f>
        <v>511.15227799999968</v>
      </c>
      <c r="CA182" s="13">
        <f t="shared" si="170"/>
        <v>113.9795952658682</v>
      </c>
      <c r="CB182" s="20">
        <f t="shared" si="171"/>
        <v>1088.7713459380532</v>
      </c>
      <c r="CC182" s="59">
        <f t="shared" si="119"/>
        <v>1382.1046792713864</v>
      </c>
      <c r="CD182" s="59">
        <f ca="1">AVERAGE(OFFSET($CC$3,0,0,'Données projet'!$E$12+1,1))-AVERAGE(OFFSET($H$3,0,0,'Données projet'!$E$12+1,1))</f>
        <v>593.28343396240075</v>
      </c>
      <c r="CE182" s="59">
        <f t="shared" si="148"/>
        <v>289.66477662068695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45.498406737269832</v>
      </c>
      <c r="CL182" s="21">
        <f>EXP(-LN(2)/25)*CL181+(1-EXP(-LN(2)/25))/(LN(2)/25)*Calculateur!CG182*Calculateur!CI182*VLOOKUP('Données projet'!$B$12,Paramètres!$A$1:$I$89,3,0)*0.475*44/12</f>
        <v>19.243006544411607</v>
      </c>
      <c r="CM182" s="21">
        <f>EXP(-LN(2)/2)*CM181+(1-EXP(-LN(2)/2))/(LN(2)/2)*CG182*CJ182*VLOOKUP('Données projet'!$B$12,Paramètres!$A$1:$I$89,3,0)*0.475*44/12</f>
        <v>3.5785165318183205E-5</v>
      </c>
      <c r="CN182" s="22">
        <f t="shared" si="172"/>
        <v>64.741449066846769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3.76000000000001</v>
      </c>
      <c r="CT182" s="12">
        <f>IF('Données projet'!$A$140&gt;35,CT181+CS182-DB181,IF(A182&lt;'Données projet'!$A$140,$CQ$205^A182,IF(A182='Données projet'!$A$140,'Données projet'!$B$140,CT181+CS182-DB181)))</f>
        <v>267.80000000000081</v>
      </c>
      <c r="CU182" s="17">
        <f>CT182*VLOOKUP('Données projet'!$B$13,Paramètres!$A$1:$I$89,3,0)*VLOOKUP('Données projet'!$B$13,Paramètres!$A$1:$I$89,5,0)</f>
        <v>288.25992000000088</v>
      </c>
      <c r="CV182" s="13">
        <f t="shared" si="173"/>
        <v>68.709602896693767</v>
      </c>
      <c r="CW182" s="20">
        <f t="shared" si="174"/>
        <v>621.72191904507645</v>
      </c>
      <c r="CX182" s="59">
        <f t="shared" si="122"/>
        <v>915.0552523784097</v>
      </c>
      <c r="CY182" s="59">
        <f ca="1">AVERAGE(OFFSET($CX$3,0,0,'Données projet'!$E$13+1,1))-AVERAGE(OFFSET($H$3,0,0,'Données projet'!$E$13+1,1))</f>
        <v>747.18304127457918</v>
      </c>
      <c r="CZ182" s="59">
        <f t="shared" si="150"/>
        <v>327.03701004966723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130.33288899189094</v>
      </c>
      <c r="DG182" s="21">
        <f>EXP(-LN(2)/25)*DG181+(1-EXP(-LN(2)/25))/(LN(2)/25)*Calculateur!DB182*Calculateur!DD182*VLOOKUP('Données projet'!$B$13,Paramètres!$A$1:$I$89,3,0)*0.475*44/12</f>
        <v>26.484482165243111</v>
      </c>
      <c r="DH182" s="21">
        <f>EXP(-LN(2)/2)*DH181+(1-EXP(-LN(2)/2))/(LN(2)/2)*DB182*DE182*VLOOKUP('Données projet'!$B$13,Paramètres!$A$1:$I$89,3,0)*0.475*44/12</f>
        <v>5.4211564064625941</v>
      </c>
      <c r="DI182" s="22">
        <f t="shared" si="175"/>
        <v>162.23852756359665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353.37479213497227</v>
      </c>
      <c r="DU182" s="59">
        <f t="shared" si="152"/>
        <v>345.4750813433123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7.317603538081296</v>
      </c>
      <c r="EB182" s="21">
        <f>EXP(-LN(2)/25)*EB181+(1-EXP(-LN(2)/25))/(LN(2)/25)*Calculateur!DW182*Calculateur!DY182*VLOOKUP('Données projet'!$B$14,Paramètres!$A$1:$I$89,3,0)*0.475*44/12</f>
        <v>3.2979158603703218</v>
      </c>
      <c r="EC182" s="21">
        <f>EXP(-LN(2)/2)*EC181+(1-EXP(-LN(2)/2))/(LN(2)/2)*DW182*DZ182*VLOOKUP('Données projet'!$B$14,Paramètres!$A$1:$I$89,3,0)*0.475*44/12</f>
        <v>7.8405796547286544E-14</v>
      </c>
      <c r="ED182" s="22">
        <f t="shared" si="178"/>
        <v>10.615519398451696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-4.5474735088646412E-13</v>
      </c>
      <c r="EK182" s="17">
        <f>EJ182*VLOOKUP('Données projet'!$B$15,Paramètres!$A$1:$I$89,3,0)*VLOOKUP('Données projet'!$B$15,Paramètres!$A$1:$I$89,5,0)</f>
        <v>-2.1282176021486519E-13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433.05041777893922</v>
      </c>
      <c r="EP182" s="59">
        <f t="shared" si="154"/>
        <v>591.24088611958996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81.175368539164936</v>
      </c>
      <c r="EW182" s="21">
        <f>EXP(-LN(2)/25)*EW181+(1-EXP(-LN(2)/25))/(LN(2)/25)*Calculateur!ER182*Calculateur!ET182*VLOOKUP('Données projet'!$B$15,Paramètres!$A$1:$I$89,3,0)*0.475*44/12</f>
        <v>13.796153297322668</v>
      </c>
      <c r="EX182" s="21">
        <f>EXP(-LN(2)/2)*EX181+(1-EXP(-LN(2)/2))/(LN(2)/2)*ER182*EU182*VLOOKUP('Données projet'!$B$15,Paramètres!$A$1:$I$89,3,0)*0.475*44/12</f>
        <v>3.5576129553791741E-10</v>
      </c>
      <c r="EY182" s="22">
        <f t="shared" si="181"/>
        <v>94.971521836843351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-8.5265128291212022E-14</v>
      </c>
      <c r="FF182" s="17">
        <f>FE182*VLOOKUP('Données projet'!$B$16,Paramètres!$A$1:$I$89,3,0)*VLOOKUP('Données projet'!$B$16,Paramètres!$A$1:$I$89,5,0)</f>
        <v>-6.9167072069831198E-14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159.4660488566085</v>
      </c>
      <c r="FK182" s="59">
        <f t="shared" si="156"/>
        <v>135.33030558297088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</v>
      </c>
      <c r="FR182" s="21">
        <f>EXP(-LN(2)/25)*FR181+(1-EXP(-LN(2)/25))/(LN(2)/25)*Calculateur!FM182*Calculateur!FO182*VLOOKUP('Données projet'!$B$16,Paramètres!$A$1:$I$89,3,0)*0.475*44/12</f>
        <v>1.3718094048524287</v>
      </c>
      <c r="FS182" s="21">
        <f>EXP(-LN(2)/2)*FS181+(1-EXP(-LN(2)/2))/(LN(2)/2)*FM182*FP182*VLOOKUP('Données projet'!$B$16,Paramètres!$A$1:$I$89,3,0)*0.475*44/12</f>
        <v>1.0066705899097277E-12</v>
      </c>
      <c r="FT182" s="22">
        <f t="shared" si="184"/>
        <v>1.3718094048534355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271.56</v>
      </c>
      <c r="L183" s="12">
        <f>VLOOKUP(A183,'Données projet'!$A$35:$I$55,9,0)</f>
        <v>3.76000000000001</v>
      </c>
      <c r="M183" s="12">
        <f t="array" ref="M183">INDEX(L:L,MIN(IF(ISNUMBER(L183:L379),ROW(L183:L379),"")))</f>
        <v>3.76000000000001</v>
      </c>
      <c r="N183" s="13">
        <f>IF('Données projet'!$A$36&gt;35,N182+M183-V182,IF(A183&lt;'Données projet'!$A$36,$K$205^A183,IF(A183='Données projet'!$A$36,'Données projet'!$B$36,N182+M183-V182)))</f>
        <v>271.5600000000008</v>
      </c>
      <c r="O183" s="13">
        <f>N183*VLOOKUP('Données projet'!$B$9,Paramètres!$A$1:$I$89,3,0)*VLOOKUP('Données projet'!$B$9,Paramètres!$A$1:$I$89,5,0)</f>
        <v>275.36184000000083</v>
      </c>
      <c r="P183" s="13">
        <f t="shared" si="141"/>
        <v>65.985881501741488</v>
      </c>
      <c r="Q183" s="20">
        <f t="shared" si="162"/>
        <v>594.51394828220111</v>
      </c>
      <c r="R183" s="59">
        <f t="shared" si="109"/>
        <v>887.84728161553448</v>
      </c>
      <c r="S183" s="59">
        <f ca="1">AVERAGE(OFFSET($R$3,0,0,'Données projet'!$E$9+1,1))-AVERAGE(OFFSET($H$3,0,0,'Données projet'!$E$9+1,1))</f>
        <v>706.69239849991595</v>
      </c>
      <c r="T183" s="59">
        <f t="shared" si="142"/>
        <v>310.59887275116529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86.97</v>
      </c>
      <c r="W183" s="16">
        <f>IF(ISNA(VLOOKUP(A183,'Données projet'!$A$35:$I$55,5,0)),0%,VLOOKUP(A183,'Données projet'!$A$35:$I$55,5,0)*VLOOKUP('Données projet'!$B$9,Paramètres!$A$1:$I$89,7,0))</f>
        <v>0.19350000000000001</v>
      </c>
      <c r="X183" s="16">
        <f>IF(ISNA(VLOOKUP(A183,'Données projet'!$A$35:$I$55,6,0)),0%,VLOOKUP(A183,'Données projet'!$A$35:$I$55,6,0)*VLOOKUP('Données projet'!$B$9,Paramètres!$A$1:$I$89,7,0))</f>
        <v>2.1500000000000002E-2</v>
      </c>
      <c r="Y183" s="16">
        <f>IF(ISNA(VLOOKUP(A183,'Données projet'!$A$35:$I$55,7,0)),0%,VLOOKUP(A183,'Données projet'!$A$35:$I$55,7,0))</f>
        <v>0.05</v>
      </c>
      <c r="Z183" s="21">
        <f>EXP(-LN(2)/35)*Z182+(1-EXP(-LN(2)/35))/(LN(2)/35)*V183*W183*VLOOKUP('Données projet'!$B$9,Paramètres!$A$1:$I$89,3,0)*0.475*44/12</f>
        <v>139.23384465081122</v>
      </c>
      <c r="AA183" s="21">
        <f>EXP(-LN(2)/25)*AA182+(1-EXP(-LN(2)/25))/(LN(2)/25)*Calculateur!V183*Calculateur!X183*VLOOKUP('Données projet'!$B$9,Paramètres!$A$1:$I$89,3,0)*0.475*44/12</f>
        <v>26.35466955439481</v>
      </c>
      <c r="AB183" s="21">
        <f>EXP(-LN(2)/2)*AB182+(1-EXP(-LN(2)/2))/(LN(2)/2)*V183*Y183*VLOOKUP('Données projet'!$B$9,Paramètres!$A$1:$I$89,3,0)*0.475*44/12</f>
        <v>7.771481816780847</v>
      </c>
      <c r="AC183" s="22">
        <f t="shared" si="163"/>
        <v>173.35999602198686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239.26156489359892</v>
      </c>
      <c r="AO183" s="59">
        <f t="shared" si="144"/>
        <v>213.97034450798111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1.8193306298205121</v>
      </c>
      <c r="AV183" s="21">
        <f>EXP(-LN(2)/25)*AV182+(1-EXP(-LN(2)/25))/(LN(2)/25)*Calculateur!AQ183*Calculateur!AS183*VLOOKUP('Données projet'!$B$10,Paramètres!$A$1:$I$89,3,0)*0.475*44/12</f>
        <v>5.2667279834050706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7.0860586132255827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-1.7053025658242404E-13</v>
      </c>
      <c r="BE183" s="13">
        <f>BD183*VLOOKUP('Données projet'!$B$11,Paramètres!$A$1:$I$89,3,0)*VLOOKUP('Données projet'!$B$11,Paramètres!$A$1:$I$89,5,0)</f>
        <v>-1.4897523215040567E-13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324.86930206492627</v>
      </c>
      <c r="BJ183" s="59">
        <f t="shared" si="146"/>
        <v>317.03005098025352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6.358937914277595</v>
      </c>
      <c r="BQ183" s="21">
        <f>EXP(-LN(2)/25)*BQ182+(1-EXP(-LN(2)/25))/(LN(2)/25)*Calculateur!BL183*Calculateur!BN183*VLOOKUP('Données projet'!$B$11,Paramètres!$A$1:$I$89,3,0)*0.475*44/12</f>
        <v>2.9072011156487445</v>
      </c>
      <c r="BR183" s="21">
        <f>EXP(-LN(2)/2)*BR182+(1-EXP(-LN(2)/2))/(LN(2)/2)*BL183*BO183*VLOOKUP('Données projet'!$B$11,Paramètres!$A$1:$I$89,3,0)*0.475*44/12</f>
        <v>5.069367949358225E-14</v>
      </c>
      <c r="BS183" s="22">
        <f t="shared" si="169"/>
        <v>9.266139029926391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456.54</v>
      </c>
      <c r="BW183" s="12">
        <f>VLOOKUP(A183,'Données projet'!$A$113:$I$133,9,0)</f>
        <v>7.688333333333337</v>
      </c>
      <c r="BX183" s="12">
        <f t="array" ref="BX183">INDEX(BW:BW,MIN(IF(ISNUMBER(BW183:BW379),ROW(BW183:BW379),"")))</f>
        <v>7.688333333333337</v>
      </c>
      <c r="BY183" s="12">
        <f>IF('Données projet'!$A$114&gt;35,BY182+BX183-CG182,IF(A183&lt;'Données projet'!$A$114,$BV$205^A183,IF(A183='Données projet'!$A$114,'Données projet'!$B$114,BY182+BX183-CG182)))</f>
        <v>456.53999999999968</v>
      </c>
      <c r="BZ183" s="13">
        <f>BY183*VLOOKUP('Données projet'!$B$12,Paramètres!$A$1:$I$89,3,0)*VLOOKUP('Données projet'!$B$12,Paramètres!$A$1:$I$89,5,0)</f>
        <v>519.90775199999962</v>
      </c>
      <c r="CA183" s="13">
        <f t="shared" si="170"/>
        <v>115.70297805948883</v>
      </c>
      <c r="CB183" s="20">
        <f t="shared" si="171"/>
        <v>1107.0220215202758</v>
      </c>
      <c r="CC183" s="59">
        <f t="shared" si="119"/>
        <v>1400.355354853609</v>
      </c>
      <c r="CD183" s="59">
        <f ca="1">AVERAGE(OFFSET($CC$3,0,0,'Données projet'!$E$12+1,1))-AVERAGE(OFFSET($H$3,0,0,'Données projet'!$E$12+1,1))</f>
        <v>593.28343396240075</v>
      </c>
      <c r="CE183" s="59">
        <f t="shared" si="148"/>
        <v>289.66477662068695</v>
      </c>
      <c r="CF183" s="15">
        <f>IF(ISNA(VLOOKUP(A183,'Données projet'!$A$113:$I$133,3,0)),0,VLOOKUP(A183,'Données projet'!$A$113:$I$133,3,0))</f>
        <v>13</v>
      </c>
      <c r="CG183" s="15">
        <f>IF(ISNA(VLOOKUP(A183,'Données projet'!$A$113:$I$133,4,0)),0,VLOOKUP(A183,'Données projet'!$A$113:$I$133,4,0))</f>
        <v>175.59000000000003</v>
      </c>
      <c r="CH183" s="16">
        <f>IF(ISNA(VLOOKUP(A183,'Données projet'!$A$113:$I$133,5,0)),0%,VLOOKUP(A183,'Données projet'!$A$113:$I$133,5,0)*VLOOKUP('Données projet'!$B$12,Paramètres!$A$1:$I$89,7,0))</f>
        <v>0.215</v>
      </c>
      <c r="CI183" s="16">
        <f>IF(ISNA(VLOOKUP(A183,'Données projet'!$A$113:$I$133,6,0)),0%,VLOOKUP(A183,'Données projet'!$A$113:$I$133,6,0)*VLOOKUP('Données projet'!$B$12,Paramètres!$A$1:$I$89,7,0))</f>
        <v>8.6000000000000007E-2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92.132379690333735</v>
      </c>
      <c r="CL183" s="21">
        <f>EXP(-LN(2)/25)*CL182+(1-EXP(-LN(2)/25))/(LN(2)/25)*Calculateur!CG183*Calculateur!CI183*VLOOKUP('Données projet'!$B$12,Paramètres!$A$1:$I$89,3,0)*0.475*44/12</f>
        <v>37.652421647235556</v>
      </c>
      <c r="CM183" s="21">
        <f>EXP(-LN(2)/2)*CM182+(1-EXP(-LN(2)/2))/(LN(2)/2)*CG183*CJ183*VLOOKUP('Données projet'!$B$12,Paramètres!$A$1:$I$89,3,0)*0.475*44/12</f>
        <v>2.5303933062369001E-5</v>
      </c>
      <c r="CN183" s="22">
        <f t="shared" si="172"/>
        <v>129.78482664150235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271.56</v>
      </c>
      <c r="CR183" s="12">
        <f>VLOOKUP(A183,'Données projet'!$A$139:$I$159,9,0)</f>
        <v>3.76000000000001</v>
      </c>
      <c r="CS183" s="12">
        <f t="array" ref="CS183">INDEX(CR:CR,MIN(IF(ISNUMBER(CR183:CR379),ROW(CR183:CR379),"")))</f>
        <v>3.76000000000001</v>
      </c>
      <c r="CT183" s="12">
        <f>IF('Données projet'!$A$140&gt;35,CT182+CS183-DB182,IF(A183&lt;'Données projet'!$A$140,$CQ$205^A183,IF(A183='Données projet'!$A$140,'Données projet'!$B$140,CT182+CS183-DB182)))</f>
        <v>271.5600000000008</v>
      </c>
      <c r="CU183" s="17">
        <f>CT183*VLOOKUP('Données projet'!$B$13,Paramètres!$A$1:$I$89,3,0)*VLOOKUP('Données projet'!$B$13,Paramètres!$A$1:$I$89,5,0)</f>
        <v>292.30718400000086</v>
      </c>
      <c r="CV183" s="13">
        <f t="shared" si="173"/>
        <v>69.561323655851353</v>
      </c>
      <c r="CW183" s="20">
        <f t="shared" si="174"/>
        <v>630.2543175006092</v>
      </c>
      <c r="CX183" s="59">
        <f t="shared" si="122"/>
        <v>923.58765083394246</v>
      </c>
      <c r="CY183" s="59">
        <f ca="1">AVERAGE(OFFSET($CX$3,0,0,'Données projet'!$E$13+1,1))-AVERAGE(OFFSET($H$3,0,0,'Données projet'!$E$13+1,1))</f>
        <v>747.18304127457918</v>
      </c>
      <c r="CZ183" s="59">
        <f t="shared" si="150"/>
        <v>327.03701004966723</v>
      </c>
      <c r="DA183" s="15">
        <f>IF(ISNA(VLOOKUP(A183,'Données projet'!$A$139:$I$159,3,0)),0,VLOOKUP(A183,'Données projet'!$A$139:$I$159,3,0))</f>
        <v>17</v>
      </c>
      <c r="DB183" s="15">
        <f>IF(ISNA(VLOOKUP(A183,'Données projet'!$A$139:$I$159,4,0)),0,VLOOKUP(A183,'Données projet'!$A$139:$I$159,4,0))</f>
        <v>86.97</v>
      </c>
      <c r="DC183" s="16">
        <f>IF(ISNA(VLOOKUP(A183,'Données projet'!$A$139:$I$159,5,0)),0%,VLOOKUP(A183,'Données projet'!$A$139:$I$159,5,0)*VLOOKUP('Données projet'!$B$13,Paramètres!$A$1:$I$89,7,0))</f>
        <v>0.19350000000000001</v>
      </c>
      <c r="DD183" s="16">
        <f>IF(ISNA(VLOOKUP(A183,'Données projet'!$A$139:$I$159,6,0)),0%,VLOOKUP(A183,'Données projet'!$A$139:$I$159,6,0)*VLOOKUP('Données projet'!$B$13,Paramètres!$A$1:$I$89,7,0))</f>
        <v>2.1500000000000002E-2</v>
      </c>
      <c r="DE183" s="16">
        <f>IF(ISNA(VLOOKUP(A183,'Données projet'!$A$139:$I$159,7,0)),0%,VLOOKUP(A183,'Données projet'!$A$139:$I$159,7,0))</f>
        <v>0.05</v>
      </c>
      <c r="DF183" s="21">
        <f>EXP(-LN(2)/35)*DF182+(1-EXP(-LN(2)/35))/(LN(2)/35)*DB183*DC183*VLOOKUP('Données projet'!$B$13,Paramètres!$A$1:$I$89,3,0)*0.475*44/12</f>
        <v>147.80208124470724</v>
      </c>
      <c r="DG183" s="21">
        <f>EXP(-LN(2)/25)*DG182+(1-EXP(-LN(2)/25))/(LN(2)/25)*Calculateur!DB183*Calculateur!DD183*VLOOKUP('Données projet'!$B$13,Paramètres!$A$1:$I$89,3,0)*0.475*44/12</f>
        <v>27.976495373126792</v>
      </c>
      <c r="DH183" s="21">
        <f>EXP(-LN(2)/2)*DH182+(1-EXP(-LN(2)/2))/(LN(2)/2)*DB183*DE183*VLOOKUP('Données projet'!$B$13,Paramètres!$A$1:$I$89,3,0)*0.475*44/12</f>
        <v>8.249726851659668</v>
      </c>
      <c r="DI183" s="22">
        <f t="shared" si="175"/>
        <v>184.02830346949369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353.37479213497227</v>
      </c>
      <c r="DU183" s="59">
        <f t="shared" si="152"/>
        <v>345.4750813433123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7.1741097959969657</v>
      </c>
      <c r="EB183" s="21">
        <f>EXP(-LN(2)/25)*EB182+(1-EXP(-LN(2)/25))/(LN(2)/25)*Calculateur!DW183*Calculateur!DY183*VLOOKUP('Données projet'!$B$14,Paramètres!$A$1:$I$89,3,0)*0.475*44/12</f>
        <v>3.2077341777386379</v>
      </c>
      <c r="EC183" s="21">
        <f>EXP(-LN(2)/2)*EC182+(1-EXP(-LN(2)/2))/(LN(2)/2)*DW183*DZ183*VLOOKUP('Données projet'!$B$14,Paramètres!$A$1:$I$89,3,0)*0.475*44/12</f>
        <v>5.544127042291911E-14</v>
      </c>
      <c r="ED183" s="22">
        <f t="shared" si="178"/>
        <v>10.381843973735659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-4.5474735088646412E-13</v>
      </c>
      <c r="EK183" s="17">
        <f>EJ183*VLOOKUP('Données projet'!$B$15,Paramètres!$A$1:$I$89,3,0)*VLOOKUP('Données projet'!$B$15,Paramètres!$A$1:$I$89,5,0)</f>
        <v>-2.1282176021486519E-13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433.05041777893922</v>
      </c>
      <c r="EP183" s="59">
        <f t="shared" si="154"/>
        <v>591.24088611958996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79.583569074197811</v>
      </c>
      <c r="EW183" s="21">
        <f>EXP(-LN(2)/25)*EW182+(1-EXP(-LN(2)/25))/(LN(2)/25)*Calculateur!ER183*Calculateur!ET183*VLOOKUP('Données projet'!$B$15,Paramètres!$A$1:$I$89,3,0)*0.475*44/12</f>
        <v>13.418896759899209</v>
      </c>
      <c r="EX183" s="21">
        <f>EXP(-LN(2)/2)*EX182+(1-EXP(-LN(2)/2))/(LN(2)/2)*ER183*EU183*VLOOKUP('Données projet'!$B$15,Paramètres!$A$1:$I$89,3,0)*0.475*44/12</f>
        <v>2.5156122455857283E-10</v>
      </c>
      <c r="EY183" s="22">
        <f t="shared" si="181"/>
        <v>93.002465834348584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-8.5265128291212022E-14</v>
      </c>
      <c r="FF183" s="17">
        <f>FE183*VLOOKUP('Données projet'!$B$16,Paramètres!$A$1:$I$89,3,0)*VLOOKUP('Données projet'!$B$16,Paramètres!$A$1:$I$89,5,0)</f>
        <v>-6.9167072069831198E-14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159.4660488566085</v>
      </c>
      <c r="FK183" s="59">
        <f t="shared" si="156"/>
        <v>135.33030558297088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</v>
      </c>
      <c r="FR183" s="21">
        <f>EXP(-LN(2)/25)*FR182+(1-EXP(-LN(2)/25))/(LN(2)/25)*Calculateur!FM183*Calculateur!FO183*VLOOKUP('Données projet'!$B$16,Paramètres!$A$1:$I$89,3,0)*0.475*44/12</f>
        <v>1.3342972045364179</v>
      </c>
      <c r="FS183" s="21">
        <f>EXP(-LN(2)/2)*FS182+(1-EXP(-LN(2)/2))/(LN(2)/2)*FM183*FP183*VLOOKUP('Données projet'!$B$16,Paramètres!$A$1:$I$89,3,0)*0.475*44/12</f>
        <v>7.1182360054623056E-13</v>
      </c>
      <c r="FT183" s="22">
        <f t="shared" si="184"/>
        <v>1.3342972045371297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2.2933333333333317</v>
      </c>
      <c r="N184" s="13">
        <f>IF('Données projet'!$A$36&gt;35,N183+M184-V183,IF(A184&lt;'Données projet'!$A$36,$K$205^A184,IF(A184='Données projet'!$A$36,'Données projet'!$B$36,N183+M184-V183)))</f>
        <v>186.88333333333415</v>
      </c>
      <c r="O184" s="13">
        <f>N184*VLOOKUP('Données projet'!$B$9,Paramètres!$A$1:$I$89,3,0)*VLOOKUP('Données projet'!$B$9,Paramètres!$A$1:$I$89,5,0)</f>
        <v>189.49970000000084</v>
      </c>
      <c r="P184" s="13">
        <f t="shared" si="141"/>
        <v>47.42932665712091</v>
      </c>
      <c r="Q184" s="20">
        <f t="shared" si="162"/>
        <v>412.651388094487</v>
      </c>
      <c r="R184" s="59">
        <f t="shared" si="109"/>
        <v>705.98472142782032</v>
      </c>
      <c r="S184" s="59">
        <f ca="1">AVERAGE(OFFSET($R$3,0,0,'Données projet'!$E$9+1,1))-AVERAGE(OFFSET($H$3,0,0,'Données projet'!$E$9+1,1))</f>
        <v>706.69239849991595</v>
      </c>
      <c r="T184" s="59">
        <f t="shared" si="142"/>
        <v>310.59887275116529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136.50355388146846</v>
      </c>
      <c r="AA184" s="21">
        <f>EXP(-LN(2)/25)*AA183+(1-EXP(-LN(2)/25))/(LN(2)/25)*Calculateur!V184*Calculateur!X184*VLOOKUP('Données projet'!$B$9,Paramètres!$A$1:$I$89,3,0)*0.475*44/12</f>
        <v>25.633999729498047</v>
      </c>
      <c r="AB184" s="21">
        <f>EXP(-LN(2)/2)*AB183+(1-EXP(-LN(2)/2))/(LN(2)/2)*V184*Y184*VLOOKUP('Données projet'!$B$9,Paramètres!$A$1:$I$89,3,0)*0.475*44/12</f>
        <v>5.4952674925136877</v>
      </c>
      <c r="AC184" s="22">
        <f t="shared" si="163"/>
        <v>167.63282110348018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239.26156489359892</v>
      </c>
      <c r="AO184" s="59">
        <f t="shared" si="144"/>
        <v>213.97034450798111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1.783654665851844</v>
      </c>
      <c r="AV184" s="21">
        <f>EXP(-LN(2)/25)*AV183+(1-EXP(-LN(2)/25))/(LN(2)/25)*Calculateur!AQ184*Calculateur!AS184*VLOOKUP('Données projet'!$B$10,Paramètres!$A$1:$I$89,3,0)*0.475*44/12</f>
        <v>5.1227090297336719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6.9063636955855161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-1.7053025658242404E-13</v>
      </c>
      <c r="BE184" s="13">
        <f>BD184*VLOOKUP('Données projet'!$B$11,Paramètres!$A$1:$I$89,3,0)*VLOOKUP('Données projet'!$B$11,Paramètres!$A$1:$I$89,5,0)</f>
        <v>-1.4897523215040567E-13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324.86930206492627</v>
      </c>
      <c r="BJ184" s="59">
        <f t="shared" si="146"/>
        <v>317.03005098025352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6.2342430203477619</v>
      </c>
      <c r="BQ184" s="21">
        <f>EXP(-LN(2)/25)*BQ183+(1-EXP(-LN(2)/25))/(LN(2)/25)*Calculateur!BL184*Calculateur!BN184*VLOOKUP('Données projet'!$B$11,Paramètres!$A$1:$I$89,3,0)*0.475*44/12</f>
        <v>2.8277035482582673</v>
      </c>
      <c r="BR184" s="21">
        <f>EXP(-LN(2)/2)*BR183+(1-EXP(-LN(2)/2))/(LN(2)/2)*BL184*BO184*VLOOKUP('Données projet'!$B$11,Paramètres!$A$1:$I$89,3,0)*0.475*44/12</f>
        <v>3.5845844533209435E-14</v>
      </c>
      <c r="BS184" s="22">
        <f t="shared" si="169"/>
        <v>9.0619465686060643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4.7974999999999994</v>
      </c>
      <c r="BY184" s="12">
        <f>IF('Données projet'!$A$114&gt;35,BY183+BX184-CG183,IF(A184&lt;'Données projet'!$A$114,$BV$205^A184,IF(A184='Données projet'!$A$114,'Données projet'!$B$114,BY183+BX184-CG183)))</f>
        <v>285.74749999999966</v>
      </c>
      <c r="BZ184" s="13">
        <f>BY184*VLOOKUP('Données projet'!$B$12,Paramètres!$A$1:$I$89,3,0)*VLOOKUP('Données projet'!$B$12,Paramètres!$A$1:$I$89,5,0)</f>
        <v>325.40925299999964</v>
      </c>
      <c r="CA184" s="13">
        <f t="shared" si="170"/>
        <v>76.477753575181453</v>
      </c>
      <c r="CB184" s="20">
        <f t="shared" si="171"/>
        <v>699.95320311844034</v>
      </c>
      <c r="CC184" s="59">
        <f t="shared" si="119"/>
        <v>993.2865364517736</v>
      </c>
      <c r="CD184" s="59">
        <f ca="1">AVERAGE(OFFSET($CC$3,0,0,'Données projet'!$E$12+1,1))-AVERAGE(OFFSET($H$3,0,0,'Données projet'!$E$12+1,1))</f>
        <v>593.28343396240075</v>
      </c>
      <c r="CE184" s="59">
        <f t="shared" si="148"/>
        <v>289.66477662068695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90.325719919809089</v>
      </c>
      <c r="CL184" s="21">
        <f>EXP(-LN(2)/25)*CL183+(1-EXP(-LN(2)/25))/(LN(2)/25)*Calculateur!CG184*Calculateur!CI184*VLOOKUP('Données projet'!$B$12,Paramètres!$A$1:$I$89,3,0)*0.475*44/12</f>
        <v>36.622814197237098</v>
      </c>
      <c r="CM184" s="21">
        <f>EXP(-LN(2)/2)*CM183+(1-EXP(-LN(2)/2))/(LN(2)/2)*CG184*CJ184*VLOOKUP('Données projet'!$B$12,Paramètres!$A$1:$I$89,3,0)*0.475*44/12</f>
        <v>1.7892582659091603E-5</v>
      </c>
      <c r="CN184" s="22">
        <f t="shared" si="172"/>
        <v>126.94855200962886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2.2933333333333317</v>
      </c>
      <c r="CT184" s="12">
        <f>IF('Données projet'!$A$140&gt;35,CT183+CS184-DB183,IF(A184&lt;'Données projet'!$A$140,$CQ$205^A184,IF(A184='Données projet'!$A$140,'Données projet'!$B$140,CT183+CS184-DB183)))</f>
        <v>186.88333333333415</v>
      </c>
      <c r="CU184" s="17">
        <f>CT184*VLOOKUP('Données projet'!$B$13,Paramètres!$A$1:$I$89,3,0)*VLOOKUP('Données projet'!$B$13,Paramètres!$A$1:$I$89,5,0)</f>
        <v>201.16122000000084</v>
      </c>
      <c r="CV184" s="13">
        <f t="shared" si="173"/>
        <v>49.999282684251376</v>
      </c>
      <c r="CW184" s="20">
        <f t="shared" si="174"/>
        <v>437.43787550840597</v>
      </c>
      <c r="CX184" s="59">
        <f t="shared" si="122"/>
        <v>730.77120884173928</v>
      </c>
      <c r="CY184" s="59">
        <f ca="1">AVERAGE(OFFSET($CX$3,0,0,'Données projet'!$E$13+1,1))-AVERAGE(OFFSET($H$3,0,0,'Données projet'!$E$13+1,1))</f>
        <v>747.18304127457918</v>
      </c>
      <c r="CZ184" s="59">
        <f t="shared" si="150"/>
        <v>327.03701004966723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144.90377258186649</v>
      </c>
      <c r="DG184" s="21">
        <f>EXP(-LN(2)/25)*DG183+(1-EXP(-LN(2)/25))/(LN(2)/25)*Calculateur!DB184*Calculateur!DD184*VLOOKUP('Données projet'!$B$13,Paramètres!$A$1:$I$89,3,0)*0.475*44/12</f>
        <v>27.21147663592869</v>
      </c>
      <c r="DH184" s="21">
        <f>EXP(-LN(2)/2)*DH183+(1-EXP(-LN(2)/2))/(LN(2)/2)*DB184*DE184*VLOOKUP('Données projet'!$B$13,Paramètres!$A$1:$I$89,3,0)*0.475*44/12</f>
        <v>5.8334377997452993</v>
      </c>
      <c r="DI184" s="22">
        <f t="shared" si="175"/>
        <v>177.94868701754046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353.37479213497227</v>
      </c>
      <c r="DU184" s="59">
        <f t="shared" si="152"/>
        <v>345.4750813433123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7.0334298786723686</v>
      </c>
      <c r="EB184" s="21">
        <f>EXP(-LN(2)/25)*EB183+(1-EXP(-LN(2)/25))/(LN(2)/25)*Calculateur!DW184*Calculateur!DY184*VLOOKUP('Données projet'!$B$14,Paramètres!$A$1:$I$89,3,0)*0.475*44/12</f>
        <v>3.1200185179609656</v>
      </c>
      <c r="EC184" s="21">
        <f>EXP(-LN(2)/2)*EC183+(1-EXP(-LN(2)/2))/(LN(2)/2)*DW184*DZ184*VLOOKUP('Données projet'!$B$14,Paramètres!$A$1:$I$89,3,0)*0.475*44/12</f>
        <v>3.9202898273643272E-14</v>
      </c>
      <c r="ED184" s="22">
        <f t="shared" si="178"/>
        <v>10.153448396633372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-4.5474735088646412E-13</v>
      </c>
      <c r="EK184" s="17">
        <f>EJ184*VLOOKUP('Données projet'!$B$15,Paramètres!$A$1:$I$89,3,0)*VLOOKUP('Données projet'!$B$15,Paramètres!$A$1:$I$89,5,0)</f>
        <v>-2.1282176021486519E-13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433.05041777893922</v>
      </c>
      <c r="EP184" s="59">
        <f t="shared" si="154"/>
        <v>591.24088611958996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78.022983825836889</v>
      </c>
      <c r="EW184" s="21">
        <f>EXP(-LN(2)/25)*EW183+(1-EXP(-LN(2)/25))/(LN(2)/25)*Calculateur!ER184*Calculateur!ET184*VLOOKUP('Données projet'!$B$15,Paramètres!$A$1:$I$89,3,0)*0.475*44/12</f>
        <v>13.051956322330653</v>
      </c>
      <c r="EX184" s="21">
        <f>EXP(-LN(2)/2)*EX183+(1-EXP(-LN(2)/2))/(LN(2)/2)*ER184*EU184*VLOOKUP('Données projet'!$B$15,Paramètres!$A$1:$I$89,3,0)*0.475*44/12</f>
        <v>1.7788064776895871E-10</v>
      </c>
      <c r="EY184" s="22">
        <f t="shared" si="181"/>
        <v>91.074940148345419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-8.5265128291212022E-14</v>
      </c>
      <c r="FF184" s="17">
        <f>FE184*VLOOKUP('Données projet'!$B$16,Paramètres!$A$1:$I$89,3,0)*VLOOKUP('Données projet'!$B$16,Paramètres!$A$1:$I$89,5,0)</f>
        <v>-6.9167072069831198E-14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159.4660488566085</v>
      </c>
      <c r="FK184" s="59">
        <f t="shared" si="156"/>
        <v>135.33030558297088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</v>
      </c>
      <c r="FR184" s="21">
        <f>EXP(-LN(2)/25)*FR183+(1-EXP(-LN(2)/25))/(LN(2)/25)*Calculateur!FM184*Calculateur!FO184*VLOOKUP('Données projet'!$B$16,Paramètres!$A$1:$I$89,3,0)*0.475*44/12</f>
        <v>1.297810777310729</v>
      </c>
      <c r="FS184" s="21">
        <f>EXP(-LN(2)/2)*FS183+(1-EXP(-LN(2)/2))/(LN(2)/2)*FM184*FP184*VLOOKUP('Données projet'!$B$16,Paramètres!$A$1:$I$89,3,0)*0.475*44/12</f>
        <v>5.0333529495486385E-13</v>
      </c>
      <c r="FT184" s="22">
        <f t="shared" si="184"/>
        <v>1.2978107773112324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2.2933333333333317</v>
      </c>
      <c r="N185" s="13">
        <f>IF('Données projet'!$A$36&gt;35,N184+M185-V184,IF(A185&lt;'Données projet'!$A$36,$K$205^A185,IF(A185='Données projet'!$A$36,'Données projet'!$B$36,N184+M185-V184)))</f>
        <v>189.17666666666747</v>
      </c>
      <c r="O185" s="13">
        <f>N185*VLOOKUP('Données projet'!$B$9,Paramètres!$A$1:$I$89,3,0)*VLOOKUP('Données projet'!$B$9,Paramètres!$A$1:$I$89,5,0)</f>
        <v>191.82514000000083</v>
      </c>
      <c r="P185" s="13">
        <f t="shared" si="141"/>
        <v>47.943240602417134</v>
      </c>
      <c r="Q185" s="20">
        <f t="shared" si="162"/>
        <v>417.59659621587792</v>
      </c>
      <c r="R185" s="59">
        <f t="shared" si="109"/>
        <v>710.92992954921124</v>
      </c>
      <c r="S185" s="59">
        <f ca="1">AVERAGE(OFFSET($R$3,0,0,'Données projet'!$E$9+1,1))-AVERAGE(OFFSET($H$3,0,0,'Données projet'!$E$9+1,1))</f>
        <v>706.69239849991595</v>
      </c>
      <c r="T185" s="59">
        <f t="shared" si="142"/>
        <v>310.59887275116529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133.82680244879958</v>
      </c>
      <c r="AA185" s="21">
        <f>EXP(-LN(2)/25)*AA184+(1-EXP(-LN(2)/25))/(LN(2)/25)*Calculateur!V185*Calculateur!X185*VLOOKUP('Données projet'!$B$9,Paramètres!$A$1:$I$89,3,0)*0.475*44/12</f>
        <v>24.933036658861464</v>
      </c>
      <c r="AB185" s="21">
        <f>EXP(-LN(2)/2)*AB184+(1-EXP(-LN(2)/2))/(LN(2)/2)*V185*Y185*VLOOKUP('Données projet'!$B$9,Paramètres!$A$1:$I$89,3,0)*0.475*44/12</f>
        <v>3.885740908390424</v>
      </c>
      <c r="AC185" s="22">
        <f t="shared" si="163"/>
        <v>162.64558001605147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239.26156489359892</v>
      </c>
      <c r="AO185" s="59">
        <f t="shared" si="144"/>
        <v>213.97034450798111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1.748678285776412</v>
      </c>
      <c r="AV185" s="21">
        <f>EXP(-LN(2)/25)*AV184+(1-EXP(-LN(2)/25))/(LN(2)/25)*Calculateur!AQ185*Calculateur!AS185*VLOOKUP('Données projet'!$B$10,Paramètres!$A$1:$I$89,3,0)*0.475*44/12</f>
        <v>4.9826282819240451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6.7313065677004573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-1.7053025658242404E-13</v>
      </c>
      <c r="BE185" s="13">
        <f>BD185*VLOOKUP('Données projet'!$B$11,Paramètres!$A$1:$I$89,3,0)*VLOOKUP('Données projet'!$B$11,Paramètres!$A$1:$I$89,5,0)</f>
        <v>-1.4897523215040567E-13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324.86930206492627</v>
      </c>
      <c r="BJ185" s="59">
        <f t="shared" si="146"/>
        <v>317.03005098025352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6.1119933172315175</v>
      </c>
      <c r="BQ185" s="21">
        <f>EXP(-LN(2)/25)*BQ184+(1-EXP(-LN(2)/25))/(LN(2)/25)*Calculateur!BL185*Calculateur!BN185*VLOOKUP('Données projet'!$B$11,Paramètres!$A$1:$I$89,3,0)*0.475*44/12</f>
        <v>2.7503798460286784</v>
      </c>
      <c r="BR185" s="21">
        <f>EXP(-LN(2)/2)*BR184+(1-EXP(-LN(2)/2))/(LN(2)/2)*BL185*BO185*VLOOKUP('Données projet'!$B$11,Paramètres!$A$1:$I$89,3,0)*0.475*44/12</f>
        <v>2.5346839746791125E-14</v>
      </c>
      <c r="BS185" s="22">
        <f t="shared" si="169"/>
        <v>8.8623731632602212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4.7974999999999994</v>
      </c>
      <c r="BY185" s="12">
        <f>IF('Données projet'!$A$114&gt;35,BY184+BX185-CG184,IF(A185&lt;'Données projet'!$A$114,$BV$205^A185,IF(A185='Données projet'!$A$114,'Données projet'!$B$114,BY184+BX185-CG184)))</f>
        <v>290.54499999999967</v>
      </c>
      <c r="BZ185" s="13">
        <f>BY185*VLOOKUP('Données projet'!$B$12,Paramètres!$A$1:$I$89,3,0)*VLOOKUP('Données projet'!$B$12,Paramètres!$A$1:$I$89,5,0)</f>
        <v>330.87264599999963</v>
      </c>
      <c r="CA185" s="13">
        <f t="shared" si="170"/>
        <v>77.611201134728788</v>
      </c>
      <c r="CB185" s="20">
        <f t="shared" si="171"/>
        <v>711.44270042631854</v>
      </c>
      <c r="CC185" s="59">
        <f t="shared" si="119"/>
        <v>1004.7760337596519</v>
      </c>
      <c r="CD185" s="59">
        <f ca="1">AVERAGE(OFFSET($CC$3,0,0,'Données projet'!$E$12+1,1))-AVERAGE(OFFSET($H$3,0,0,'Données projet'!$E$12+1,1))</f>
        <v>593.28343396240075</v>
      </c>
      <c r="CE185" s="59">
        <f t="shared" si="148"/>
        <v>289.66477662068695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88.554487645430783</v>
      </c>
      <c r="CL185" s="21">
        <f>EXP(-LN(2)/25)*CL184+(1-EXP(-LN(2)/25))/(LN(2)/25)*Calculateur!CG185*Calculateur!CI185*VLOOKUP('Données projet'!$B$12,Paramètres!$A$1:$I$89,3,0)*0.475*44/12</f>
        <v>35.62136141710355</v>
      </c>
      <c r="CM185" s="21">
        <f>EXP(-LN(2)/2)*CM184+(1-EXP(-LN(2)/2))/(LN(2)/2)*CG185*CJ185*VLOOKUP('Données projet'!$B$12,Paramètres!$A$1:$I$89,3,0)*0.475*44/12</f>
        <v>1.2651966531184501E-5</v>
      </c>
      <c r="CN185" s="22">
        <f t="shared" si="172"/>
        <v>124.17586171450085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2.2933333333333317</v>
      </c>
      <c r="CT185" s="12">
        <f>IF('Données projet'!$A$140&gt;35,CT184+CS185-DB184,IF(A185&lt;'Données projet'!$A$140,$CQ$205^A185,IF(A185='Données projet'!$A$140,'Données projet'!$B$140,CT184+CS185-DB184)))</f>
        <v>189.17666666666747</v>
      </c>
      <c r="CU185" s="17">
        <f>CT185*VLOOKUP('Données projet'!$B$13,Paramètres!$A$1:$I$89,3,0)*VLOOKUP('Données projet'!$B$13,Paramètres!$A$1:$I$89,5,0)</f>
        <v>203.62976400000085</v>
      </c>
      <c r="CV185" s="13">
        <f t="shared" si="173"/>
        <v>50.541043034593379</v>
      </c>
      <c r="CW185" s="20">
        <f t="shared" si="174"/>
        <v>442.68082225191824</v>
      </c>
      <c r="CX185" s="59">
        <f t="shared" si="122"/>
        <v>736.0141555852515</v>
      </c>
      <c r="CY185" s="59">
        <f ca="1">AVERAGE(OFFSET($CX$3,0,0,'Données projet'!$E$13+1,1))-AVERAGE(OFFSET($H$3,0,0,'Données projet'!$E$13+1,1))</f>
        <v>747.18304127457918</v>
      </c>
      <c r="CZ185" s="59">
        <f t="shared" si="150"/>
        <v>327.03701004966723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142.0622979841103</v>
      </c>
      <c r="DG185" s="21">
        <f>EXP(-LN(2)/25)*DG184+(1-EXP(-LN(2)/25))/(LN(2)/25)*Calculateur!DB185*Calculateur!DD185*VLOOKUP('Données projet'!$B$13,Paramètres!$A$1:$I$89,3,0)*0.475*44/12</f>
        <v>26.467377376329857</v>
      </c>
      <c r="DH185" s="21">
        <f>EXP(-LN(2)/2)*DH184+(1-EXP(-LN(2)/2))/(LN(2)/2)*DB185*DE185*VLOOKUP('Données projet'!$B$13,Paramètres!$A$1:$I$89,3,0)*0.475*44/12</f>
        <v>4.1248634258298349</v>
      </c>
      <c r="DI185" s="22">
        <f t="shared" si="175"/>
        <v>172.65453878627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353.37479213497227</v>
      </c>
      <c r="DU185" s="59">
        <f t="shared" si="152"/>
        <v>345.4750813433123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6.8955086087202302</v>
      </c>
      <c r="EB185" s="21">
        <f>EXP(-LN(2)/25)*EB184+(1-EXP(-LN(2)/25))/(LN(2)/25)*Calculateur!DW185*Calculateur!DY185*VLOOKUP('Données projet'!$B$14,Paramètres!$A$1:$I$89,3,0)*0.475*44/12</f>
        <v>3.0347014475126799</v>
      </c>
      <c r="EC185" s="21">
        <f>EXP(-LN(2)/2)*EC184+(1-EXP(-LN(2)/2))/(LN(2)/2)*DW185*DZ185*VLOOKUP('Données projet'!$B$14,Paramètres!$A$1:$I$89,3,0)*0.475*44/12</f>
        <v>2.7720635211459555E-14</v>
      </c>
      <c r="ED185" s="22">
        <f t="shared" si="178"/>
        <v>9.930210056232939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-4.5474735088646412E-13</v>
      </c>
      <c r="EK185" s="17">
        <f>EJ185*VLOOKUP('Données projet'!$B$15,Paramètres!$A$1:$I$89,3,0)*VLOOKUP('Données projet'!$B$15,Paramètres!$A$1:$I$89,5,0)</f>
        <v>-2.1282176021486519E-13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433.05041777893922</v>
      </c>
      <c r="EP185" s="59">
        <f t="shared" si="154"/>
        <v>591.24088611958996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76.493000702333305</v>
      </c>
      <c r="EW185" s="21">
        <f>EXP(-LN(2)/25)*EW184+(1-EXP(-LN(2)/25))/(LN(2)/25)*Calculateur!ER185*Calculateur!ET185*VLOOKUP('Données projet'!$B$15,Paramètres!$A$1:$I$89,3,0)*0.475*44/12</f>
        <v>12.69504989032397</v>
      </c>
      <c r="EX185" s="21">
        <f>EXP(-LN(2)/2)*EX184+(1-EXP(-LN(2)/2))/(LN(2)/2)*ER185*EU185*VLOOKUP('Données projet'!$B$15,Paramètres!$A$1:$I$89,3,0)*0.475*44/12</f>
        <v>1.2578061227928641E-10</v>
      </c>
      <c r="EY185" s="22">
        <f t="shared" si="181"/>
        <v>89.188050592783057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-8.5265128291212022E-14</v>
      </c>
      <c r="FF185" s="17">
        <f>FE185*VLOOKUP('Données projet'!$B$16,Paramètres!$A$1:$I$89,3,0)*VLOOKUP('Données projet'!$B$16,Paramètres!$A$1:$I$89,5,0)</f>
        <v>-6.9167072069831198E-14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159.4660488566085</v>
      </c>
      <c r="FK185" s="59">
        <f t="shared" si="156"/>
        <v>135.33030558297088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</v>
      </c>
      <c r="FR185" s="21">
        <f>EXP(-LN(2)/25)*FR184+(1-EXP(-LN(2)/25))/(LN(2)/25)*Calculateur!FM185*Calculateur!FO185*VLOOKUP('Données projet'!$B$16,Paramètres!$A$1:$I$89,3,0)*0.475*44/12</f>
        <v>1.2623220733562646</v>
      </c>
      <c r="FS185" s="21">
        <f>EXP(-LN(2)/2)*FS184+(1-EXP(-LN(2)/2))/(LN(2)/2)*FM185*FP185*VLOOKUP('Données projet'!$B$16,Paramètres!$A$1:$I$89,3,0)*0.475*44/12</f>
        <v>3.5591180027311528E-13</v>
      </c>
      <c r="FT185" s="22">
        <f t="shared" si="184"/>
        <v>1.2623220733566205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191.47</v>
      </c>
      <c r="L186" s="12">
        <f>VLOOKUP(A186,'Données projet'!$A$35:$I$55,9,0)</f>
        <v>2.2933333333333317</v>
      </c>
      <c r="M186" s="12">
        <f t="array" ref="M186">INDEX(L:L,MIN(IF(ISNUMBER(L186:L382),ROW(L186:L382),"")))</f>
        <v>2.2933333333333317</v>
      </c>
      <c r="N186" s="13">
        <f>IF('Données projet'!$A$36&gt;35,N185+M186-V185,IF(A186&lt;'Données projet'!$A$36,$K$205^A186,IF(A186='Données projet'!$A$36,'Données projet'!$B$36,N185+M186-V185)))</f>
        <v>191.47000000000079</v>
      </c>
      <c r="O186" s="13">
        <f>N186*VLOOKUP('Données projet'!$B$9,Paramètres!$A$1:$I$89,3,0)*VLOOKUP('Données projet'!$B$9,Paramètres!$A$1:$I$89,5,0)</f>
        <v>194.15058000000082</v>
      </c>
      <c r="P186" s="13">
        <f t="shared" si="141"/>
        <v>48.456429865053252</v>
      </c>
      <c r="Q186" s="20">
        <f t="shared" si="162"/>
        <v>422.54054218163583</v>
      </c>
      <c r="R186" s="59">
        <f t="shared" si="109"/>
        <v>715.87387551496909</v>
      </c>
      <c r="S186" s="59">
        <f ca="1">AVERAGE(OFFSET($R$3,0,0,'Données projet'!$E$9+1,1))-AVERAGE(OFFSET($H$3,0,0,'Données projet'!$E$9+1,1))</f>
        <v>706.69239849991595</v>
      </c>
      <c r="T186" s="59">
        <f t="shared" si="142"/>
        <v>310.59887275116529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191.47</v>
      </c>
      <c r="W186" s="16">
        <f>IF(ISNA(VLOOKUP(A186,'Données projet'!$A$35:$I$55,5,0)),0%,VLOOKUP(A186,'Données projet'!$A$35:$I$55,5,0)*VLOOKUP('Données projet'!$B$9,Paramètres!$A$1:$I$89,7,0))</f>
        <v>0.19350000000000001</v>
      </c>
      <c r="X186" s="16">
        <f>IF(ISNA(VLOOKUP(A186,'Données projet'!$A$35:$I$55,6,0)),0%,VLOOKUP(A186,'Données projet'!$A$35:$I$55,6,0)*VLOOKUP('Données projet'!$B$9,Paramètres!$A$1:$I$89,7,0))</f>
        <v>2.1500000000000002E-2</v>
      </c>
      <c r="Y186" s="16">
        <f>IF(ISNA(VLOOKUP(A186,'Données projet'!$A$35:$I$55,7,0)),0%,VLOOKUP(A186,'Données projet'!$A$35:$I$55,7,0))</f>
        <v>0.05</v>
      </c>
      <c r="Z186" s="21">
        <f>EXP(-LN(2)/35)*Z185+(1-EXP(-LN(2)/35))/(LN(2)/35)*V186*W186*VLOOKUP('Données projet'!$B$9,Paramètres!$A$1:$I$89,3,0)*0.475*44/12</f>
        <v>172.73300340106223</v>
      </c>
      <c r="AA186" s="21">
        <f>EXP(-LN(2)/25)*AA185+(1-EXP(-LN(2)/25))/(LN(2)/25)*Calculateur!V186*Calculateur!X186*VLOOKUP('Données projet'!$B$9,Paramètres!$A$1:$I$89,3,0)*0.475*44/12</f>
        <v>28.847568311933841</v>
      </c>
      <c r="AB186" s="21">
        <f>EXP(-LN(2)/2)*AB185+(1-EXP(-LN(2)/2))/(LN(2)/2)*V186*Y186*VLOOKUP('Données projet'!$B$9,Paramètres!$A$1:$I$89,3,0)*0.475*44/12</f>
        <v>11.906948632069174</v>
      </c>
      <c r="AC186" s="22">
        <f t="shared" si="163"/>
        <v>213.48752034506524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239.26156489359892</v>
      </c>
      <c r="AO186" s="59">
        <f t="shared" si="144"/>
        <v>213.97034450798111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1.714387771180774</v>
      </c>
      <c r="AV186" s="21">
        <f>EXP(-LN(2)/25)*AV185+(1-EXP(-LN(2)/25))/(LN(2)/25)*Calculateur!AQ186*Calculateur!AS186*VLOOKUP('Données projet'!$B$10,Paramètres!$A$1:$I$89,3,0)*0.475*44/12</f>
        <v>4.8463780495297986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6.5607658207105723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-1.7053025658242404E-13</v>
      </c>
      <c r="BE186" s="13">
        <f>BD186*VLOOKUP('Données projet'!$B$11,Paramètres!$A$1:$I$89,3,0)*VLOOKUP('Données projet'!$B$11,Paramètres!$A$1:$I$89,5,0)</f>
        <v>-1.4897523215040567E-13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324.86930206492627</v>
      </c>
      <c r="BJ186" s="59">
        <f t="shared" si="146"/>
        <v>317.03005098025352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5.9921408562284268</v>
      </c>
      <c r="BQ186" s="21">
        <f>EXP(-LN(2)/25)*BQ185+(1-EXP(-LN(2)/25))/(LN(2)/25)*Calculateur!BL186*Calculateur!BN186*VLOOKUP('Données projet'!$B$11,Paramètres!$A$1:$I$89,3,0)*0.475*44/12</f>
        <v>2.6751705645028343</v>
      </c>
      <c r="BR186" s="21">
        <f>EXP(-LN(2)/2)*BR185+(1-EXP(-LN(2)/2))/(LN(2)/2)*BL186*BO186*VLOOKUP('Données projet'!$B$11,Paramètres!$A$1:$I$89,3,0)*0.475*44/12</f>
        <v>1.7922922266604718E-14</v>
      </c>
      <c r="BS186" s="22">
        <f t="shared" si="169"/>
        <v>8.6673114207312789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4.7974999999999994</v>
      </c>
      <c r="BY186" s="12">
        <f>IF('Données projet'!$A$114&gt;35,BY185+BX186-CG185,IF(A186&lt;'Données projet'!$A$114,$BV$205^A186,IF(A186='Données projet'!$A$114,'Données projet'!$B$114,BY185+BX186-CG185)))</f>
        <v>295.34249999999969</v>
      </c>
      <c r="BZ186" s="13">
        <f>BY186*VLOOKUP('Données projet'!$B$12,Paramètres!$A$1:$I$89,3,0)*VLOOKUP('Données projet'!$B$12,Paramètres!$A$1:$I$89,5,0)</f>
        <v>336.33603899999963</v>
      </c>
      <c r="CA186" s="13">
        <f t="shared" si="170"/>
        <v>78.742472189805937</v>
      </c>
      <c r="CB186" s="20">
        <f t="shared" si="171"/>
        <v>722.92840698891132</v>
      </c>
      <c r="CC186" s="59">
        <f t="shared" si="119"/>
        <v>1016.2617403222446</v>
      </c>
      <c r="CD186" s="59">
        <f ca="1">AVERAGE(OFFSET($CC$3,0,0,'Données projet'!$E$12+1,1))-AVERAGE(OFFSET($H$3,0,0,'Données projet'!$E$12+1,1))</f>
        <v>593.28343396240075</v>
      </c>
      <c r="CE186" s="59">
        <f t="shared" si="148"/>
        <v>289.66477662068695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86.81798815560802</v>
      </c>
      <c r="CL186" s="21">
        <f>EXP(-LN(2)/25)*CL185+(1-EXP(-LN(2)/25))/(LN(2)/25)*Calculateur!CG186*Calculateur!CI186*VLOOKUP('Données projet'!$B$12,Paramètres!$A$1:$I$89,3,0)*0.475*44/12</f>
        <v>34.647293415906873</v>
      </c>
      <c r="CM186" s="21">
        <f>EXP(-LN(2)/2)*CM185+(1-EXP(-LN(2)/2))/(LN(2)/2)*CG186*CJ186*VLOOKUP('Données projet'!$B$12,Paramètres!$A$1:$I$89,3,0)*0.475*44/12</f>
        <v>8.9462913295458013E-6</v>
      </c>
      <c r="CN186" s="22">
        <f t="shared" si="172"/>
        <v>121.46529051780622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>
        <f>VLOOKUP(A186,'Données projet'!$A$139:$I$159,2,0)</f>
        <v>191.47</v>
      </c>
      <c r="CR186" s="12">
        <f>VLOOKUP(A186,'Données projet'!$A$139:$I$159,9,0)</f>
        <v>2.2933333333333317</v>
      </c>
      <c r="CS186" s="12">
        <f t="array" ref="CS186">INDEX(CR:CR,MIN(IF(ISNUMBER(CR186:CR382),ROW(CR186:CR382),"")))</f>
        <v>2.2933333333333317</v>
      </c>
      <c r="CT186" s="12">
        <f>IF('Données projet'!$A$140&gt;35,CT185+CS186-DB185,IF(A186&lt;'Données projet'!$A$140,$CQ$205^A186,IF(A186='Données projet'!$A$140,'Données projet'!$B$140,CT185+CS186-DB185)))</f>
        <v>191.47000000000079</v>
      </c>
      <c r="CU186" s="17">
        <f>CT186*VLOOKUP('Données projet'!$B$13,Paramètres!$A$1:$I$89,3,0)*VLOOKUP('Données projet'!$B$13,Paramètres!$A$1:$I$89,5,0)</f>
        <v>206.09830800000083</v>
      </c>
      <c r="CV186" s="13">
        <f t="shared" si="173"/>
        <v>51.08203943537638</v>
      </c>
      <c r="CW186" s="20">
        <f t="shared" si="174"/>
        <v>447.92243844994863</v>
      </c>
      <c r="CX186" s="59">
        <f t="shared" si="122"/>
        <v>741.25577178328194</v>
      </c>
      <c r="CY186" s="59">
        <f ca="1">AVERAGE(OFFSET($CX$3,0,0,'Données projet'!$E$13+1,1))-AVERAGE(OFFSET($H$3,0,0,'Données projet'!$E$13+1,1))</f>
        <v>747.18304127457918</v>
      </c>
      <c r="CZ186" s="59">
        <f t="shared" si="150"/>
        <v>327.03701004966723</v>
      </c>
      <c r="DA186" s="15">
        <f>IF(ISNA(VLOOKUP(A186,'Données projet'!$A$139:$I$159,3,0)),0,VLOOKUP(A186,'Données projet'!$A$139:$I$159,3,0))</f>
        <v>18</v>
      </c>
      <c r="DB186" s="15">
        <f>IF(ISNA(VLOOKUP(A186,'Données projet'!$A$139:$I$159,4,0)),0,VLOOKUP(A186,'Données projet'!$A$139:$I$159,4,0))</f>
        <v>191.47</v>
      </c>
      <c r="DC186" s="16">
        <f>IF(ISNA(VLOOKUP(A186,'Données projet'!$A$139:$I$159,5,0)),0%,VLOOKUP(A186,'Données projet'!$A$139:$I$159,5,0)*VLOOKUP('Données projet'!$B$13,Paramètres!$A$1:$I$89,7,0))</f>
        <v>0.19350000000000001</v>
      </c>
      <c r="DD186" s="16">
        <f>IF(ISNA(VLOOKUP(A186,'Données projet'!$A$139:$I$159,6,0)),0%,VLOOKUP(A186,'Données projet'!$A$139:$I$159,6,0)*VLOOKUP('Données projet'!$B$13,Paramètres!$A$1:$I$89,7,0))</f>
        <v>2.1500000000000002E-2</v>
      </c>
      <c r="DE186" s="16">
        <f>IF(ISNA(VLOOKUP(A186,'Données projet'!$A$139:$I$159,7,0)),0%,VLOOKUP(A186,'Données projet'!$A$139:$I$159,7,0))</f>
        <v>0.05</v>
      </c>
      <c r="DF186" s="21">
        <f>EXP(-LN(2)/35)*DF185+(1-EXP(-LN(2)/35))/(LN(2)/35)*DB186*DC186*VLOOKUP('Données projet'!$B$13,Paramètres!$A$1:$I$89,3,0)*0.475*44/12</f>
        <v>183.36272668728142</v>
      </c>
      <c r="DG186" s="21">
        <f>EXP(-LN(2)/25)*DG185+(1-EXP(-LN(2)/25))/(LN(2)/25)*Calculateur!DB186*Calculateur!DD186*VLOOKUP('Données projet'!$B$13,Paramètres!$A$1:$I$89,3,0)*0.475*44/12</f>
        <v>30.622803284975916</v>
      </c>
      <c r="DH186" s="21">
        <f>EXP(-LN(2)/2)*DH185+(1-EXP(-LN(2)/2))/(LN(2)/2)*DB186*DE186*VLOOKUP('Données projet'!$B$13,Paramètres!$A$1:$I$89,3,0)*0.475*44/12</f>
        <v>12.6396839325042</v>
      </c>
      <c r="DI186" s="22">
        <f t="shared" si="175"/>
        <v>226.62521390476152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353.37479213497227</v>
      </c>
      <c r="DU186" s="59">
        <f t="shared" si="152"/>
        <v>345.4750813433123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6.760291890748185</v>
      </c>
      <c r="EB186" s="21">
        <f>EXP(-LN(2)/25)*EB185+(1-EXP(-LN(2)/25))/(LN(2)/25)*Calculateur!DW186*Calculateur!DY186*VLOOKUP('Données projet'!$B$14,Paramètres!$A$1:$I$89,3,0)*0.475*44/12</f>
        <v>2.9517173768424323</v>
      </c>
      <c r="EC186" s="21">
        <f>EXP(-LN(2)/2)*EC185+(1-EXP(-LN(2)/2))/(LN(2)/2)*DW186*DZ186*VLOOKUP('Données projet'!$B$14,Paramètres!$A$1:$I$89,3,0)*0.475*44/12</f>
        <v>1.9601449136821636E-14</v>
      </c>
      <c r="ED186" s="22">
        <f t="shared" si="178"/>
        <v>9.712009267590636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-4.5474735088646412E-13</v>
      </c>
      <c r="EK186" s="17">
        <f>EJ186*VLOOKUP('Données projet'!$B$15,Paramètres!$A$1:$I$89,3,0)*VLOOKUP('Données projet'!$B$15,Paramètres!$A$1:$I$89,5,0)</f>
        <v>-2.1282176021486519E-13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433.05041777893922</v>
      </c>
      <c r="EP186" s="59">
        <f t="shared" si="154"/>
        <v>591.24088611958996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74.993019614684073</v>
      </c>
      <c r="EW186" s="21">
        <f>EXP(-LN(2)/25)*EW185+(1-EXP(-LN(2)/25))/(LN(2)/25)*Calculateur!ER186*Calculateur!ET186*VLOOKUP('Données projet'!$B$15,Paramètres!$A$1:$I$89,3,0)*0.475*44/12</f>
        <v>12.347903083469403</v>
      </c>
      <c r="EX186" s="21">
        <f>EXP(-LN(2)/2)*EX185+(1-EXP(-LN(2)/2))/(LN(2)/2)*ER186*EU186*VLOOKUP('Données projet'!$B$15,Paramètres!$A$1:$I$89,3,0)*0.475*44/12</f>
        <v>8.8940323884479353E-11</v>
      </c>
      <c r="EY186" s="22">
        <f t="shared" si="181"/>
        <v>87.340922698242423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-8.5265128291212022E-14</v>
      </c>
      <c r="FF186" s="17">
        <f>FE186*VLOOKUP('Données projet'!$B$16,Paramètres!$A$1:$I$89,3,0)*VLOOKUP('Données projet'!$B$16,Paramètres!$A$1:$I$89,5,0)</f>
        <v>-6.9167072069831198E-14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159.4660488566085</v>
      </c>
      <c r="FK186" s="59">
        <f t="shared" si="156"/>
        <v>135.33030558297088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</v>
      </c>
      <c r="FR186" s="21">
        <f>EXP(-LN(2)/25)*FR185+(1-EXP(-LN(2)/25))/(LN(2)/25)*Calculateur!FM186*Calculateur!FO186*VLOOKUP('Données projet'!$B$16,Paramètres!$A$1:$I$89,3,0)*0.475*44/12</f>
        <v>1.2278038098777047</v>
      </c>
      <c r="FS186" s="21">
        <f>EXP(-LN(2)/2)*FS185+(1-EXP(-LN(2)/2))/(LN(2)/2)*FM186*FP186*VLOOKUP('Données projet'!$B$16,Paramètres!$A$1:$I$89,3,0)*0.475*44/12</f>
        <v>2.5166764747743193E-13</v>
      </c>
      <c r="FT186" s="22">
        <f t="shared" si="184"/>
        <v>1.2278038098779562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7.9580786405131221E-13</v>
      </c>
      <c r="O187" s="13">
        <f>N187*VLOOKUP('Données projet'!$B$9,Paramètres!$A$1:$I$89,3,0)*VLOOKUP('Données projet'!$B$9,Paramètres!$A$1:$I$89,5,0)</f>
        <v>8.0694917414803056E-13</v>
      </c>
      <c r="P187" s="13">
        <f t="shared" si="141"/>
        <v>9.5069530861628001E-12</v>
      </c>
      <c r="Q187" s="20">
        <f t="shared" si="162"/>
        <v>1.7963379770041364E-11</v>
      </c>
      <c r="R187" s="59">
        <f t="shared" si="109"/>
        <v>293.33333333335128</v>
      </c>
      <c r="S187" s="59">
        <f ca="1">AVERAGE(OFFSET($R$3,0,0,'Données projet'!$E$9+1,1))-AVERAGE(OFFSET($H$3,0,0,'Données projet'!$E$9+1,1))</f>
        <v>706.69239849991595</v>
      </c>
      <c r="T187" s="59">
        <f t="shared" si="142"/>
        <v>310.59887275116529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169.34581456109638</v>
      </c>
      <c r="AA187" s="21">
        <f>EXP(-LN(2)/25)*AA186+(1-EXP(-LN(2)/25))/(LN(2)/25)*Calculateur!V187*Calculateur!X187*VLOOKUP('Données projet'!$B$9,Paramètres!$A$1:$I$89,3,0)*0.475*44/12</f>
        <v>28.058730039416325</v>
      </c>
      <c r="AB187" s="21">
        <f>EXP(-LN(2)/2)*AB186+(1-EXP(-LN(2)/2))/(LN(2)/2)*V187*Y187*VLOOKUP('Données projet'!$B$9,Paramètres!$A$1:$I$89,3,0)*0.475*44/12</f>
        <v>8.4194841209759996</v>
      </c>
      <c r="AC187" s="22">
        <f t="shared" si="163"/>
        <v>205.8240287214887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239.26156489359892</v>
      </c>
      <c r="AO187" s="59">
        <f t="shared" si="144"/>
        <v>213.97034450798111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1.6807696726612078</v>
      </c>
      <c r="AV187" s="21">
        <f>EXP(-LN(2)/25)*AV186+(1-EXP(-LN(2)/25))/(LN(2)/25)*Calculateur!AQ187*Calculateur!AS187*VLOOKUP('Données projet'!$B$10,Paramètres!$A$1:$I$89,3,0)*0.475*44/12</f>
        <v>4.7138535869054614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6.3946232595666697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-1.7053025658242404E-13</v>
      </c>
      <c r="BE187" s="13">
        <f>BD187*VLOOKUP('Données projet'!$B$11,Paramètres!$A$1:$I$89,3,0)*VLOOKUP('Données projet'!$B$11,Paramètres!$A$1:$I$89,5,0)</f>
        <v>-1.4897523215040567E-13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324.86930206492627</v>
      </c>
      <c r="BJ187" s="59">
        <f t="shared" si="146"/>
        <v>317.03005098025352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5.8746386288828241</v>
      </c>
      <c r="BQ187" s="21">
        <f>EXP(-LN(2)/25)*BQ186+(1-EXP(-LN(2)/25))/(LN(2)/25)*Calculateur!BL187*Calculateur!BN187*VLOOKUP('Données projet'!$B$11,Paramètres!$A$1:$I$89,3,0)*0.475*44/12</f>
        <v>2.6020178847353983</v>
      </c>
      <c r="BR187" s="21">
        <f>EXP(-LN(2)/2)*BR186+(1-EXP(-LN(2)/2))/(LN(2)/2)*BL187*BO187*VLOOKUP('Données projet'!$B$11,Paramètres!$A$1:$I$89,3,0)*0.475*44/12</f>
        <v>1.2673419873395563E-14</v>
      </c>
      <c r="BS187" s="22">
        <f t="shared" si="169"/>
        <v>8.4766565136182344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>
        <f>VLOOKUP(A187,'Données projet'!$A$113:$I$133,2,0)</f>
        <v>300.14</v>
      </c>
      <c r="BW187" s="12">
        <f>VLOOKUP(A187,'Données projet'!$A$113:$I$133,9,0)</f>
        <v>4.7974999999999994</v>
      </c>
      <c r="BX187" s="12">
        <f t="array" ref="BX187">INDEX(BW:BW,MIN(IF(ISNUMBER(BW187:BW383),ROW(BW187:BW383),"")))</f>
        <v>4.7974999999999994</v>
      </c>
      <c r="BY187" s="12">
        <f>IF('Données projet'!$A$114&gt;35,BY186+BX187-CG186,IF(A187&lt;'Données projet'!$A$114,$BV$205^A187,IF(A187='Données projet'!$A$114,'Données projet'!$B$114,BY186+BX187-CG186)))</f>
        <v>300.1399999999997</v>
      </c>
      <c r="BZ187" s="13">
        <f>BY187*VLOOKUP('Données projet'!$B$12,Paramètres!$A$1:$I$89,3,0)*VLOOKUP('Données projet'!$B$12,Paramètres!$A$1:$I$89,5,0)</f>
        <v>341.79943199999968</v>
      </c>
      <c r="CA187" s="13">
        <f t="shared" si="170"/>
        <v>79.871606176734076</v>
      </c>
      <c r="CB187" s="20">
        <f t="shared" si="171"/>
        <v>734.41039149114465</v>
      </c>
      <c r="CC187" s="59">
        <f t="shared" si="119"/>
        <v>1027.743724824478</v>
      </c>
      <c r="CD187" s="59">
        <f ca="1">AVERAGE(OFFSET($CC$3,0,0,'Données projet'!$E$12+1,1))-AVERAGE(OFFSET($H$3,0,0,'Données projet'!$E$12+1,1))</f>
        <v>593.28343396240075</v>
      </c>
      <c r="CE187" s="59">
        <f t="shared" si="148"/>
        <v>289.66477662068695</v>
      </c>
      <c r="CF187" s="15">
        <f>IF(ISNA(VLOOKUP(A187,'Données projet'!$A$113:$I$133,3,0)),0,VLOOKUP(A187,'Données projet'!$A$113:$I$133,3,0))</f>
        <v>14</v>
      </c>
      <c r="CG187" s="15">
        <f>IF(ISNA(VLOOKUP(A187,'Données projet'!$A$113:$I$133,4,0)),0,VLOOKUP(A187,'Données projet'!$A$113:$I$133,4,0))</f>
        <v>101.19999999999999</v>
      </c>
      <c r="CH187" s="16">
        <f>IF(ISNA(VLOOKUP(A187,'Données projet'!$A$113:$I$133,5,0)),0%,VLOOKUP(A187,'Données projet'!$A$113:$I$133,5,0)*VLOOKUP('Données projet'!$B$12,Paramètres!$A$1:$I$89,7,0))</f>
        <v>0.215</v>
      </c>
      <c r="CI187" s="16">
        <f>IF(ISNA(VLOOKUP(A187,'Données projet'!$A$113:$I$133,6,0)),0%,VLOOKUP(A187,'Données projet'!$A$113:$I$133,6,0)*VLOOKUP('Données projet'!$B$12,Paramètres!$A$1:$I$89,7,0))</f>
        <v>8.6000000000000007E-2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112.50689692257995</v>
      </c>
      <c r="CL187" s="21">
        <f>EXP(-LN(2)/25)*CL186+(1-EXP(-LN(2)/25))/(LN(2)/25)*Calculateur!CG187*Calculateur!CI187*VLOOKUP('Données projet'!$B$12,Paramètres!$A$1:$I$89,3,0)*0.475*44/12</f>
        <v>44.613263896728441</v>
      </c>
      <c r="CM187" s="21">
        <f>EXP(-LN(2)/2)*CM186+(1-EXP(-LN(2)/2))/(LN(2)/2)*CG187*CJ187*VLOOKUP('Données projet'!$B$12,Paramètres!$A$1:$I$89,3,0)*0.475*44/12</f>
        <v>6.3259832655922503E-6</v>
      </c>
      <c r="CN187" s="22">
        <f t="shared" si="172"/>
        <v>157.12016714529167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7.9580786405131221E-13</v>
      </c>
      <c r="CU187" s="17">
        <f>CT187*VLOOKUP('Données projet'!$B$13,Paramètres!$A$1:$I$89,3,0)*VLOOKUP('Données projet'!$B$13,Paramètres!$A$1:$I$89,5,0)</f>
        <v>8.5660758486483253E-13</v>
      </c>
      <c r="CV187" s="13">
        <f t="shared" si="173"/>
        <v>1.0022086930673386E-11</v>
      </c>
      <c r="CW187" s="20">
        <f t="shared" si="174"/>
        <v>1.8947059614562397E-11</v>
      </c>
      <c r="CX187" s="59">
        <f t="shared" si="122"/>
        <v>293.33333333335224</v>
      </c>
      <c r="CY187" s="59">
        <f ca="1">AVERAGE(OFFSET($CX$3,0,0,'Données projet'!$E$13+1,1))-AVERAGE(OFFSET($H$3,0,0,'Données projet'!$E$13+1,1))</f>
        <v>747.18304127457918</v>
      </c>
      <c r="CZ187" s="59">
        <f t="shared" si="150"/>
        <v>327.03701004966723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179.7670954571638</v>
      </c>
      <c r="DG187" s="21">
        <f>EXP(-LN(2)/25)*DG186+(1-EXP(-LN(2)/25))/(LN(2)/25)*Calculateur!DB187*Calculateur!DD187*VLOOKUP('Données projet'!$B$13,Paramètres!$A$1:$I$89,3,0)*0.475*44/12</f>
        <v>29.785421118765015</v>
      </c>
      <c r="DH187" s="21">
        <f>EXP(-LN(2)/2)*DH186+(1-EXP(-LN(2)/2))/(LN(2)/2)*DB187*DE187*VLOOKUP('Données projet'!$B$13,Paramètres!$A$1:$I$89,3,0)*0.475*44/12</f>
        <v>8.9376062207283677</v>
      </c>
      <c r="DI187" s="22">
        <f t="shared" si="175"/>
        <v>218.49012279665718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353.37479213497227</v>
      </c>
      <c r="DU187" s="59">
        <f t="shared" si="152"/>
        <v>345.4750813433123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6.6277266901415173</v>
      </c>
      <c r="EB187" s="21">
        <f>EXP(-LN(2)/25)*EB186+(1-EXP(-LN(2)/25))/(LN(2)/25)*Calculateur!DW187*Calculateur!DY187*VLOOKUP('Données projet'!$B$14,Paramètres!$A$1:$I$89,3,0)*0.475*44/12</f>
        <v>2.8710025099486054</v>
      </c>
      <c r="EC187" s="21">
        <f>EXP(-LN(2)/2)*EC186+(1-EXP(-LN(2)/2))/(LN(2)/2)*DW187*DZ187*VLOOKUP('Données projet'!$B$14,Paramètres!$A$1:$I$89,3,0)*0.475*44/12</f>
        <v>1.3860317605729778E-14</v>
      </c>
      <c r="ED187" s="22">
        <f t="shared" si="178"/>
        <v>9.4987292000901373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-4.5474735088646412E-13</v>
      </c>
      <c r="EK187" s="17">
        <f>EJ187*VLOOKUP('Données projet'!$B$15,Paramètres!$A$1:$I$89,3,0)*VLOOKUP('Données projet'!$B$15,Paramètres!$A$1:$I$89,5,0)</f>
        <v>-2.1282176021486519E-13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433.05041777893922</v>
      </c>
      <c r="EP187" s="59">
        <f t="shared" si="154"/>
        <v>591.24088611958996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73.522452241265512</v>
      </c>
      <c r="EW187" s="21">
        <f>EXP(-LN(2)/25)*EW186+(1-EXP(-LN(2)/25))/(LN(2)/25)*Calculateur!ER187*Calculateur!ET187*VLOOKUP('Données projet'!$B$15,Paramètres!$A$1:$I$89,3,0)*0.475*44/12</f>
        <v>12.010249024303929</v>
      </c>
      <c r="EX187" s="21">
        <f>EXP(-LN(2)/2)*EX186+(1-EXP(-LN(2)/2))/(LN(2)/2)*ER187*EU187*VLOOKUP('Données projet'!$B$15,Paramètres!$A$1:$I$89,3,0)*0.475*44/12</f>
        <v>6.2890306139643207E-11</v>
      </c>
      <c r="EY187" s="22">
        <f t="shared" si="181"/>
        <v>85.53270126563234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-8.5265128291212022E-14</v>
      </c>
      <c r="FF187" s="17">
        <f>FE187*VLOOKUP('Données projet'!$B$16,Paramètres!$A$1:$I$89,3,0)*VLOOKUP('Données projet'!$B$16,Paramètres!$A$1:$I$89,5,0)</f>
        <v>-6.9167072069831198E-14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159.4660488566085</v>
      </c>
      <c r="FK187" s="59">
        <f t="shared" si="156"/>
        <v>135.33030558297088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</v>
      </c>
      <c r="FR187" s="21">
        <f>EXP(-LN(2)/25)*FR186+(1-EXP(-LN(2)/25))/(LN(2)/25)*Calculateur!FM187*Calculateur!FO187*VLOOKUP('Données projet'!$B$16,Paramètres!$A$1:$I$89,3,0)*0.475*44/12</f>
        <v>1.1942294501292026</v>
      </c>
      <c r="FS187" s="21">
        <f>EXP(-LN(2)/2)*FS186+(1-EXP(-LN(2)/2))/(LN(2)/2)*FM187*FP187*VLOOKUP('Données projet'!$B$16,Paramètres!$A$1:$I$89,3,0)*0.475*44/12</f>
        <v>1.7795590013655764E-13</v>
      </c>
      <c r="FT187" s="22">
        <f t="shared" si="184"/>
        <v>1.1942294501293804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7.9580786405131221E-13</v>
      </c>
      <c r="O188" s="13">
        <f>N188*VLOOKUP('Données projet'!$B$9,Paramètres!$A$1:$I$89,3,0)*VLOOKUP('Données projet'!$B$9,Paramètres!$A$1:$I$89,5,0)</f>
        <v>8.0694917414803056E-13</v>
      </c>
      <c r="P188" s="13">
        <f t="shared" si="141"/>
        <v>9.5069530861628001E-12</v>
      </c>
      <c r="Q188" s="20">
        <f t="shared" si="162"/>
        <v>1.7963379770041364E-11</v>
      </c>
      <c r="R188" s="59">
        <f t="shared" si="109"/>
        <v>293.33333333335128</v>
      </c>
      <c r="S188" s="59">
        <f ca="1">AVERAGE(OFFSET($R$3,0,0,'Données projet'!$E$9+1,1))-AVERAGE(OFFSET($H$3,0,0,'Données projet'!$E$9+1,1))</f>
        <v>706.69239849991595</v>
      </c>
      <c r="T188" s="59">
        <f t="shared" si="142"/>
        <v>310.59887275116529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166.02504642830104</v>
      </c>
      <c r="AA188" s="21">
        <f>EXP(-LN(2)/25)*AA187+(1-EXP(-LN(2)/25))/(LN(2)/25)*Calculateur!V188*Calculateur!X188*VLOOKUP('Données projet'!$B$9,Paramètres!$A$1:$I$89,3,0)*0.475*44/12</f>
        <v>27.291462590944001</v>
      </c>
      <c r="AB188" s="21">
        <f>EXP(-LN(2)/2)*AB187+(1-EXP(-LN(2)/2))/(LN(2)/2)*V188*Y188*VLOOKUP('Données projet'!$B$9,Paramètres!$A$1:$I$89,3,0)*0.475*44/12</f>
        <v>5.9534743160345878</v>
      </c>
      <c r="AC188" s="22">
        <f t="shared" si="163"/>
        <v>199.26998333527965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239.26156489359892</v>
      </c>
      <c r="AO188" s="59">
        <f t="shared" si="144"/>
        <v>213.97034450798111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1.6478108045485949</v>
      </c>
      <c r="AV188" s="21">
        <f>EXP(-LN(2)/25)*AV187+(1-EXP(-LN(2)/25))/(LN(2)/25)*Calculateur!AQ188*Calculateur!AS188*VLOOKUP('Données projet'!$B$10,Paramètres!$A$1:$I$89,3,0)*0.475*44/12</f>
        <v>4.584953012680745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6.2327638172293396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-1.7053025658242404E-13</v>
      </c>
      <c r="BE188" s="13">
        <f>BD188*VLOOKUP('Données projet'!$B$11,Paramètres!$A$1:$I$89,3,0)*VLOOKUP('Données projet'!$B$11,Paramètres!$A$1:$I$89,5,0)</f>
        <v>-1.4897523215040567E-13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324.86930206492627</v>
      </c>
      <c r="BJ188" s="59">
        <f t="shared" si="146"/>
        <v>317.03005098025352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5.7594405485461859</v>
      </c>
      <c r="BQ188" s="21">
        <f>EXP(-LN(2)/25)*BQ187+(1-EXP(-LN(2)/25))/(LN(2)/25)*Calculateur!BL188*Calculateur!BN188*VLOOKUP('Données projet'!$B$11,Paramètres!$A$1:$I$89,3,0)*0.475*44/12</f>
        <v>2.5308655688431352</v>
      </c>
      <c r="BR188" s="21">
        <f>EXP(-LN(2)/2)*BR187+(1-EXP(-LN(2)/2))/(LN(2)/2)*BL188*BO188*VLOOKUP('Données projet'!$B$11,Paramètres!$A$1:$I$89,3,0)*0.475*44/12</f>
        <v>8.9614611333023588E-15</v>
      </c>
      <c r="BS188" s="22">
        <f t="shared" si="169"/>
        <v>8.2903061173893295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3.0825000000000031</v>
      </c>
      <c r="BY188" s="12">
        <f>IF('Données projet'!$A$114&gt;35,BY187+BX188-CG187,IF(A188&lt;'Données projet'!$A$114,$BV$205^A188,IF(A188='Données projet'!$A$114,'Données projet'!$B$114,BY187+BX188-CG187)))</f>
        <v>202.0224999999997</v>
      </c>
      <c r="BZ188" s="13">
        <f>BY188*VLOOKUP('Données projet'!$B$12,Paramètres!$A$1:$I$89,3,0)*VLOOKUP('Données projet'!$B$12,Paramètres!$A$1:$I$89,5,0)</f>
        <v>230.06322299999965</v>
      </c>
      <c r="CA188" s="13">
        <f t="shared" si="170"/>
        <v>56.296351603217715</v>
      </c>
      <c r="CB188" s="20">
        <f t="shared" si="171"/>
        <v>498.74292576727026</v>
      </c>
      <c r="CC188" s="59">
        <f t="shared" si="119"/>
        <v>792.07625910060358</v>
      </c>
      <c r="CD188" s="59">
        <f ca="1">AVERAGE(OFFSET($CC$3,0,0,'Données projet'!$E$12+1,1))-AVERAGE(OFFSET($H$3,0,0,'Données projet'!$E$12+1,1))</f>
        <v>593.28343396240075</v>
      </c>
      <c r="CE188" s="59">
        <f t="shared" si="148"/>
        <v>289.66477662068695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110.30070529635938</v>
      </c>
      <c r="CL188" s="21">
        <f>EXP(-LN(2)/25)*CL187+(1-EXP(-LN(2)/25))/(LN(2)/25)*Calculateur!CG188*Calculateur!CI188*VLOOKUP('Données projet'!$B$12,Paramètres!$A$1:$I$89,3,0)*0.475*44/12</f>
        <v>43.393311849362817</v>
      </c>
      <c r="CM188" s="21">
        <f>EXP(-LN(2)/2)*CM187+(1-EXP(-LN(2)/2))/(LN(2)/2)*CG188*CJ188*VLOOKUP('Données projet'!$B$12,Paramètres!$A$1:$I$89,3,0)*0.475*44/12</f>
        <v>4.4731456647729007E-6</v>
      </c>
      <c r="CN188" s="22">
        <f t="shared" si="172"/>
        <v>153.69402161886785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7.9580786405131221E-13</v>
      </c>
      <c r="CU188" s="17">
        <f>CT188*VLOOKUP('Données projet'!$B$13,Paramètres!$A$1:$I$89,3,0)*VLOOKUP('Données projet'!$B$13,Paramètres!$A$1:$I$89,5,0)</f>
        <v>8.5660758486483253E-13</v>
      </c>
      <c r="CV188" s="13">
        <f t="shared" si="173"/>
        <v>1.0022086930673386E-11</v>
      </c>
      <c r="CW188" s="20">
        <f t="shared" si="174"/>
        <v>1.8947059614562397E-11</v>
      </c>
      <c r="CX188" s="59">
        <f t="shared" si="122"/>
        <v>293.33333333335224</v>
      </c>
      <c r="CY188" s="59">
        <f ca="1">AVERAGE(OFFSET($CX$3,0,0,'Données projet'!$E$13+1,1))-AVERAGE(OFFSET($H$3,0,0,'Données projet'!$E$13+1,1))</f>
        <v>747.18304127457918</v>
      </c>
      <c r="CZ188" s="59">
        <f t="shared" si="150"/>
        <v>327.03701004966723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176.24197236235031</v>
      </c>
      <c r="DG188" s="21">
        <f>EXP(-LN(2)/25)*DG187+(1-EXP(-LN(2)/25))/(LN(2)/25)*Calculateur!DB188*Calculateur!DD188*VLOOKUP('Données projet'!$B$13,Paramètres!$A$1:$I$89,3,0)*0.475*44/12</f>
        <v>28.970937211925165</v>
      </c>
      <c r="DH188" s="21">
        <f>EXP(-LN(2)/2)*DH187+(1-EXP(-LN(2)/2))/(LN(2)/2)*DB188*DE188*VLOOKUP('Données projet'!$B$13,Paramètres!$A$1:$I$89,3,0)*0.475*44/12</f>
        <v>6.3198419662520999</v>
      </c>
      <c r="DI188" s="22">
        <f t="shared" si="175"/>
        <v>211.53275154052758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353.37479213497227</v>
      </c>
      <c r="DU188" s="59">
        <f t="shared" si="152"/>
        <v>345.4750813433123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6.4977610122619582</v>
      </c>
      <c r="EB188" s="21">
        <f>EXP(-LN(2)/25)*EB187+(1-EXP(-LN(2)/25))/(LN(2)/25)*Calculateur!DW188*Calculateur!DY188*VLOOKUP('Données projet'!$B$14,Paramètres!$A$1:$I$89,3,0)*0.475*44/12</f>
        <v>2.7924947953346004</v>
      </c>
      <c r="EC188" s="21">
        <f>EXP(-LN(2)/2)*EC187+(1-EXP(-LN(2)/2))/(LN(2)/2)*DW188*DZ188*VLOOKUP('Données projet'!$B$14,Paramètres!$A$1:$I$89,3,0)*0.475*44/12</f>
        <v>9.800724568410818E-15</v>
      </c>
      <c r="ED188" s="22">
        <f t="shared" si="178"/>
        <v>9.2902558075965693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-4.5474735088646412E-13</v>
      </c>
      <c r="EK188" s="17">
        <f>EJ188*VLOOKUP('Données projet'!$B$15,Paramètres!$A$1:$I$89,3,0)*VLOOKUP('Données projet'!$B$15,Paramètres!$A$1:$I$89,5,0)</f>
        <v>-2.1282176021486519E-13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433.05041777893922</v>
      </c>
      <c r="EP188" s="59">
        <f t="shared" si="154"/>
        <v>591.24088611958996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72.080721797082163</v>
      </c>
      <c r="EW188" s="21">
        <f>EXP(-LN(2)/25)*EW187+(1-EXP(-LN(2)/25))/(LN(2)/25)*Calculateur!ER188*Calculateur!ET188*VLOOKUP('Données projet'!$B$15,Paramètres!$A$1:$I$89,3,0)*0.475*44/12</f>
        <v>11.681828133142792</v>
      </c>
      <c r="EX188" s="21">
        <f>EXP(-LN(2)/2)*EX187+(1-EXP(-LN(2)/2))/(LN(2)/2)*ER188*EU188*VLOOKUP('Données projet'!$B$15,Paramètres!$A$1:$I$89,3,0)*0.475*44/12</f>
        <v>4.4470161942239677E-11</v>
      </c>
      <c r="EY188" s="22">
        <f t="shared" si="181"/>
        <v>83.762549930269415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-8.5265128291212022E-14</v>
      </c>
      <c r="FF188" s="17">
        <f>FE188*VLOOKUP('Données projet'!$B$16,Paramètres!$A$1:$I$89,3,0)*VLOOKUP('Données projet'!$B$16,Paramètres!$A$1:$I$89,5,0)</f>
        <v>-6.9167072069831198E-14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159.4660488566085</v>
      </c>
      <c r="FK188" s="59">
        <f t="shared" si="156"/>
        <v>135.33030558297088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</v>
      </c>
      <c r="FR188" s="21">
        <f>EXP(-LN(2)/25)*FR187+(1-EXP(-LN(2)/25))/(LN(2)/25)*Calculateur!FM188*Calculateur!FO188*VLOOKUP('Données projet'!$B$16,Paramètres!$A$1:$I$89,3,0)*0.475*44/12</f>
        <v>1.1615731830136222</v>
      </c>
      <c r="FS188" s="21">
        <f>EXP(-LN(2)/2)*FS187+(1-EXP(-LN(2)/2))/(LN(2)/2)*FM188*FP188*VLOOKUP('Données projet'!$B$16,Paramètres!$A$1:$I$89,3,0)*0.475*44/12</f>
        <v>1.2583382373871596E-13</v>
      </c>
      <c r="FT188" s="22">
        <f t="shared" si="184"/>
        <v>1.1615731830137481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7.9580786405131221E-13</v>
      </c>
      <c r="O189" s="13">
        <f>N189*VLOOKUP('Données projet'!$B$9,Paramètres!$A$1:$I$89,3,0)*VLOOKUP('Données projet'!$B$9,Paramètres!$A$1:$I$89,5,0)</f>
        <v>8.0694917414803056E-13</v>
      </c>
      <c r="P189" s="13">
        <f t="shared" si="141"/>
        <v>9.5069530861628001E-12</v>
      </c>
      <c r="Q189" s="20">
        <f t="shared" si="162"/>
        <v>1.7963379770041364E-11</v>
      </c>
      <c r="R189" s="59">
        <f t="shared" si="109"/>
        <v>293.33333333335128</v>
      </c>
      <c r="S189" s="59">
        <f ca="1">AVERAGE(OFFSET($R$3,0,0,'Données projet'!$E$9+1,1))-AVERAGE(OFFSET($H$3,0,0,'Données projet'!$E$9+1,1))</f>
        <v>706.69239849991595</v>
      </c>
      <c r="T189" s="59">
        <f t="shared" si="142"/>
        <v>310.59887275116529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162.76939653312127</v>
      </c>
      <c r="AA189" s="21">
        <f>EXP(-LN(2)/25)*AA188+(1-EXP(-LN(2)/25))/(LN(2)/25)*Calculateur!V189*Calculateur!X189*VLOOKUP('Données projet'!$B$9,Paramètres!$A$1:$I$89,3,0)*0.475*44/12</f>
        <v>26.545176111198995</v>
      </c>
      <c r="AB189" s="21">
        <f>EXP(-LN(2)/2)*AB188+(1-EXP(-LN(2)/2))/(LN(2)/2)*V189*Y189*VLOOKUP('Données projet'!$B$9,Paramètres!$A$1:$I$89,3,0)*0.475*44/12</f>
        <v>4.2097420604879998</v>
      </c>
      <c r="AC189" s="22">
        <f t="shared" si="163"/>
        <v>193.52431470480826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239.26156489359892</v>
      </c>
      <c r="AO189" s="59">
        <f t="shared" si="144"/>
        <v>213.97034450798111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1.6154982397367457</v>
      </c>
      <c r="AV189" s="21">
        <f>EXP(-LN(2)/25)*AV188+(1-EXP(-LN(2)/25))/(LN(2)/25)*Calculateur!AQ189*Calculateur!AS189*VLOOKUP('Données projet'!$B$10,Paramètres!$A$1:$I$89,3,0)*0.475*44/12</f>
        <v>4.4595772314367901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6.0750754711735357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-1.7053025658242404E-13</v>
      </c>
      <c r="BE189" s="13">
        <f>BD189*VLOOKUP('Données projet'!$B$11,Paramètres!$A$1:$I$89,3,0)*VLOOKUP('Données projet'!$B$11,Paramètres!$A$1:$I$89,5,0)</f>
        <v>-1.4897523215040567E-13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324.86930206492627</v>
      </c>
      <c r="BJ189" s="59">
        <f t="shared" si="146"/>
        <v>317.03005098025352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5.6465014323010587</v>
      </c>
      <c r="BQ189" s="21">
        <f>EXP(-LN(2)/25)*BQ188+(1-EXP(-LN(2)/25))/(LN(2)/25)*Calculateur!BL189*Calculateur!BN189*VLOOKUP('Données projet'!$B$11,Paramètres!$A$1:$I$89,3,0)*0.475*44/12</f>
        <v>2.4616589167706837</v>
      </c>
      <c r="BR189" s="21">
        <f>EXP(-LN(2)/2)*BR188+(1-EXP(-LN(2)/2))/(LN(2)/2)*BL189*BO189*VLOOKUP('Données projet'!$B$11,Paramètres!$A$1:$I$89,3,0)*0.475*44/12</f>
        <v>6.3367099366977813E-15</v>
      </c>
      <c r="BS189" s="22">
        <f t="shared" si="169"/>
        <v>8.1081603490717491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3.0825000000000031</v>
      </c>
      <c r="BY189" s="12">
        <f>IF('Données projet'!$A$114&gt;35,BY188+BX189-CG188,IF(A189&lt;'Données projet'!$A$114,$BV$205^A189,IF(A189='Données projet'!$A$114,'Données projet'!$B$114,BY188+BX189-CG188)))</f>
        <v>205.10499999999971</v>
      </c>
      <c r="BZ189" s="13">
        <f>BY189*VLOOKUP('Données projet'!$B$12,Paramètres!$A$1:$I$89,3,0)*VLOOKUP('Données projet'!$B$12,Paramètres!$A$1:$I$89,5,0)</f>
        <v>233.57357399999967</v>
      </c>
      <c r="CA189" s="13">
        <f t="shared" si="170"/>
        <v>57.054677066881858</v>
      </c>
      <c r="CB189" s="20">
        <f t="shared" si="171"/>
        <v>506.17753727481869</v>
      </c>
      <c r="CC189" s="59">
        <f t="shared" si="119"/>
        <v>799.510870608152</v>
      </c>
      <c r="CD189" s="59">
        <f ca="1">AVERAGE(OFFSET($CC$3,0,0,'Données projet'!$E$12+1,1))-AVERAGE(OFFSET($H$3,0,0,'Données projet'!$E$12+1,1))</f>
        <v>593.28343396240075</v>
      </c>
      <c r="CE189" s="59">
        <f t="shared" si="148"/>
        <v>289.66477662068695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108.13777574228497</v>
      </c>
      <c r="CL189" s="21">
        <f>EXP(-LN(2)/25)*CL188+(1-EXP(-LN(2)/25))/(LN(2)/25)*Calculateur!CG189*Calculateur!CI189*VLOOKUP('Données projet'!$B$12,Paramètres!$A$1:$I$89,3,0)*0.475*44/12</f>
        <v>42.206719454886894</v>
      </c>
      <c r="CM189" s="21">
        <f>EXP(-LN(2)/2)*CM188+(1-EXP(-LN(2)/2))/(LN(2)/2)*CG189*CJ189*VLOOKUP('Données projet'!$B$12,Paramètres!$A$1:$I$89,3,0)*0.475*44/12</f>
        <v>3.1629916327961252E-6</v>
      </c>
      <c r="CN189" s="22">
        <f t="shared" si="172"/>
        <v>150.3444983601635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7.9580786405131221E-13</v>
      </c>
      <c r="CU189" s="17">
        <f>CT189*VLOOKUP('Données projet'!$B$13,Paramètres!$A$1:$I$89,3,0)*VLOOKUP('Données projet'!$B$13,Paramètres!$A$1:$I$89,5,0)</f>
        <v>8.5660758486483253E-13</v>
      </c>
      <c r="CV189" s="13">
        <f t="shared" si="173"/>
        <v>1.0022086930673386E-11</v>
      </c>
      <c r="CW189" s="20">
        <f t="shared" si="174"/>
        <v>1.8947059614562397E-11</v>
      </c>
      <c r="CX189" s="59">
        <f t="shared" si="122"/>
        <v>293.33333333335224</v>
      </c>
      <c r="CY189" s="59">
        <f ca="1">AVERAGE(OFFSET($CX$3,0,0,'Données projet'!$E$13+1,1))-AVERAGE(OFFSET($H$3,0,0,'Données projet'!$E$13+1,1))</f>
        <v>747.18304127457918</v>
      </c>
      <c r="CZ189" s="59">
        <f t="shared" si="150"/>
        <v>327.03701004966723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172.78597478131331</v>
      </c>
      <c r="DG189" s="21">
        <f>EXP(-LN(2)/25)*DG188+(1-EXP(-LN(2)/25))/(LN(2)/25)*Calculateur!DB189*Calculateur!DD189*VLOOKUP('Données projet'!$B$13,Paramètres!$A$1:$I$89,3,0)*0.475*44/12</f>
        <v>28.178725410349696</v>
      </c>
      <c r="DH189" s="21">
        <f>EXP(-LN(2)/2)*DH188+(1-EXP(-LN(2)/2))/(LN(2)/2)*DB189*DE189*VLOOKUP('Données projet'!$B$13,Paramètres!$A$1:$I$89,3,0)*0.475*44/12</f>
        <v>4.4688031103641839</v>
      </c>
      <c r="DI189" s="22">
        <f t="shared" si="175"/>
        <v>205.43350330202719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353.37479213497227</v>
      </c>
      <c r="DU189" s="59">
        <f t="shared" si="152"/>
        <v>345.4750813433123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6.3703438820543807</v>
      </c>
      <c r="EB189" s="21">
        <f>EXP(-LN(2)/25)*EB188+(1-EXP(-LN(2)/25))/(LN(2)/25)*Calculateur!DW189*Calculateur!DY189*VLOOKUP('Données projet'!$B$14,Paramètres!$A$1:$I$89,3,0)*0.475*44/12</f>
        <v>2.7161338783052567</v>
      </c>
      <c r="EC189" s="21">
        <f>EXP(-LN(2)/2)*EC188+(1-EXP(-LN(2)/2))/(LN(2)/2)*DW189*DZ189*VLOOKUP('Données projet'!$B$14,Paramètres!$A$1:$I$89,3,0)*0.475*44/12</f>
        <v>6.9301588028648888E-15</v>
      </c>
      <c r="ED189" s="22">
        <f t="shared" si="178"/>
        <v>9.0864777603596441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-4.5474735088646412E-13</v>
      </c>
      <c r="EK189" s="17">
        <f>EJ189*VLOOKUP('Données projet'!$B$15,Paramètres!$A$1:$I$89,3,0)*VLOOKUP('Données projet'!$B$15,Paramètres!$A$1:$I$89,5,0)</f>
        <v>-2.1282176021486519E-13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433.05041777893922</v>
      </c>
      <c r="EP189" s="59">
        <f t="shared" si="154"/>
        <v>591.24088611958996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70.66726280754051</v>
      </c>
      <c r="EW189" s="21">
        <f>EXP(-LN(2)/25)*EW188+(1-EXP(-LN(2)/25))/(LN(2)/25)*Calculateur!ER189*Calculateur!ET189*VLOOKUP('Données projet'!$B$15,Paramètres!$A$1:$I$89,3,0)*0.475*44/12</f>
        <v>11.362387928521359</v>
      </c>
      <c r="EX189" s="21">
        <f>EXP(-LN(2)/2)*EX188+(1-EXP(-LN(2)/2))/(LN(2)/2)*ER189*EU189*VLOOKUP('Données projet'!$B$15,Paramètres!$A$1:$I$89,3,0)*0.475*44/12</f>
        <v>3.1445153069821604E-11</v>
      </c>
      <c r="EY189" s="22">
        <f t="shared" si="181"/>
        <v>82.029650736093316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-8.5265128291212022E-14</v>
      </c>
      <c r="FF189" s="17">
        <f>FE189*VLOOKUP('Données projet'!$B$16,Paramètres!$A$1:$I$89,3,0)*VLOOKUP('Données projet'!$B$16,Paramètres!$A$1:$I$89,5,0)</f>
        <v>-6.9167072069831198E-14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159.4660488566085</v>
      </c>
      <c r="FK189" s="59">
        <f t="shared" si="156"/>
        <v>135.33030558297088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</v>
      </c>
      <c r="FR189" s="21">
        <f>EXP(-LN(2)/25)*FR188+(1-EXP(-LN(2)/25))/(LN(2)/25)*Calculateur!FM189*Calculateur!FO189*VLOOKUP('Données projet'!$B$16,Paramètres!$A$1:$I$89,3,0)*0.475*44/12</f>
        <v>1.1298099032396358</v>
      </c>
      <c r="FS189" s="21">
        <f>EXP(-LN(2)/2)*FS188+(1-EXP(-LN(2)/2))/(LN(2)/2)*FM189*FP189*VLOOKUP('Données projet'!$B$16,Paramètres!$A$1:$I$89,3,0)*0.475*44/12</f>
        <v>8.897795006827882E-14</v>
      </c>
      <c r="FT189" s="22">
        <f t="shared" si="184"/>
        <v>1.1298099032397249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7.9580786405131221E-13</v>
      </c>
      <c r="O190" s="13">
        <f>N190*VLOOKUP('Données projet'!$B$9,Paramètres!$A$1:$I$89,3,0)*VLOOKUP('Données projet'!$B$9,Paramètres!$A$1:$I$89,5,0)</f>
        <v>8.0694917414803056E-13</v>
      </c>
      <c r="P190" s="13">
        <f t="shared" si="141"/>
        <v>9.5069530861628001E-12</v>
      </c>
      <c r="Q190" s="20">
        <f t="shared" si="162"/>
        <v>1.7963379770041364E-11</v>
      </c>
      <c r="R190" s="59">
        <f t="shared" si="109"/>
        <v>293.33333333335128</v>
      </c>
      <c r="S190" s="59">
        <f ca="1">AVERAGE(OFFSET($R$3,0,0,'Données projet'!$E$9+1,1))-AVERAGE(OFFSET($H$3,0,0,'Données projet'!$E$9+1,1))</f>
        <v>706.69239849991595</v>
      </c>
      <c r="T190" s="59">
        <f t="shared" si="142"/>
        <v>310.59887275116529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159.57758794663562</v>
      </c>
      <c r="AA190" s="21">
        <f>EXP(-LN(2)/25)*AA189+(1-EXP(-LN(2)/25))/(LN(2)/25)*Calculateur!V190*Calculateur!X190*VLOOKUP('Données projet'!$B$9,Paramètres!$A$1:$I$89,3,0)*0.475*44/12</f>
        <v>25.819296874488117</v>
      </c>
      <c r="AB190" s="21">
        <f>EXP(-LN(2)/2)*AB189+(1-EXP(-LN(2)/2))/(LN(2)/2)*V190*Y190*VLOOKUP('Données projet'!$B$9,Paramètres!$A$1:$I$89,3,0)*0.475*44/12</f>
        <v>2.9767371580172939</v>
      </c>
      <c r="AC190" s="22">
        <f t="shared" si="163"/>
        <v>188.37362197914103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239.26156489359892</v>
      </c>
      <c r="AO190" s="59">
        <f t="shared" si="144"/>
        <v>213.97034450798111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1.5838193046121385</v>
      </c>
      <c r="AV190" s="21">
        <f>EXP(-LN(2)/25)*AV189+(1-EXP(-LN(2)/25))/(LN(2)/25)*Calculateur!AQ190*Calculateur!AS190*VLOOKUP('Données projet'!$B$10,Paramètres!$A$1:$I$89,3,0)*0.475*44/12</f>
        <v>4.3376298575241767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5.921449162136315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-1.7053025658242404E-13</v>
      </c>
      <c r="BE190" s="13">
        <f>BD190*VLOOKUP('Données projet'!$B$11,Paramètres!$A$1:$I$89,3,0)*VLOOKUP('Données projet'!$B$11,Paramètres!$A$1:$I$89,5,0)</f>
        <v>-1.4897523215040567E-13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324.86930206492627</v>
      </c>
      <c r="BJ190" s="59">
        <f t="shared" si="146"/>
        <v>317.03005098025352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5.5357769832394395</v>
      </c>
      <c r="BQ190" s="21">
        <f>EXP(-LN(2)/25)*BQ189+(1-EXP(-LN(2)/25))/(LN(2)/25)*Calculateur!BL190*Calculateur!BN190*VLOOKUP('Données projet'!$B$11,Paramètres!$A$1:$I$89,3,0)*0.475*44/12</f>
        <v>2.3943447242385729</v>
      </c>
      <c r="BR190" s="21">
        <f>EXP(-LN(2)/2)*BR189+(1-EXP(-LN(2)/2))/(LN(2)/2)*BL190*BO190*VLOOKUP('Données projet'!$B$11,Paramètres!$A$1:$I$89,3,0)*0.475*44/12</f>
        <v>4.4807305666511794E-15</v>
      </c>
      <c r="BS190" s="22">
        <f t="shared" si="169"/>
        <v>7.9301217074780164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3.0825000000000031</v>
      </c>
      <c r="BY190" s="12">
        <f>IF('Données projet'!$A$114&gt;35,BY189+BX190-CG189,IF(A190&lt;'Données projet'!$A$114,$BV$205^A190,IF(A190='Données projet'!$A$114,'Données projet'!$B$114,BY189+BX190-CG189)))</f>
        <v>208.18749999999972</v>
      </c>
      <c r="BZ190" s="13">
        <f>BY190*VLOOKUP('Données projet'!$B$12,Paramètres!$A$1:$I$89,3,0)*VLOOKUP('Données projet'!$B$12,Paramètres!$A$1:$I$89,5,0)</f>
        <v>237.08392499999965</v>
      </c>
      <c r="CA190" s="13">
        <f t="shared" si="170"/>
        <v>57.81167705130656</v>
      </c>
      <c r="CB190" s="20">
        <f t="shared" si="171"/>
        <v>513.60984023935839</v>
      </c>
      <c r="CC190" s="59">
        <f t="shared" si="119"/>
        <v>806.94317357269165</v>
      </c>
      <c r="CD190" s="59">
        <f ca="1">AVERAGE(OFFSET($CC$3,0,0,'Données projet'!$E$12+1,1))-AVERAGE(OFFSET($H$3,0,0,'Données projet'!$E$12+1,1))</f>
        <v>593.28343396240075</v>
      </c>
      <c r="CE190" s="59">
        <f t="shared" si="148"/>
        <v>289.66477662068695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106.01725991750921</v>
      </c>
      <c r="CL190" s="21">
        <f>EXP(-LN(2)/25)*CL189+(1-EXP(-LN(2)/25))/(LN(2)/25)*Calculateur!CG190*Calculateur!CI190*VLOOKUP('Données projet'!$B$12,Paramètres!$A$1:$I$89,3,0)*0.475*44/12</f>
        <v>41.052574491838101</v>
      </c>
      <c r="CM190" s="21">
        <f>EXP(-LN(2)/2)*CM189+(1-EXP(-LN(2)/2))/(LN(2)/2)*CG190*CJ190*VLOOKUP('Données projet'!$B$12,Paramètres!$A$1:$I$89,3,0)*0.475*44/12</f>
        <v>2.2365728323864503E-6</v>
      </c>
      <c r="CN190" s="22">
        <f t="shared" si="172"/>
        <v>147.06983664592016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7.9580786405131221E-13</v>
      </c>
      <c r="CU190" s="17">
        <f>CT190*VLOOKUP('Données projet'!$B$13,Paramètres!$A$1:$I$89,3,0)*VLOOKUP('Données projet'!$B$13,Paramètres!$A$1:$I$89,5,0)</f>
        <v>8.5660758486483253E-13</v>
      </c>
      <c r="CV190" s="13">
        <f t="shared" si="173"/>
        <v>1.0022086930673386E-11</v>
      </c>
      <c r="CW190" s="20">
        <f t="shared" si="174"/>
        <v>1.8947059614562397E-11</v>
      </c>
      <c r="CX190" s="59">
        <f t="shared" si="122"/>
        <v>293.33333333335224</v>
      </c>
      <c r="CY190" s="59">
        <f ca="1">AVERAGE(OFFSET($CX$3,0,0,'Données projet'!$E$13+1,1))-AVERAGE(OFFSET($H$3,0,0,'Données projet'!$E$13+1,1))</f>
        <v>747.18304127457918</v>
      </c>
      <c r="CZ190" s="59">
        <f t="shared" si="150"/>
        <v>327.03701004966723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169.39774720489007</v>
      </c>
      <c r="DG190" s="21">
        <f>EXP(-LN(2)/25)*DG189+(1-EXP(-LN(2)/25))/(LN(2)/25)*Calculateur!DB190*Calculateur!DD190*VLOOKUP('Données projet'!$B$13,Paramètres!$A$1:$I$89,3,0)*0.475*44/12</f>
        <v>27.408176682148916</v>
      </c>
      <c r="DH190" s="21">
        <f>EXP(-LN(2)/2)*DH189+(1-EXP(-LN(2)/2))/(LN(2)/2)*DB190*DE190*VLOOKUP('Données projet'!$B$13,Paramètres!$A$1:$I$89,3,0)*0.475*44/12</f>
        <v>3.15992098312605</v>
      </c>
      <c r="DI190" s="22">
        <f t="shared" si="175"/>
        <v>199.96584487016503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353.37479213497227</v>
      </c>
      <c r="DU190" s="59">
        <f t="shared" si="152"/>
        <v>345.4750813433123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6.2454253240533983</v>
      </c>
      <c r="EB190" s="21">
        <f>EXP(-LN(2)/25)*EB189+(1-EXP(-LN(2)/25))/(LN(2)/25)*Calculateur!DW190*Calculateur!DY190*VLOOKUP('Données projet'!$B$14,Paramètres!$A$1:$I$89,3,0)*0.475*44/12</f>
        <v>2.6418610545677264</v>
      </c>
      <c r="EC190" s="21">
        <f>EXP(-LN(2)/2)*EC189+(1-EXP(-LN(2)/2))/(LN(2)/2)*DW190*DZ190*VLOOKUP('Données projet'!$B$14,Paramètres!$A$1:$I$89,3,0)*0.475*44/12</f>
        <v>4.900362284205409E-15</v>
      </c>
      <c r="ED190" s="22">
        <f t="shared" si="178"/>
        <v>8.8872863786211305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-4.5474735088646412E-13</v>
      </c>
      <c r="EK190" s="17">
        <f>EJ190*VLOOKUP('Données projet'!$B$15,Paramètres!$A$1:$I$89,3,0)*VLOOKUP('Données projet'!$B$15,Paramètres!$A$1:$I$89,5,0)</f>
        <v>-2.1282176021486519E-13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433.05041777893922</v>
      </c>
      <c r="EP190" s="59">
        <f t="shared" si="154"/>
        <v>591.24088611958996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69.28152088665891</v>
      </c>
      <c r="EW190" s="21">
        <f>EXP(-LN(2)/25)*EW189+(1-EXP(-LN(2)/25))/(LN(2)/25)*Calculateur!ER190*Calculateur!ET190*VLOOKUP('Données projet'!$B$15,Paramètres!$A$1:$I$89,3,0)*0.475*44/12</f>
        <v>11.051682833093931</v>
      </c>
      <c r="EX190" s="21">
        <f>EXP(-LN(2)/2)*EX189+(1-EXP(-LN(2)/2))/(LN(2)/2)*ER190*EU190*VLOOKUP('Données projet'!$B$15,Paramètres!$A$1:$I$89,3,0)*0.475*44/12</f>
        <v>2.2235080971119838E-11</v>
      </c>
      <c r="EY190" s="22">
        <f t="shared" si="181"/>
        <v>80.333203719775085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-8.5265128291212022E-14</v>
      </c>
      <c r="FF190" s="17">
        <f>FE190*VLOOKUP('Données projet'!$B$16,Paramètres!$A$1:$I$89,3,0)*VLOOKUP('Données projet'!$B$16,Paramètres!$A$1:$I$89,5,0)</f>
        <v>-6.9167072069831198E-14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159.4660488566085</v>
      </c>
      <c r="FK190" s="59">
        <f t="shared" si="156"/>
        <v>135.33030558297088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</v>
      </c>
      <c r="FR190" s="21">
        <f>EXP(-LN(2)/25)*FR189+(1-EXP(-LN(2)/25))/(LN(2)/25)*Calculateur!FM190*Calculateur!FO190*VLOOKUP('Données projet'!$B$16,Paramètres!$A$1:$I$89,3,0)*0.475*44/12</f>
        <v>1.0989151920214273</v>
      </c>
      <c r="FS190" s="21">
        <f>EXP(-LN(2)/2)*FS189+(1-EXP(-LN(2)/2))/(LN(2)/2)*FM190*FP190*VLOOKUP('Données projet'!$B$16,Paramètres!$A$1:$I$89,3,0)*0.475*44/12</f>
        <v>6.2916911869357981E-14</v>
      </c>
      <c r="FT190" s="22">
        <f t="shared" si="184"/>
        <v>1.0989151920214901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7.9580786405131221E-13</v>
      </c>
      <c r="O191" s="13">
        <f>N191*VLOOKUP('Données projet'!$B$9,Paramètres!$A$1:$I$89,3,0)*VLOOKUP('Données projet'!$B$9,Paramètres!$A$1:$I$89,5,0)</f>
        <v>8.0694917414803056E-13</v>
      </c>
      <c r="P191" s="13">
        <f t="shared" si="141"/>
        <v>9.5069530861628001E-12</v>
      </c>
      <c r="Q191" s="20">
        <f t="shared" si="162"/>
        <v>1.7963379770041364E-11</v>
      </c>
      <c r="R191" s="59">
        <f t="shared" si="109"/>
        <v>293.33333333335128</v>
      </c>
      <c r="S191" s="59">
        <f ca="1">AVERAGE(OFFSET($R$3,0,0,'Données projet'!$E$9+1,1))-AVERAGE(OFFSET($H$3,0,0,'Données projet'!$E$9+1,1))</f>
        <v>706.69239849991595</v>
      </c>
      <c r="T191" s="59">
        <f t="shared" si="142"/>
        <v>310.59887275116529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156.44836877971994</v>
      </c>
      <c r="AA191" s="21">
        <f>EXP(-LN(2)/25)*AA190+(1-EXP(-LN(2)/25))/(LN(2)/25)*Calculateur!V191*Calculateur!X191*VLOOKUP('Données projet'!$B$9,Paramètres!$A$1:$I$89,3,0)*0.475*44/12</f>
        <v>25.113266843677426</v>
      </c>
      <c r="AB191" s="21">
        <f>EXP(-LN(2)/2)*AB190+(1-EXP(-LN(2)/2))/(LN(2)/2)*V191*Y191*VLOOKUP('Données projet'!$B$9,Paramètres!$A$1:$I$89,3,0)*0.475*44/12</f>
        <v>2.1048710302439999</v>
      </c>
      <c r="AC191" s="22">
        <f t="shared" si="163"/>
        <v>183.66650665364136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239.26156489359892</v>
      </c>
      <c r="AO191" s="59">
        <f t="shared" si="144"/>
        <v>213.97034450798111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1.5527615740830822</v>
      </c>
      <c r="AV191" s="21">
        <f>EXP(-LN(2)/25)*AV190+(1-EXP(-LN(2)/25))/(LN(2)/25)*Calculateur!AQ191*Calculateur!AS191*VLOOKUP('Données projet'!$B$10,Paramètres!$A$1:$I$89,3,0)*0.475*44/12</f>
        <v>4.2190171409641373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5.7717787150472191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-1.7053025658242404E-13</v>
      </c>
      <c r="BE191" s="13">
        <f>BD191*VLOOKUP('Données projet'!$B$11,Paramètres!$A$1:$I$89,3,0)*VLOOKUP('Données projet'!$B$11,Paramètres!$A$1:$I$89,5,0)</f>
        <v>-1.4897523215040567E-13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324.86930206492627</v>
      </c>
      <c r="BJ191" s="59">
        <f t="shared" si="146"/>
        <v>317.03005098025352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5.4272237730886728</v>
      </c>
      <c r="BQ191" s="21">
        <f>EXP(-LN(2)/25)*BQ190+(1-EXP(-LN(2)/25))/(LN(2)/25)*Calculateur!BL191*Calculateur!BN191*VLOOKUP('Données projet'!$B$11,Paramètres!$A$1:$I$89,3,0)*0.475*44/12</f>
        <v>2.3288712418411524</v>
      </c>
      <c r="BR191" s="21">
        <f>EXP(-LN(2)/2)*BR190+(1-EXP(-LN(2)/2))/(LN(2)/2)*BL191*BO191*VLOOKUP('Données projet'!$B$11,Paramètres!$A$1:$I$89,3,0)*0.475*44/12</f>
        <v>3.1683549683488907E-15</v>
      </c>
      <c r="BS191" s="22">
        <f t="shared" si="169"/>
        <v>7.7560950149298282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>
        <f>VLOOKUP(A191,'Données projet'!$A$113:$I$133,2,0)</f>
        <v>211.27</v>
      </c>
      <c r="BW191" s="12">
        <f>VLOOKUP(A191,'Données projet'!$A$113:$I$133,9,0)</f>
        <v>3.0825000000000031</v>
      </c>
      <c r="BX191" s="12">
        <f t="array" ref="BX191">INDEX(BW:BW,MIN(IF(ISNUMBER(BW191:BW387),ROW(BW191:BW387),"")))</f>
        <v>3.0825000000000031</v>
      </c>
      <c r="BY191" s="12">
        <f>IF('Données projet'!$A$114&gt;35,BY190+BX191-CG190,IF(A191&lt;'Données projet'!$A$114,$BV$205^A191,IF(A191='Données projet'!$A$114,'Données projet'!$B$114,BY190+BX191-CG190)))</f>
        <v>211.26999999999973</v>
      </c>
      <c r="BZ191" s="13">
        <f>BY191*VLOOKUP('Données projet'!$B$12,Paramètres!$A$1:$I$89,3,0)*VLOOKUP('Données projet'!$B$12,Paramètres!$A$1:$I$89,5,0)</f>
        <v>240.5942759999997</v>
      </c>
      <c r="CA191" s="13">
        <f t="shared" si="170"/>
        <v>58.56737344917299</v>
      </c>
      <c r="CB191" s="20">
        <f t="shared" si="171"/>
        <v>521.03987279064233</v>
      </c>
      <c r="CC191" s="59">
        <f t="shared" si="119"/>
        <v>814.37320612397571</v>
      </c>
      <c r="CD191" s="59">
        <f ca="1">AVERAGE(OFFSET($CC$3,0,0,'Données projet'!$E$12+1,1))-AVERAGE(OFFSET($H$3,0,0,'Données projet'!$E$12+1,1))</f>
        <v>593.28343396240075</v>
      </c>
      <c r="CE191" s="59">
        <f t="shared" si="148"/>
        <v>289.66477662068695</v>
      </c>
      <c r="CF191" s="15">
        <f>IF(ISNA(VLOOKUP(A191,'Données projet'!$A$113:$I$133,3,0)),0,VLOOKUP(A191,'Données projet'!$A$113:$I$133,3,0))</f>
        <v>15</v>
      </c>
      <c r="CG191" s="15">
        <f>IF(ISNA(VLOOKUP(A191,'Données projet'!$A$113:$I$133,4,0)),0,VLOOKUP(A191,'Données projet'!$A$113:$I$133,4,0))</f>
        <v>72.180000000000007</v>
      </c>
      <c r="CH191" s="16">
        <f>IF(ISNA(VLOOKUP(A191,'Données projet'!$A$113:$I$133,5,0)),0%,VLOOKUP(A191,'Données projet'!$A$113:$I$133,5,0)*VLOOKUP('Données projet'!$B$12,Paramètres!$A$1:$I$89,7,0))</f>
        <v>0.215</v>
      </c>
      <c r="CI191" s="16">
        <f>IF(ISNA(VLOOKUP(A191,'Données projet'!$A$113:$I$133,6,0)),0%,VLOOKUP(A191,'Données projet'!$A$113:$I$133,6,0)*VLOOKUP('Données projet'!$B$12,Paramètres!$A$1:$I$89,7,0))</f>
        <v>8.6000000000000007E-2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123.47496758275383</v>
      </c>
      <c r="CL191" s="21">
        <f>EXP(-LN(2)/25)*CL190+(1-EXP(-LN(2)/25))/(LN(2)/25)*Calculateur!CG191*Calculateur!CI191*VLOOKUP('Données projet'!$B$12,Paramètres!$A$1:$I$89,3,0)*0.475*44/12</f>
        <v>47.713876990129577</v>
      </c>
      <c r="CM191" s="21">
        <f>EXP(-LN(2)/2)*CM190+(1-EXP(-LN(2)/2))/(LN(2)/2)*CG191*CJ191*VLOOKUP('Données projet'!$B$12,Paramètres!$A$1:$I$89,3,0)*0.475*44/12</f>
        <v>1.5814958163980626E-6</v>
      </c>
      <c r="CN191" s="22">
        <f t="shared" si="172"/>
        <v>171.18884615437921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7.9580786405131221E-13</v>
      </c>
      <c r="CU191" s="17">
        <f>CT191*VLOOKUP('Données projet'!$B$13,Paramètres!$A$1:$I$89,3,0)*VLOOKUP('Données projet'!$B$13,Paramètres!$A$1:$I$89,5,0)</f>
        <v>8.5660758486483253E-13</v>
      </c>
      <c r="CV191" s="13">
        <f t="shared" si="173"/>
        <v>1.0022086930673386E-11</v>
      </c>
      <c r="CW191" s="20">
        <f t="shared" si="174"/>
        <v>1.8947059614562397E-11</v>
      </c>
      <c r="CX191" s="59">
        <f t="shared" si="122"/>
        <v>293.33333333335224</v>
      </c>
      <c r="CY191" s="59">
        <f ca="1">AVERAGE(OFFSET($CX$3,0,0,'Données projet'!$E$13+1,1))-AVERAGE(OFFSET($H$3,0,0,'Données projet'!$E$13+1,1))</f>
        <v>747.18304127457918</v>
      </c>
      <c r="CZ191" s="59">
        <f t="shared" si="150"/>
        <v>327.03701004966723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166.07596070462571</v>
      </c>
      <c r="DG191" s="21">
        <f>EXP(-LN(2)/25)*DG190+(1-EXP(-LN(2)/25))/(LN(2)/25)*Calculateur!DB191*Calculateur!DD191*VLOOKUP('Données projet'!$B$13,Paramètres!$A$1:$I$89,3,0)*0.475*44/12</f>
        <v>26.658698649442183</v>
      </c>
      <c r="DH191" s="21">
        <f>EXP(-LN(2)/2)*DH190+(1-EXP(-LN(2)/2))/(LN(2)/2)*DB191*DE191*VLOOKUP('Données projet'!$B$13,Paramètres!$A$1:$I$89,3,0)*0.475*44/12</f>
        <v>2.2344015551820919</v>
      </c>
      <c r="DI191" s="22">
        <f t="shared" si="175"/>
        <v>194.96906090925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353.37479213497227</v>
      </c>
      <c r="DU191" s="59">
        <f t="shared" si="152"/>
        <v>345.4750813433123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6.1229563427820182</v>
      </c>
      <c r="EB191" s="21">
        <f>EXP(-LN(2)/25)*EB190+(1-EXP(-LN(2)/25))/(LN(2)/25)*Calculateur!DW191*Calculateur!DY191*VLOOKUP('Données projet'!$B$14,Paramètres!$A$1:$I$89,3,0)*0.475*44/12</f>
        <v>2.5696192251011372</v>
      </c>
      <c r="EC191" s="21">
        <f>EXP(-LN(2)/2)*EC190+(1-EXP(-LN(2)/2))/(LN(2)/2)*DW191*DZ191*VLOOKUP('Données projet'!$B$14,Paramètres!$A$1:$I$89,3,0)*0.475*44/12</f>
        <v>3.4650794014324444E-15</v>
      </c>
      <c r="ED191" s="22">
        <f t="shared" si="178"/>
        <v>8.6925755678831589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-4.5474735088646412E-13</v>
      </c>
      <c r="EK191" s="17">
        <f>EJ191*VLOOKUP('Données projet'!$B$15,Paramètres!$A$1:$I$89,3,0)*VLOOKUP('Données projet'!$B$15,Paramètres!$A$1:$I$89,5,0)</f>
        <v>-2.1282176021486519E-13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433.05041777893922</v>
      </c>
      <c r="EP191" s="59">
        <f t="shared" si="154"/>
        <v>591.24088611958996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67.922952519626676</v>
      </c>
      <c r="EW191" s="21">
        <f>EXP(-LN(2)/25)*EW190+(1-EXP(-LN(2)/25))/(LN(2)/25)*Calculateur!ER191*Calculateur!ET191*VLOOKUP('Données projet'!$B$15,Paramètres!$A$1:$I$89,3,0)*0.475*44/12</f>
        <v>10.749473984840236</v>
      </c>
      <c r="EX191" s="21">
        <f>EXP(-LN(2)/2)*EX190+(1-EXP(-LN(2)/2))/(LN(2)/2)*ER191*EU191*VLOOKUP('Données projet'!$B$15,Paramètres!$A$1:$I$89,3,0)*0.475*44/12</f>
        <v>1.5722576534910802E-11</v>
      </c>
      <c r="EY191" s="22">
        <f t="shared" si="181"/>
        <v>78.67242650448263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-8.5265128291212022E-14</v>
      </c>
      <c r="FF191" s="17">
        <f>FE191*VLOOKUP('Données projet'!$B$16,Paramètres!$A$1:$I$89,3,0)*VLOOKUP('Données projet'!$B$16,Paramètres!$A$1:$I$89,5,0)</f>
        <v>-6.9167072069831198E-14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159.4660488566085</v>
      </c>
      <c r="FK191" s="59">
        <f t="shared" si="156"/>
        <v>135.33030558297088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</v>
      </c>
      <c r="FR191" s="21">
        <f>EXP(-LN(2)/25)*FR190+(1-EXP(-LN(2)/25))/(LN(2)/25)*Calculateur!FM191*Calculateur!FO191*VLOOKUP('Données projet'!$B$16,Paramètres!$A$1:$I$89,3,0)*0.475*44/12</f>
        <v>1.0688652983061631</v>
      </c>
      <c r="FS191" s="21">
        <f>EXP(-LN(2)/2)*FS190+(1-EXP(-LN(2)/2))/(LN(2)/2)*FM191*FP191*VLOOKUP('Données projet'!$B$16,Paramètres!$A$1:$I$89,3,0)*0.475*44/12</f>
        <v>4.448897503413941E-14</v>
      </c>
      <c r="FT191" s="22">
        <f t="shared" si="184"/>
        <v>1.0688652983062075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7.9580786405131221E-13</v>
      </c>
      <c r="O192" s="13">
        <f>N192*VLOOKUP('Données projet'!$B$9,Paramètres!$A$1:$I$89,3,0)*VLOOKUP('Données projet'!$B$9,Paramètres!$A$1:$I$89,5,0)</f>
        <v>8.0694917414803056E-13</v>
      </c>
      <c r="P192" s="13">
        <f t="shared" si="141"/>
        <v>9.5069530861628001E-12</v>
      </c>
      <c r="Q192" s="20">
        <f t="shared" si="162"/>
        <v>1.7963379770041364E-11</v>
      </c>
      <c r="R192" s="59">
        <f t="shared" si="109"/>
        <v>293.33333333335128</v>
      </c>
      <c r="S192" s="59">
        <f ca="1">AVERAGE(OFFSET($R$3,0,0,'Données projet'!$E$9+1,1))-AVERAGE(OFFSET($H$3,0,0,'Données projet'!$E$9+1,1))</f>
        <v>706.69239849991595</v>
      </c>
      <c r="T192" s="59">
        <f t="shared" si="142"/>
        <v>310.59887275116529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153.38051169203226</v>
      </c>
      <c r="AA192" s="21">
        <f>EXP(-LN(2)/25)*AA191+(1-EXP(-LN(2)/25))/(LN(2)/25)*Calculateur!V192*Calculateur!X192*VLOOKUP('Données projet'!$B$9,Paramètres!$A$1:$I$89,3,0)*0.475*44/12</f>
        <v>24.426543241187762</v>
      </c>
      <c r="AB192" s="21">
        <f>EXP(-LN(2)/2)*AB191+(1-EXP(-LN(2)/2))/(LN(2)/2)*V192*Y192*VLOOKUP('Données projet'!$B$9,Paramètres!$A$1:$I$89,3,0)*0.475*44/12</f>
        <v>1.4883685790086469</v>
      </c>
      <c r="AC192" s="22">
        <f t="shared" si="163"/>
        <v>179.29542351222867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239.26156489359892</v>
      </c>
      <c r="AO192" s="59">
        <f t="shared" si="144"/>
        <v>213.97034450798111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1.5223128667063557</v>
      </c>
      <c r="AV192" s="21">
        <f>EXP(-LN(2)/25)*AV191+(1-EXP(-LN(2)/25))/(LN(2)/25)*Calculateur!AQ192*Calculateur!AS192*VLOOKUP('Données projet'!$B$10,Paramètres!$A$1:$I$89,3,0)*0.475*44/12</f>
        <v>4.1036478953760041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5.62596076208236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-1.7053025658242404E-13</v>
      </c>
      <c r="BE192" s="13">
        <f>BD192*VLOOKUP('Données projet'!$B$11,Paramètres!$A$1:$I$89,3,0)*VLOOKUP('Données projet'!$B$11,Paramètres!$A$1:$I$89,5,0)</f>
        <v>-1.4897523215040567E-13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324.86930206492627</v>
      </c>
      <c r="BJ192" s="59">
        <f t="shared" si="146"/>
        <v>317.03005098025352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5.3207992251780425</v>
      </c>
      <c r="BQ192" s="21">
        <f>EXP(-LN(2)/25)*BQ191+(1-EXP(-LN(2)/25))/(LN(2)/25)*Calculateur!BL192*Calculateur!BN192*VLOOKUP('Données projet'!$B$11,Paramètres!$A$1:$I$89,3,0)*0.475*44/12</f>
        <v>2.2651881352629903</v>
      </c>
      <c r="BR192" s="21">
        <f>EXP(-LN(2)/2)*BR191+(1-EXP(-LN(2)/2))/(LN(2)/2)*BL192*BO192*VLOOKUP('Données projet'!$B$11,Paramètres!$A$1:$I$89,3,0)*0.475*44/12</f>
        <v>2.2403652833255897E-15</v>
      </c>
      <c r="BS192" s="22">
        <f t="shared" si="169"/>
        <v>7.5859873604410355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1.9733333333333292</v>
      </c>
      <c r="BY192" s="12">
        <f>IF('Données projet'!$A$114&gt;35,BY191+BX192-CG191,IF(A192&lt;'Données projet'!$A$114,$BV$205^A192,IF(A192='Données projet'!$A$114,'Données projet'!$B$114,BY191+BX192-CG191)))</f>
        <v>141.06333333333305</v>
      </c>
      <c r="BZ192" s="13">
        <f>BY192*VLOOKUP('Données projet'!$B$12,Paramètres!$A$1:$I$89,3,0)*VLOOKUP('Données projet'!$B$12,Paramètres!$A$1:$I$89,5,0)</f>
        <v>160.64292399999968</v>
      </c>
      <c r="CA192" s="13">
        <f t="shared" si="170"/>
        <v>40.987494846781502</v>
      </c>
      <c r="CB192" s="20">
        <f t="shared" si="171"/>
        <v>351.17297949147724</v>
      </c>
      <c r="CC192" s="59">
        <f t="shared" si="119"/>
        <v>644.50631282481049</v>
      </c>
      <c r="CD192" s="59">
        <f ca="1">AVERAGE(OFFSET($CC$3,0,0,'Données projet'!$E$12+1,1))-AVERAGE(OFFSET($H$3,0,0,'Données projet'!$E$12+1,1))</f>
        <v>593.28343396240075</v>
      </c>
      <c r="CE192" s="59">
        <f t="shared" si="148"/>
        <v>289.66477662068695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121.05369878074978</v>
      </c>
      <c r="CL192" s="21">
        <f>EXP(-LN(2)/25)*CL191+(1-EXP(-LN(2)/25))/(LN(2)/25)*Calculateur!CG192*Calculateur!CI192*VLOOKUP('Données projet'!$B$12,Paramètres!$A$1:$I$89,3,0)*0.475*44/12</f>
        <v>46.409138514670744</v>
      </c>
      <c r="CM192" s="21">
        <f>EXP(-LN(2)/2)*CM191+(1-EXP(-LN(2)/2))/(LN(2)/2)*CG192*CJ192*VLOOKUP('Données projet'!$B$12,Paramètres!$A$1:$I$89,3,0)*0.475*44/12</f>
        <v>1.1182864161932252E-6</v>
      </c>
      <c r="CN192" s="22">
        <f t="shared" si="172"/>
        <v>167.46283841370692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7.9580786405131221E-13</v>
      </c>
      <c r="CU192" s="17">
        <f>CT192*VLOOKUP('Données projet'!$B$13,Paramètres!$A$1:$I$89,3,0)*VLOOKUP('Données projet'!$B$13,Paramètres!$A$1:$I$89,5,0)</f>
        <v>8.5660758486483253E-13</v>
      </c>
      <c r="CV192" s="13">
        <f t="shared" si="173"/>
        <v>1.0022086930673386E-11</v>
      </c>
      <c r="CW192" s="20">
        <f t="shared" si="174"/>
        <v>1.8947059614562397E-11</v>
      </c>
      <c r="CX192" s="59">
        <f t="shared" si="122"/>
        <v>293.33333333335224</v>
      </c>
      <c r="CY192" s="59">
        <f ca="1">AVERAGE(OFFSET($CX$3,0,0,'Données projet'!$E$13+1,1))-AVERAGE(OFFSET($H$3,0,0,'Données projet'!$E$13+1,1))</f>
        <v>747.18304127457918</v>
      </c>
      <c r="CZ192" s="59">
        <f t="shared" si="150"/>
        <v>327.03701004966723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162.81931241154186</v>
      </c>
      <c r="DG192" s="21">
        <f>EXP(-LN(2)/25)*DG191+(1-EXP(-LN(2)/25))/(LN(2)/25)*Calculateur!DB192*Calculateur!DD192*VLOOKUP('Données projet'!$B$13,Paramètres!$A$1:$I$89,3,0)*0.475*44/12</f>
        <v>25.929715132953152</v>
      </c>
      <c r="DH192" s="21">
        <f>EXP(-LN(2)/2)*DH191+(1-EXP(-LN(2)/2))/(LN(2)/2)*DB192*DE192*VLOOKUP('Données projet'!$B$13,Paramètres!$A$1:$I$89,3,0)*0.475*44/12</f>
        <v>1.579960491563025</v>
      </c>
      <c r="DI192" s="22">
        <f t="shared" si="175"/>
        <v>190.32898803605804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353.37479213497227</v>
      </c>
      <c r="DU192" s="59">
        <f t="shared" si="152"/>
        <v>345.4750813433123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6.0028889035346671</v>
      </c>
      <c r="EB192" s="21">
        <f>EXP(-LN(2)/25)*EB191+(1-EXP(-LN(2)/25))/(LN(2)/25)*Calculateur!DW192*Calculateur!DY192*VLOOKUP('Données projet'!$B$14,Paramètres!$A$1:$I$89,3,0)*0.475*44/12</f>
        <v>2.4993528522603445</v>
      </c>
      <c r="EC192" s="21">
        <f>EXP(-LN(2)/2)*EC191+(1-EXP(-LN(2)/2))/(LN(2)/2)*DW192*DZ192*VLOOKUP('Données projet'!$B$14,Paramètres!$A$1:$I$89,3,0)*0.475*44/12</f>
        <v>2.4501811421027045E-15</v>
      </c>
      <c r="ED192" s="22">
        <f t="shared" si="178"/>
        <v>8.5022417557950138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-4.5474735088646412E-13</v>
      </c>
      <c r="EK192" s="17">
        <f>EJ192*VLOOKUP('Données projet'!$B$15,Paramètres!$A$1:$I$89,3,0)*VLOOKUP('Données projet'!$B$15,Paramètres!$A$1:$I$89,5,0)</f>
        <v>-2.1282176021486519E-13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433.05041777893922</v>
      </c>
      <c r="EP192" s="59">
        <f t="shared" si="154"/>
        <v>591.24088611958996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66.591024849627075</v>
      </c>
      <c r="EW192" s="21">
        <f>EXP(-LN(2)/25)*EW191+(1-EXP(-LN(2)/25))/(LN(2)/25)*Calculateur!ER192*Calculateur!ET192*VLOOKUP('Données projet'!$B$15,Paramètres!$A$1:$I$89,3,0)*0.475*44/12</f>
        <v>10.45552905343451</v>
      </c>
      <c r="EX192" s="21">
        <f>EXP(-LN(2)/2)*EX191+(1-EXP(-LN(2)/2))/(LN(2)/2)*ER192*EU192*VLOOKUP('Données projet'!$B$15,Paramètres!$A$1:$I$89,3,0)*0.475*44/12</f>
        <v>1.1117540485559919E-11</v>
      </c>
      <c r="EY192" s="22">
        <f t="shared" si="181"/>
        <v>77.046553903072692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-8.5265128291212022E-14</v>
      </c>
      <c r="FF192" s="17">
        <f>FE192*VLOOKUP('Données projet'!$B$16,Paramètres!$A$1:$I$89,3,0)*VLOOKUP('Données projet'!$B$16,Paramètres!$A$1:$I$89,5,0)</f>
        <v>-6.9167072069831198E-14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159.4660488566085</v>
      </c>
      <c r="FK192" s="59">
        <f t="shared" si="156"/>
        <v>135.33030558297088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</v>
      </c>
      <c r="FR192" s="21">
        <f>EXP(-LN(2)/25)*FR191+(1-EXP(-LN(2)/25))/(LN(2)/25)*Calculateur!FM192*Calculateur!FO192*VLOOKUP('Données projet'!$B$16,Paramètres!$A$1:$I$89,3,0)*0.475*44/12</f>
        <v>1.0396371205147978</v>
      </c>
      <c r="FS192" s="21">
        <f>EXP(-LN(2)/2)*FS191+(1-EXP(-LN(2)/2))/(LN(2)/2)*FM192*FP192*VLOOKUP('Données projet'!$B$16,Paramètres!$A$1:$I$89,3,0)*0.475*44/12</f>
        <v>3.1458455934678991E-14</v>
      </c>
      <c r="FT192" s="22">
        <f t="shared" si="184"/>
        <v>1.0396371205148294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7.9580786405131221E-13</v>
      </c>
      <c r="O193" s="13">
        <f>N193*VLOOKUP('Données projet'!$B$9,Paramètres!$A$1:$I$89,3,0)*VLOOKUP('Données projet'!$B$9,Paramètres!$A$1:$I$89,5,0)</f>
        <v>8.0694917414803056E-13</v>
      </c>
      <c r="P193" s="13">
        <f t="shared" si="141"/>
        <v>9.5069530861628001E-12</v>
      </c>
      <c r="Q193" s="20">
        <f t="shared" si="162"/>
        <v>1.7963379770041364E-11</v>
      </c>
      <c r="R193" s="59">
        <f t="shared" si="109"/>
        <v>293.33333333335128</v>
      </c>
      <c r="S193" s="59">
        <f ca="1">AVERAGE(OFFSET($R$3,0,0,'Données projet'!$E$9+1,1))-AVERAGE(OFFSET($H$3,0,0,'Données projet'!$E$9+1,1))</f>
        <v>706.69239849991595</v>
      </c>
      <c r="T193" s="59">
        <f t="shared" si="142"/>
        <v>310.59887275116529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150.37281341062607</v>
      </c>
      <c r="AA193" s="21">
        <f>EXP(-LN(2)/25)*AA192+(1-EXP(-LN(2)/25))/(LN(2)/25)*Calculateur!V193*Calculateur!X193*VLOOKUP('Données projet'!$B$9,Paramètres!$A$1:$I$89,3,0)*0.475*44/12</f>
        <v>23.758598131721403</v>
      </c>
      <c r="AB193" s="21">
        <f>EXP(-LN(2)/2)*AB192+(1-EXP(-LN(2)/2))/(LN(2)/2)*V193*Y193*VLOOKUP('Données projet'!$B$9,Paramètres!$A$1:$I$89,3,0)*0.475*44/12</f>
        <v>1.052435515122</v>
      </c>
      <c r="AC193" s="22">
        <f t="shared" si="163"/>
        <v>175.18384705746948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239.26156489359892</v>
      </c>
      <c r="AO193" s="59">
        <f t="shared" si="144"/>
        <v>213.97034450798111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1.492461239909409</v>
      </c>
      <c r="AV193" s="21">
        <f>EXP(-LN(2)/25)*AV192+(1-EXP(-LN(2)/25))/(LN(2)/25)*Calculateur!AQ193*Calculateur!AS193*VLOOKUP('Données projet'!$B$10,Paramètres!$A$1:$I$89,3,0)*0.475*44/12</f>
        <v>3.9914334278754833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5.4838946677848925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-1.7053025658242404E-13</v>
      </c>
      <c r="BE193" s="13">
        <f>BD193*VLOOKUP('Données projet'!$B$11,Paramètres!$A$1:$I$89,3,0)*VLOOKUP('Données projet'!$B$11,Paramètres!$A$1:$I$89,5,0)</f>
        <v>-1.4897523215040567E-13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324.86930206492627</v>
      </c>
      <c r="BJ193" s="59">
        <f t="shared" si="146"/>
        <v>317.03005098025352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5.2164615977393751</v>
      </c>
      <c r="BQ193" s="21">
        <f>EXP(-LN(2)/25)*BQ192+(1-EXP(-LN(2)/25))/(LN(2)/25)*Calculateur!BL193*Calculateur!BN193*VLOOKUP('Données projet'!$B$11,Paramètres!$A$1:$I$89,3,0)*0.475*44/12</f>
        <v>2.2032464465831572</v>
      </c>
      <c r="BR193" s="21">
        <f>EXP(-LN(2)/2)*BR192+(1-EXP(-LN(2)/2))/(LN(2)/2)*BL193*BO193*VLOOKUP('Données projet'!$B$11,Paramètres!$A$1:$I$89,3,0)*0.475*44/12</f>
        <v>1.5841774841744453E-15</v>
      </c>
      <c r="BS193" s="22">
        <f t="shared" si="169"/>
        <v>7.4197080443225341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1.9733333333333292</v>
      </c>
      <c r="BY193" s="12">
        <f>IF('Données projet'!$A$114&gt;35,BY192+BX193-CG192,IF(A193&lt;'Données projet'!$A$114,$BV$205^A193,IF(A193='Données projet'!$A$114,'Données projet'!$B$114,BY192+BX193-CG192)))</f>
        <v>143.03666666666638</v>
      </c>
      <c r="BZ193" s="13">
        <f>BY193*VLOOKUP('Données projet'!$B$12,Paramètres!$A$1:$I$89,3,0)*VLOOKUP('Données projet'!$B$12,Paramètres!$A$1:$I$89,5,0)</f>
        <v>162.89015599999965</v>
      </c>
      <c r="CA193" s="13">
        <f t="shared" si="170"/>
        <v>41.493717402498838</v>
      </c>
      <c r="CB193" s="20">
        <f t="shared" si="171"/>
        <v>355.96857950935151</v>
      </c>
      <c r="CC193" s="59">
        <f t="shared" si="119"/>
        <v>649.30191284268483</v>
      </c>
      <c r="CD193" s="59">
        <f ca="1">AVERAGE(OFFSET($CC$3,0,0,'Données projet'!$E$12+1,1))-AVERAGE(OFFSET($H$3,0,0,'Données projet'!$E$12+1,1))</f>
        <v>593.28343396240075</v>
      </c>
      <c r="CE193" s="59">
        <f t="shared" si="148"/>
        <v>289.66477662068695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118.6799095831249</v>
      </c>
      <c r="CL193" s="21">
        <f>EXP(-LN(2)/25)*CL192+(1-EXP(-LN(2)/25))/(LN(2)/25)*Calculateur!CG193*Calculateur!CI193*VLOOKUP('Données projet'!$B$12,Paramètres!$A$1:$I$89,3,0)*0.475*44/12</f>
        <v>45.14007818143655</v>
      </c>
      <c r="CM193" s="21">
        <f>EXP(-LN(2)/2)*CM192+(1-EXP(-LN(2)/2))/(LN(2)/2)*CG193*CJ193*VLOOKUP('Données projet'!$B$12,Paramètres!$A$1:$I$89,3,0)*0.475*44/12</f>
        <v>7.9074790819903129E-7</v>
      </c>
      <c r="CN193" s="22">
        <f t="shared" si="172"/>
        <v>163.81998855530938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7.9580786405131221E-13</v>
      </c>
      <c r="CU193" s="17">
        <f>CT193*VLOOKUP('Données projet'!$B$13,Paramètres!$A$1:$I$89,3,0)*VLOOKUP('Données projet'!$B$13,Paramètres!$A$1:$I$89,5,0)</f>
        <v>8.5660758486483253E-13</v>
      </c>
      <c r="CV193" s="13">
        <f t="shared" si="173"/>
        <v>1.0022086930673386E-11</v>
      </c>
      <c r="CW193" s="20">
        <f t="shared" si="174"/>
        <v>1.8947059614562397E-11</v>
      </c>
      <c r="CX193" s="59">
        <f t="shared" si="122"/>
        <v>293.33333333335224</v>
      </c>
      <c r="CY193" s="59">
        <f ca="1">AVERAGE(OFFSET($CX$3,0,0,'Données projet'!$E$13+1,1))-AVERAGE(OFFSET($H$3,0,0,'Données projet'!$E$13+1,1))</f>
        <v>747.18304127457918</v>
      </c>
      <c r="CZ193" s="59">
        <f t="shared" si="150"/>
        <v>327.03701004966723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159.62652500512604</v>
      </c>
      <c r="DG193" s="21">
        <f>EXP(-LN(2)/25)*DG192+(1-EXP(-LN(2)/25))/(LN(2)/25)*Calculateur!DB193*Calculateur!DD193*VLOOKUP('Données projet'!$B$13,Paramètres!$A$1:$I$89,3,0)*0.475*44/12</f>
        <v>25.220665709058093</v>
      </c>
      <c r="DH193" s="21">
        <f>EXP(-LN(2)/2)*DH192+(1-EXP(-LN(2)/2))/(LN(2)/2)*DB193*DE193*VLOOKUP('Données projet'!$B$13,Paramètres!$A$1:$I$89,3,0)*0.475*44/12</f>
        <v>1.117200777591046</v>
      </c>
      <c r="DI193" s="22">
        <f t="shared" si="175"/>
        <v>185.96439149177519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353.37479213497227</v>
      </c>
      <c r="DU193" s="59">
        <f t="shared" si="152"/>
        <v>345.4750813433123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5.8851759135370498</v>
      </c>
      <c r="EB193" s="21">
        <f>EXP(-LN(2)/25)*EB192+(1-EXP(-LN(2)/25))/(LN(2)/25)*Calculateur!DW193*Calculateur!DY193*VLOOKUP('Données projet'!$B$14,Paramètres!$A$1:$I$89,3,0)*0.475*44/12</f>
        <v>2.4310079170800312</v>
      </c>
      <c r="EC193" s="21">
        <f>EXP(-LN(2)/2)*EC192+(1-EXP(-LN(2)/2))/(LN(2)/2)*DW193*DZ193*VLOOKUP('Données projet'!$B$14,Paramètres!$A$1:$I$89,3,0)*0.475*44/12</f>
        <v>1.7325397007162222E-15</v>
      </c>
      <c r="ED193" s="22">
        <f t="shared" si="178"/>
        <v>8.3161838306170832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-4.5474735088646412E-13</v>
      </c>
      <c r="EK193" s="17">
        <f>EJ193*VLOOKUP('Données projet'!$B$15,Paramètres!$A$1:$I$89,3,0)*VLOOKUP('Données projet'!$B$15,Paramètres!$A$1:$I$89,5,0)</f>
        <v>-2.1282176021486519E-13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433.05041777893922</v>
      </c>
      <c r="EP193" s="59">
        <f t="shared" si="154"/>
        <v>591.24088611958996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65.285215468840505</v>
      </c>
      <c r="EW193" s="21">
        <f>EXP(-LN(2)/25)*EW192+(1-EXP(-LN(2)/25))/(LN(2)/25)*Calculateur!ER193*Calculateur!ET193*VLOOKUP('Données projet'!$B$15,Paramètres!$A$1:$I$89,3,0)*0.475*44/12</f>
        <v>10.169622061635968</v>
      </c>
      <c r="EX193" s="21">
        <f>EXP(-LN(2)/2)*EX192+(1-EXP(-LN(2)/2))/(LN(2)/2)*ER193*EU193*VLOOKUP('Données projet'!$B$15,Paramètres!$A$1:$I$89,3,0)*0.475*44/12</f>
        <v>7.8612882674554009E-12</v>
      </c>
      <c r="EY193" s="22">
        <f t="shared" si="181"/>
        <v>75.454837530484326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-8.5265128291212022E-14</v>
      </c>
      <c r="FF193" s="17">
        <f>FE193*VLOOKUP('Données projet'!$B$16,Paramètres!$A$1:$I$89,3,0)*VLOOKUP('Données projet'!$B$16,Paramètres!$A$1:$I$89,5,0)</f>
        <v>-6.9167072069831198E-14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159.4660488566085</v>
      </c>
      <c r="FK193" s="59">
        <f t="shared" si="156"/>
        <v>135.33030558297088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</v>
      </c>
      <c r="FR193" s="21">
        <f>EXP(-LN(2)/25)*FR192+(1-EXP(-LN(2)/25))/(LN(2)/25)*Calculateur!FM193*Calculateur!FO193*VLOOKUP('Données projet'!$B$16,Paramètres!$A$1:$I$89,3,0)*0.475*44/12</f>
        <v>1.0112081887821807</v>
      </c>
      <c r="FS193" s="21">
        <f>EXP(-LN(2)/2)*FS192+(1-EXP(-LN(2)/2))/(LN(2)/2)*FM193*FP193*VLOOKUP('Données projet'!$B$16,Paramètres!$A$1:$I$89,3,0)*0.475*44/12</f>
        <v>2.2244487517069705E-14</v>
      </c>
      <c r="FT193" s="22">
        <f t="shared" si="184"/>
        <v>1.0112081887822029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7.9580786405131221E-13</v>
      </c>
      <c r="O194" s="13">
        <f>N194*VLOOKUP('Données projet'!$B$9,Paramètres!$A$1:$I$89,3,0)*VLOOKUP('Données projet'!$B$9,Paramètres!$A$1:$I$89,5,0)</f>
        <v>8.0694917414803056E-13</v>
      </c>
      <c r="P194" s="13">
        <f t="shared" si="141"/>
        <v>9.5069530861628001E-12</v>
      </c>
      <c r="Q194" s="20">
        <f t="shared" si="162"/>
        <v>1.7963379770041364E-11</v>
      </c>
      <c r="R194" s="59">
        <f t="shared" si="109"/>
        <v>293.33333333335128</v>
      </c>
      <c r="S194" s="59">
        <f ca="1">AVERAGE(OFFSET($R$3,0,0,'Données projet'!$E$9+1,1))-AVERAGE(OFFSET($H$3,0,0,'Données projet'!$E$9+1,1))</f>
        <v>706.69239849991595</v>
      </c>
      <c r="T194" s="59">
        <f t="shared" si="142"/>
        <v>310.59887275116529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147.42409425800344</v>
      </c>
      <c r="AA194" s="21">
        <f>EXP(-LN(2)/25)*AA193+(1-EXP(-LN(2)/25))/(LN(2)/25)*Calculateur!V194*Calculateur!X194*VLOOKUP('Données projet'!$B$9,Paramètres!$A$1:$I$89,3,0)*0.475*44/12</f>
        <v>23.108918016399105</v>
      </c>
      <c r="AB194" s="21">
        <f>EXP(-LN(2)/2)*AB193+(1-EXP(-LN(2)/2))/(LN(2)/2)*V194*Y194*VLOOKUP('Données projet'!$B$9,Paramètres!$A$1:$I$89,3,0)*0.475*44/12</f>
        <v>0.74418428950432347</v>
      </c>
      <c r="AC194" s="22">
        <f t="shared" si="163"/>
        <v>171.27719656390687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239.26156489359892</v>
      </c>
      <c r="AO194" s="59">
        <f t="shared" si="144"/>
        <v>213.97034450798111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1.463194985306256</v>
      </c>
      <c r="AV194" s="21">
        <f>EXP(-LN(2)/25)*AV193+(1-EXP(-LN(2)/25))/(LN(2)/25)*Calculateur!AQ194*Calculateur!AS194*VLOOKUP('Données projet'!$B$10,Paramètres!$A$1:$I$89,3,0)*0.475*44/12</f>
        <v>3.8822874708898669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5.3454824561961232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-1.7053025658242404E-13</v>
      </c>
      <c r="BE194" s="13">
        <f>BD194*VLOOKUP('Données projet'!$B$11,Paramètres!$A$1:$I$89,3,0)*VLOOKUP('Données projet'!$B$11,Paramètres!$A$1:$I$89,5,0)</f>
        <v>-1.4897523215040567E-13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324.86930206492627</v>
      </c>
      <c r="BJ194" s="59">
        <f t="shared" si="146"/>
        <v>317.03005098025352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5.1141699675351111</v>
      </c>
      <c r="BQ194" s="21">
        <f>EXP(-LN(2)/25)*BQ193+(1-EXP(-LN(2)/25))/(LN(2)/25)*Calculateur!BL194*Calculateur!BN194*VLOOKUP('Données projet'!$B$11,Paramètres!$A$1:$I$89,3,0)*0.475*44/12</f>
        <v>2.1429985566376457</v>
      </c>
      <c r="BR194" s="21">
        <f>EXP(-LN(2)/2)*BR193+(1-EXP(-LN(2)/2))/(LN(2)/2)*BL194*BO194*VLOOKUP('Données projet'!$B$11,Paramètres!$A$1:$I$89,3,0)*0.475*44/12</f>
        <v>1.1201826416627948E-15</v>
      </c>
      <c r="BS194" s="22">
        <f t="shared" si="169"/>
        <v>7.2571685241727577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>
        <f>VLOOKUP(A194,'Données projet'!$A$113:$I$133,2,0)</f>
        <v>145.01</v>
      </c>
      <c r="BW194" s="12">
        <f>VLOOKUP(A194,'Données projet'!$A$113:$I$133,9,0)</f>
        <v>1.9733333333333292</v>
      </c>
      <c r="BX194" s="12">
        <f t="array" ref="BX194">INDEX(BW:BW,MIN(IF(ISNUMBER(BW194:BW390),ROW(BW194:BW390),"")))</f>
        <v>1.9733333333333292</v>
      </c>
      <c r="BY194" s="12">
        <f>IF('Données projet'!$A$114&gt;35,BY193+BX194-CG193,IF(A194&lt;'Données projet'!$A$114,$BV$205^A194,IF(A194='Données projet'!$A$114,'Données projet'!$B$114,BY193+BX194-CG193)))</f>
        <v>145.00999999999971</v>
      </c>
      <c r="BZ194" s="13">
        <f>BY194*VLOOKUP('Données projet'!$B$12,Paramètres!$A$1:$I$89,3,0)*VLOOKUP('Données projet'!$B$12,Paramètres!$A$1:$I$89,5,0)</f>
        <v>165.13738799999967</v>
      </c>
      <c r="CA194" s="13">
        <f t="shared" si="170"/>
        <v>41.999127663831423</v>
      </c>
      <c r="CB194" s="20">
        <f t="shared" si="171"/>
        <v>360.76276478117251</v>
      </c>
      <c r="CC194" s="59">
        <f t="shared" si="119"/>
        <v>654.09609811450582</v>
      </c>
      <c r="CD194" s="59">
        <f ca="1">AVERAGE(OFFSET($CC$3,0,0,'Données projet'!$E$12+1,1))-AVERAGE(OFFSET($H$3,0,0,'Données projet'!$E$12+1,1))</f>
        <v>593.28343396240075</v>
      </c>
      <c r="CE194" s="59">
        <f t="shared" si="148"/>
        <v>289.66477662068695</v>
      </c>
      <c r="CF194" s="15">
        <f>IF(ISNA(VLOOKUP(A194,'Données projet'!$A$113:$I$133,3,0)),0,VLOOKUP(A194,'Données projet'!$A$113:$I$133,3,0))</f>
        <v>16</v>
      </c>
      <c r="CG194" s="15">
        <f>IF(ISNA(VLOOKUP(A194,'Données projet'!$A$113:$I$133,4,0)),0,VLOOKUP(A194,'Données projet'!$A$113:$I$133,4,0))</f>
        <v>145.01</v>
      </c>
      <c r="CH194" s="16">
        <f>IF(ISNA(VLOOKUP(A194,'Données projet'!$A$113:$I$133,5,0)),0%,VLOOKUP(A194,'Données projet'!$A$113:$I$133,5,0)*VLOOKUP('Données projet'!$B$12,Paramètres!$A$1:$I$89,7,0))</f>
        <v>0.19350000000000001</v>
      </c>
      <c r="CI194" s="16">
        <f>IF(ISNA(VLOOKUP(A194,'Données projet'!$A$113:$I$133,6,0)),0%,VLOOKUP(A194,'Données projet'!$A$113:$I$133,6,0)*VLOOKUP('Données projet'!$B$12,Paramètres!$A$1:$I$89,7,0))</f>
        <v>2.1500000000000002E-2</v>
      </c>
      <c r="CJ194" s="16">
        <f>IF(ISNA(VLOOKUP(A194,'Données projet'!$A$113:$I$133,7,0)),0%,VLOOKUP(A194,'Données projet'!$A$113:$I$133,7,0))</f>
        <v>0.05</v>
      </c>
      <c r="CK194" s="21">
        <f>EXP(-LN(2)/35)*CK193+(1-EXP(-LN(2)/35))/(LN(2)/35)*CG194*CH194*VLOOKUP('Données projet'!$B$12,Paramètres!$A$1:$I$89,3,0)*0.475*44/12</f>
        <v>151.67696294986663</v>
      </c>
      <c r="CL194" s="21">
        <f>EXP(-LN(2)/25)*CL193+(1-EXP(-LN(2)/25))/(LN(2)/25)*Calculateur!CG194*Calculateur!CI194*VLOOKUP('Données projet'!$B$12,Paramètres!$A$1:$I$89,3,0)*0.475*44/12</f>
        <v>47.81518801430235</v>
      </c>
      <c r="CM194" s="21">
        <f>EXP(-LN(2)/2)*CM193+(1-EXP(-LN(2)/2))/(LN(2)/2)*CG194*CJ194*VLOOKUP('Données projet'!$B$12,Paramètres!$A$1:$I$89,3,0)*0.475*44/12</f>
        <v>7.7905790684248517</v>
      </c>
      <c r="CN194" s="22">
        <f t="shared" si="172"/>
        <v>207.28273003259383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7.9580786405131221E-13</v>
      </c>
      <c r="CU194" s="17">
        <f>CT194*VLOOKUP('Données projet'!$B$13,Paramètres!$A$1:$I$89,3,0)*VLOOKUP('Données projet'!$B$13,Paramètres!$A$1:$I$89,5,0)</f>
        <v>8.5660758486483253E-13</v>
      </c>
      <c r="CV194" s="13">
        <f t="shared" si="173"/>
        <v>1.0022086930673386E-11</v>
      </c>
      <c r="CW194" s="20">
        <f t="shared" si="174"/>
        <v>1.8947059614562397E-11</v>
      </c>
      <c r="CX194" s="59">
        <f t="shared" si="122"/>
        <v>293.33333333335224</v>
      </c>
      <c r="CY194" s="59">
        <f ca="1">AVERAGE(OFFSET($CX$3,0,0,'Données projet'!$E$13+1,1))-AVERAGE(OFFSET($H$3,0,0,'Données projet'!$E$13+1,1))</f>
        <v>747.18304127457918</v>
      </c>
      <c r="CZ194" s="59">
        <f t="shared" si="150"/>
        <v>327.03701004966723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156.49634621234202</v>
      </c>
      <c r="DG194" s="21">
        <f>EXP(-LN(2)/25)*DG193+(1-EXP(-LN(2)/25))/(LN(2)/25)*Calculateur!DB194*Calculateur!DD194*VLOOKUP('Données projet'!$B$13,Paramètres!$A$1:$I$89,3,0)*0.475*44/12</f>
        <v>24.531005278946733</v>
      </c>
      <c r="DH194" s="21">
        <f>EXP(-LN(2)/2)*DH193+(1-EXP(-LN(2)/2))/(LN(2)/2)*DB194*DE194*VLOOKUP('Données projet'!$B$13,Paramètres!$A$1:$I$89,3,0)*0.475*44/12</f>
        <v>0.78998024578151249</v>
      </c>
      <c r="DI194" s="22">
        <f t="shared" si="175"/>
        <v>181.81733173707028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353.37479213497227</v>
      </c>
      <c r="DU194" s="59">
        <f t="shared" si="152"/>
        <v>345.4750813433123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5.769771203475452</v>
      </c>
      <c r="EB194" s="21">
        <f>EXP(-LN(2)/25)*EB193+(1-EXP(-LN(2)/25))/(LN(2)/25)*Calculateur!DW194*Calculateur!DY194*VLOOKUP('Données projet'!$B$14,Paramètres!$A$1:$I$89,3,0)*0.475*44/12</f>
        <v>2.3645318777463276</v>
      </c>
      <c r="EC194" s="21">
        <f>EXP(-LN(2)/2)*EC193+(1-EXP(-LN(2)/2))/(LN(2)/2)*DW194*DZ194*VLOOKUP('Données projet'!$B$14,Paramètres!$A$1:$I$89,3,0)*0.475*44/12</f>
        <v>1.2250905710513523E-15</v>
      </c>
      <c r="ED194" s="22">
        <f t="shared" si="178"/>
        <v>8.1343030812217823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-4.5474735088646412E-13</v>
      </c>
      <c r="EK194" s="17">
        <f>EJ194*VLOOKUP('Données projet'!$B$15,Paramètres!$A$1:$I$89,3,0)*VLOOKUP('Données projet'!$B$15,Paramètres!$A$1:$I$89,5,0)</f>
        <v>-2.1282176021486519E-13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433.05041777893922</v>
      </c>
      <c r="EP194" s="59">
        <f t="shared" si="154"/>
        <v>591.24088611958996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64.005012213546081</v>
      </c>
      <c r="EW194" s="21">
        <f>EXP(-LN(2)/25)*EW193+(1-EXP(-LN(2)/25))/(LN(2)/25)*Calculateur!ER194*Calculateur!ET194*VLOOKUP('Données projet'!$B$15,Paramètres!$A$1:$I$89,3,0)*0.475*44/12</f>
        <v>9.8915332115633507</v>
      </c>
      <c r="EX194" s="21">
        <f>EXP(-LN(2)/2)*EX193+(1-EXP(-LN(2)/2))/(LN(2)/2)*ER194*EU194*VLOOKUP('Données projet'!$B$15,Paramètres!$A$1:$I$89,3,0)*0.475*44/12</f>
        <v>5.5587702427799596E-12</v>
      </c>
      <c r="EY194" s="22">
        <f t="shared" si="181"/>
        <v>73.896545425114994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-8.5265128291212022E-14</v>
      </c>
      <c r="FF194" s="17">
        <f>FE194*VLOOKUP('Données projet'!$B$16,Paramètres!$A$1:$I$89,3,0)*VLOOKUP('Données projet'!$B$16,Paramètres!$A$1:$I$89,5,0)</f>
        <v>-6.9167072069831198E-14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159.4660488566085</v>
      </c>
      <c r="FK194" s="59">
        <f t="shared" si="156"/>
        <v>135.33030558297088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</v>
      </c>
      <c r="FR194" s="21">
        <f>EXP(-LN(2)/25)*FR193+(1-EXP(-LN(2)/25))/(LN(2)/25)*Calculateur!FM194*Calculateur!FO194*VLOOKUP('Données projet'!$B$16,Paramètres!$A$1:$I$89,3,0)*0.475*44/12</f>
        <v>0.98355664768280449</v>
      </c>
      <c r="FS194" s="21">
        <f>EXP(-LN(2)/2)*FS193+(1-EXP(-LN(2)/2))/(LN(2)/2)*FM194*FP194*VLOOKUP('Données projet'!$B$16,Paramètres!$A$1:$I$89,3,0)*0.475*44/12</f>
        <v>1.5729227967339495E-14</v>
      </c>
      <c r="FT194" s="22">
        <f t="shared" si="184"/>
        <v>0.98355664768282025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7.9580786405131221E-13</v>
      </c>
      <c r="O195" s="13">
        <f>N195*VLOOKUP('Données projet'!$B$9,Paramètres!$A$1:$I$89,3,0)*VLOOKUP('Données projet'!$B$9,Paramètres!$A$1:$I$89,5,0)</f>
        <v>8.0694917414803056E-13</v>
      </c>
      <c r="P195" s="13">
        <f t="shared" si="141"/>
        <v>9.5069530861628001E-12</v>
      </c>
      <c r="Q195" s="20">
        <f t="shared" si="162"/>
        <v>1.7963379770041364E-11</v>
      </c>
      <c r="R195" s="59">
        <f t="shared" ref="R195:R203" si="191">Q195+(I195+J195)*44/12</f>
        <v>293.33333333335128</v>
      </c>
      <c r="S195" s="59">
        <f ca="1">AVERAGE(OFFSET($R$3,0,0,'Données projet'!$E$9+1,1))-AVERAGE(OFFSET($H$3,0,0,'Données projet'!$E$9+1,1))</f>
        <v>706.69239849991595</v>
      </c>
      <c r="T195" s="59">
        <f t="shared" si="142"/>
        <v>310.59887275116529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144.53319768942265</v>
      </c>
      <c r="AA195" s="21">
        <f>EXP(-LN(2)/25)*AA194+(1-EXP(-LN(2)/25))/(LN(2)/25)*Calculateur!V195*Calculateur!X195*VLOOKUP('Données projet'!$B$9,Paramètres!$A$1:$I$89,3,0)*0.475*44/12</f>
        <v>22.477003437995489</v>
      </c>
      <c r="AB195" s="21">
        <f>EXP(-LN(2)/2)*AB194+(1-EXP(-LN(2)/2))/(LN(2)/2)*V195*Y195*VLOOKUP('Données projet'!$B$9,Paramètres!$A$1:$I$89,3,0)*0.475*44/12</f>
        <v>0.52621775756099998</v>
      </c>
      <c r="AC195" s="22">
        <f t="shared" si="163"/>
        <v>167.53641888497913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239.26156489359892</v>
      </c>
      <c r="AO195" s="59">
        <f t="shared" si="144"/>
        <v>213.97034450798111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1.4345026241052181</v>
      </c>
      <c r="AV195" s="21">
        <f>EXP(-LN(2)/25)*AV194+(1-EXP(-LN(2)/25))/(LN(2)/25)*Calculateur!AQ195*Calculateur!AS195*VLOOKUP('Données projet'!$B$10,Paramètres!$A$1:$I$89,3,0)*0.475*44/12</f>
        <v>3.7761261158377586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5.2106287399429769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-1.7053025658242404E-13</v>
      </c>
      <c r="BE195" s="13">
        <f>BD195*VLOOKUP('Données projet'!$B$11,Paramètres!$A$1:$I$89,3,0)*VLOOKUP('Données projet'!$B$11,Paramètres!$A$1:$I$89,5,0)</f>
        <v>-1.4897523215040567E-13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324.86930206492627</v>
      </c>
      <c r="BJ195" s="59">
        <f t="shared" si="146"/>
        <v>317.03005098025352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5.0138842138074189</v>
      </c>
      <c r="BQ195" s="21">
        <f>EXP(-LN(2)/25)*BQ194+(1-EXP(-LN(2)/25))/(LN(2)/25)*Calculateur!BL195*Calculateur!BN195*VLOOKUP('Données projet'!$B$11,Paramètres!$A$1:$I$89,3,0)*0.475*44/12</f>
        <v>2.084398148410993</v>
      </c>
      <c r="BR195" s="21">
        <f>EXP(-LN(2)/2)*BR194+(1-EXP(-LN(2)/2))/(LN(2)/2)*BL195*BO195*VLOOKUP('Données projet'!$B$11,Paramètres!$A$1:$I$89,3,0)*0.475*44/12</f>
        <v>7.9208874208722266E-16</v>
      </c>
      <c r="BS195" s="22">
        <f t="shared" si="169"/>
        <v>7.0982823622184128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-2.8421709430404007E-13</v>
      </c>
      <c r="BZ195" s="13">
        <f>BY195*VLOOKUP('Données projet'!$B$12,Paramètres!$A$1:$I$89,3,0)*VLOOKUP('Données projet'!$B$12,Paramètres!$A$1:$I$89,5,0)</f>
        <v>-3.2366642699344083E-13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593.28343396240075</v>
      </c>
      <c r="CE195" s="59">
        <f t="shared" si="148"/>
        <v>289.66477662068695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148.70267022023216</v>
      </c>
      <c r="CL195" s="21">
        <f>EXP(-LN(2)/25)*CL194+(1-EXP(-LN(2)/25))/(LN(2)/25)*Calculateur!CG195*Calculateur!CI195*VLOOKUP('Données projet'!$B$12,Paramètres!$A$1:$I$89,3,0)*0.475*44/12</f>
        <v>46.507679183559802</v>
      </c>
      <c r="CM195" s="21">
        <f>EXP(-LN(2)/2)*CM194+(1-EXP(-LN(2)/2))/(LN(2)/2)*CG195*CJ195*VLOOKUP('Données projet'!$B$12,Paramètres!$A$1:$I$89,3,0)*0.475*44/12</f>
        <v>5.5087712886531897</v>
      </c>
      <c r="CN195" s="22">
        <f t="shared" si="172"/>
        <v>200.71912069244513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7.9580786405131221E-13</v>
      </c>
      <c r="CU195" s="17">
        <f>CT195*VLOOKUP('Données projet'!$B$13,Paramètres!$A$1:$I$89,3,0)*VLOOKUP('Données projet'!$B$13,Paramètres!$A$1:$I$89,5,0)</f>
        <v>8.5660758486483253E-13</v>
      </c>
      <c r="CV195" s="13">
        <f t="shared" si="173"/>
        <v>1.0022086930673386E-11</v>
      </c>
      <c r="CW195" s="20">
        <f t="shared" si="174"/>
        <v>1.8947059614562397E-11</v>
      </c>
      <c r="CX195" s="59">
        <f t="shared" si="122"/>
        <v>293.33333333335224</v>
      </c>
      <c r="CY195" s="59">
        <f ca="1">AVERAGE(OFFSET($CX$3,0,0,'Données projet'!$E$13+1,1))-AVERAGE(OFFSET($H$3,0,0,'Données projet'!$E$13+1,1))</f>
        <v>747.18304127457918</v>
      </c>
      <c r="CZ195" s="59">
        <f t="shared" si="150"/>
        <v>327.03701004966723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153.42754831646394</v>
      </c>
      <c r="DG195" s="21">
        <f>EXP(-LN(2)/25)*DG194+(1-EXP(-LN(2)/25))/(LN(2)/25)*Calculateur!DB195*Calculateur!DD195*VLOOKUP('Données projet'!$B$13,Paramètres!$A$1:$I$89,3,0)*0.475*44/12</f>
        <v>23.860203649564433</v>
      </c>
      <c r="DH195" s="21">
        <f>EXP(-LN(2)/2)*DH194+(1-EXP(-LN(2)/2))/(LN(2)/2)*DB195*DE195*VLOOKUP('Données projet'!$B$13,Paramètres!$A$1:$I$89,3,0)*0.475*44/12</f>
        <v>0.55860038879552298</v>
      </c>
      <c r="DI195" s="22">
        <f t="shared" si="175"/>
        <v>177.84635235482389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353.37479213497227</v>
      </c>
      <c r="DU195" s="59">
        <f t="shared" si="152"/>
        <v>345.4750813433123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5.6566295093882388</v>
      </c>
      <c r="EB195" s="21">
        <f>EXP(-LN(2)/25)*EB194+(1-EXP(-LN(2)/25))/(LN(2)/25)*Calculateur!DW195*Calculateur!DY195*VLOOKUP('Données projet'!$B$14,Paramètres!$A$1:$I$89,3,0)*0.475*44/12</f>
        <v>2.2998736292040269</v>
      </c>
      <c r="EC195" s="21">
        <f>EXP(-LN(2)/2)*EC194+(1-EXP(-LN(2)/2))/(LN(2)/2)*DW195*DZ195*VLOOKUP('Données projet'!$B$14,Paramètres!$A$1:$I$89,3,0)*0.475*44/12</f>
        <v>8.662698503581111E-16</v>
      </c>
      <c r="ED195" s="22">
        <f t="shared" si="178"/>
        <v>7.9565031385922671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-4.5474735088646412E-13</v>
      </c>
      <c r="EK195" s="17">
        <f>EJ195*VLOOKUP('Données projet'!$B$15,Paramètres!$A$1:$I$89,3,0)*VLOOKUP('Données projet'!$B$15,Paramètres!$A$1:$I$89,5,0)</f>
        <v>-2.1282176021486519E-13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433.05041777893922</v>
      </c>
      <c r="EP195" s="59">
        <f t="shared" si="154"/>
        <v>591.24088611958996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62.749912963241094</v>
      </c>
      <c r="EW195" s="21">
        <f>EXP(-LN(2)/25)*EW194+(1-EXP(-LN(2)/25))/(LN(2)/25)*Calculateur!ER195*Calculateur!ET195*VLOOKUP('Données projet'!$B$15,Paramètres!$A$1:$I$89,3,0)*0.475*44/12</f>
        <v>9.6210487157200273</v>
      </c>
      <c r="EX195" s="21">
        <f>EXP(-LN(2)/2)*EX194+(1-EXP(-LN(2)/2))/(LN(2)/2)*ER195*EU195*VLOOKUP('Données projet'!$B$15,Paramètres!$A$1:$I$89,3,0)*0.475*44/12</f>
        <v>3.9306441337277004E-12</v>
      </c>
      <c r="EY195" s="22">
        <f t="shared" si="181"/>
        <v>72.37096167896506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-8.5265128291212022E-14</v>
      </c>
      <c r="FF195" s="17">
        <f>FE195*VLOOKUP('Données projet'!$B$16,Paramètres!$A$1:$I$89,3,0)*VLOOKUP('Données projet'!$B$16,Paramètres!$A$1:$I$89,5,0)</f>
        <v>-6.9167072069831198E-14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159.4660488566085</v>
      </c>
      <c r="FK195" s="59">
        <f t="shared" si="156"/>
        <v>135.33030558297088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</v>
      </c>
      <c r="FR195" s="21">
        <f>EXP(-LN(2)/25)*FR194+(1-EXP(-LN(2)/25))/(LN(2)/25)*Calculateur!FM195*Calculateur!FO195*VLOOKUP('Données projet'!$B$16,Paramètres!$A$1:$I$89,3,0)*0.475*44/12</f>
        <v>0.95666123942892201</v>
      </c>
      <c r="FS195" s="21">
        <f>EXP(-LN(2)/2)*FS194+(1-EXP(-LN(2)/2))/(LN(2)/2)*FM195*FP195*VLOOKUP('Données projet'!$B$16,Paramètres!$A$1:$I$89,3,0)*0.475*44/12</f>
        <v>1.1122243758534853E-14</v>
      </c>
      <c r="FT195" s="22">
        <f t="shared" si="184"/>
        <v>0.95666123942893311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7.9580786405131221E-13</v>
      </c>
      <c r="O196" s="13">
        <f>N196*VLOOKUP('Données projet'!$B$9,Paramètres!$A$1:$I$89,3,0)*VLOOKUP('Données projet'!$B$9,Paramètres!$A$1:$I$89,5,0)</f>
        <v>8.0694917414803056E-13</v>
      </c>
      <c r="P196" s="13">
        <f t="shared" si="141"/>
        <v>9.5069530861628001E-12</v>
      </c>
      <c r="Q196" s="20">
        <f t="shared" si="162"/>
        <v>1.7963379770041364E-11</v>
      </c>
      <c r="R196" s="59">
        <f t="shared" si="191"/>
        <v>293.33333333335128</v>
      </c>
      <c r="S196" s="59">
        <f ca="1">AVERAGE(OFFSET($R$3,0,0,'Données projet'!$E$9+1,1))-AVERAGE(OFFSET($H$3,0,0,'Données projet'!$E$9+1,1))</f>
        <v>706.69239849991595</v>
      </c>
      <c r="T196" s="59">
        <f t="shared" si="142"/>
        <v>310.59887275116529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141.69898983927894</v>
      </c>
      <c r="AA196" s="21">
        <f>EXP(-LN(2)/25)*AA195+(1-EXP(-LN(2)/25))/(LN(2)/25)*Calculateur!V196*Calculateur!X196*VLOOKUP('Données projet'!$B$9,Paramètres!$A$1:$I$89,3,0)*0.475*44/12</f>
        <v>21.862368596969262</v>
      </c>
      <c r="AB196" s="21">
        <f>EXP(-LN(2)/2)*AB195+(1-EXP(-LN(2)/2))/(LN(2)/2)*V196*Y196*VLOOKUP('Données projet'!$B$9,Paramètres!$A$1:$I$89,3,0)*0.475*44/12</f>
        <v>0.37209214475216174</v>
      </c>
      <c r="AC196" s="22">
        <f t="shared" si="163"/>
        <v>163.93345058100039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239.26156489359892</v>
      </c>
      <c r="AO196" s="59">
        <f t="shared" si="144"/>
        <v>213.97034450798111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1.4063729026067204</v>
      </c>
      <c r="AV196" s="21">
        <f>EXP(-LN(2)/25)*AV195+(1-EXP(-LN(2)/25))/(LN(2)/25)*Calculateur!AQ196*Calculateur!AS196*VLOOKUP('Données projet'!$B$10,Paramètres!$A$1:$I$89,3,0)*0.475*44/12</f>
        <v>3.6728677486223331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5.0792406512290533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-1.7053025658242404E-13</v>
      </c>
      <c r="BE196" s="13">
        <f>BD196*VLOOKUP('Données projet'!$B$11,Paramètres!$A$1:$I$89,3,0)*VLOOKUP('Données projet'!$B$11,Paramètres!$A$1:$I$89,5,0)</f>
        <v>-1.4897523215040567E-13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324.86930206492627</v>
      </c>
      <c r="BJ196" s="59">
        <f t="shared" si="146"/>
        <v>317.03005098025352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4.9155650025420572</v>
      </c>
      <c r="BQ196" s="21">
        <f>EXP(-LN(2)/25)*BQ195+(1-EXP(-LN(2)/25))/(LN(2)/25)*Calculateur!BL196*Calculateur!BN196*VLOOKUP('Données projet'!$B$11,Paramètres!$A$1:$I$89,3,0)*0.475*44/12</f>
        <v>2.0274001714289596</v>
      </c>
      <c r="BR196" s="21">
        <f>EXP(-LN(2)/2)*BR195+(1-EXP(-LN(2)/2))/(LN(2)/2)*BL196*BO196*VLOOKUP('Données projet'!$B$11,Paramètres!$A$1:$I$89,3,0)*0.475*44/12</f>
        <v>5.6009132083139742E-16</v>
      </c>
      <c r="BS196" s="22">
        <f t="shared" si="169"/>
        <v>6.9429651739710172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-2.8421709430404007E-13</v>
      </c>
      <c r="BZ196" s="13">
        <f>BY196*VLOOKUP('Données projet'!$B$12,Paramètres!$A$1:$I$89,3,0)*VLOOKUP('Données projet'!$B$12,Paramètres!$A$1:$I$89,5,0)</f>
        <v>-3.2366642699344083E-13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593.28343396240075</v>
      </c>
      <c r="CE196" s="59">
        <f t="shared" si="148"/>
        <v>289.66477662068695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145.78670155688638</v>
      </c>
      <c r="CL196" s="21">
        <f>EXP(-LN(2)/25)*CL195+(1-EXP(-LN(2)/25))/(LN(2)/25)*Calculateur!CG196*Calculateur!CI196*VLOOKUP('Données projet'!$B$12,Paramètres!$A$1:$I$89,3,0)*0.475*44/12</f>
        <v>45.235924250552806</v>
      </c>
      <c r="CM196" s="21">
        <f>EXP(-LN(2)/2)*CM195+(1-EXP(-LN(2)/2))/(LN(2)/2)*CG196*CJ196*VLOOKUP('Données projet'!$B$12,Paramètres!$A$1:$I$89,3,0)*0.475*44/12</f>
        <v>3.8952895342124267</v>
      </c>
      <c r="CN196" s="22">
        <f t="shared" si="172"/>
        <v>194.91791534165162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7.9580786405131221E-13</v>
      </c>
      <c r="CU196" s="17">
        <f>CT196*VLOOKUP('Données projet'!$B$13,Paramètres!$A$1:$I$89,3,0)*VLOOKUP('Données projet'!$B$13,Paramètres!$A$1:$I$89,5,0)</f>
        <v>8.5660758486483253E-13</v>
      </c>
      <c r="CV196" s="13">
        <f t="shared" si="173"/>
        <v>1.0022086930673386E-11</v>
      </c>
      <c r="CW196" s="20">
        <f t="shared" si="174"/>
        <v>1.8947059614562397E-11</v>
      </c>
      <c r="CX196" s="59">
        <f t="shared" ref="CX196:CX203" si="196">CW196+(CO196+CP196)*44/12</f>
        <v>293.33333333335224</v>
      </c>
      <c r="CY196" s="59">
        <f ca="1">AVERAGE(OFFSET($CX$3,0,0,'Données projet'!$E$13+1,1))-AVERAGE(OFFSET($H$3,0,0,'Données projet'!$E$13+1,1))</f>
        <v>747.18304127457918</v>
      </c>
      <c r="CZ196" s="59">
        <f t="shared" si="150"/>
        <v>327.03701004966723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150.41892767554214</v>
      </c>
      <c r="DG196" s="21">
        <f>EXP(-LN(2)/25)*DG195+(1-EXP(-LN(2)/25))/(LN(2)/25)*Calculateur!DB196*Calculateur!DD196*VLOOKUP('Données projet'!$B$13,Paramètres!$A$1:$I$89,3,0)*0.475*44/12</f>
        <v>23.207745126013517</v>
      </c>
      <c r="DH196" s="21">
        <f>EXP(-LN(2)/2)*DH195+(1-EXP(-LN(2)/2))/(LN(2)/2)*DB196*DE196*VLOOKUP('Données projet'!$B$13,Paramètres!$A$1:$I$89,3,0)*0.475*44/12</f>
        <v>0.39499012289075625</v>
      </c>
      <c r="DI196" s="22">
        <f t="shared" si="175"/>
        <v>174.02166292444642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353.37479213497227</v>
      </c>
      <c r="DU196" s="59">
        <f t="shared" si="152"/>
        <v>345.4750813433123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5.5457064549124571</v>
      </c>
      <c r="EB196" s="21">
        <f>EXP(-LN(2)/25)*EB195+(1-EXP(-LN(2)/25))/(LN(2)/25)*Calculateur!DW196*Calculateur!DY196*VLOOKUP('Données projet'!$B$14,Paramètres!$A$1:$I$89,3,0)*0.475*44/12</f>
        <v>2.236983463868345</v>
      </c>
      <c r="EC196" s="21">
        <f>EXP(-LN(2)/2)*EC195+(1-EXP(-LN(2)/2))/(LN(2)/2)*DW196*DZ196*VLOOKUP('Données projet'!$B$14,Paramètres!$A$1:$I$89,3,0)*0.475*44/12</f>
        <v>6.1254528552567613E-16</v>
      </c>
      <c r="ED196" s="22">
        <f t="shared" si="178"/>
        <v>7.782689918780803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-4.5474735088646412E-13</v>
      </c>
      <c r="EK196" s="17">
        <f>EJ196*VLOOKUP('Données projet'!$B$15,Paramètres!$A$1:$I$89,3,0)*VLOOKUP('Données projet'!$B$15,Paramètres!$A$1:$I$89,5,0)</f>
        <v>-2.1282176021486519E-13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433.05041777893922</v>
      </c>
      <c r="EP196" s="59">
        <f t="shared" si="154"/>
        <v>591.24088611958996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61.519425443699632</v>
      </c>
      <c r="EW196" s="21">
        <f>EXP(-LN(2)/25)*EW195+(1-EXP(-LN(2)/25))/(LN(2)/25)*Calculateur!ER196*Calculateur!ET196*VLOOKUP('Données projet'!$B$15,Paramètres!$A$1:$I$89,3,0)*0.475*44/12</f>
        <v>9.3579606326397009</v>
      </c>
      <c r="EX196" s="21">
        <f>EXP(-LN(2)/2)*EX195+(1-EXP(-LN(2)/2))/(LN(2)/2)*ER196*EU196*VLOOKUP('Données projet'!$B$15,Paramètres!$A$1:$I$89,3,0)*0.475*44/12</f>
        <v>2.7793851213899798E-12</v>
      </c>
      <c r="EY196" s="22">
        <f t="shared" si="181"/>
        <v>70.87738607634212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-8.5265128291212022E-14</v>
      </c>
      <c r="FF196" s="17">
        <f>FE196*VLOOKUP('Données projet'!$B$16,Paramètres!$A$1:$I$89,3,0)*VLOOKUP('Données projet'!$B$16,Paramètres!$A$1:$I$89,5,0)</f>
        <v>-6.9167072069831198E-14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159.4660488566085</v>
      </c>
      <c r="FK196" s="59">
        <f t="shared" si="156"/>
        <v>135.33030558297088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</v>
      </c>
      <c r="FR196" s="21">
        <f>EXP(-LN(2)/25)*FR195+(1-EXP(-LN(2)/25))/(LN(2)/25)*Calculateur!FM196*Calculateur!FO196*VLOOKUP('Données projet'!$B$16,Paramètres!$A$1:$I$89,3,0)*0.475*44/12</f>
        <v>0.93050128752811001</v>
      </c>
      <c r="FS196" s="21">
        <f>EXP(-LN(2)/2)*FS195+(1-EXP(-LN(2)/2))/(LN(2)/2)*FM196*FP196*VLOOKUP('Données projet'!$B$16,Paramètres!$A$1:$I$89,3,0)*0.475*44/12</f>
        <v>7.8646139836697477E-15</v>
      </c>
      <c r="FT196" s="22">
        <f t="shared" si="184"/>
        <v>0.93050128752811789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7.9580786405131221E-13</v>
      </c>
      <c r="O197" s="13">
        <f>N197*VLOOKUP('Données projet'!$B$9,Paramètres!$A$1:$I$89,3,0)*VLOOKUP('Données projet'!$B$9,Paramètres!$A$1:$I$89,5,0)</f>
        <v>8.0694917414803056E-13</v>
      </c>
      <c r="P197" s="13">
        <f t="shared" ref="P197:P203" si="203">EXP(-1.0587+0.8836*LN(O197)+0.284)</f>
        <v>9.5069530861628001E-12</v>
      </c>
      <c r="Q197" s="20">
        <f t="shared" si="162"/>
        <v>1.7963379770041364E-11</v>
      </c>
      <c r="R197" s="59">
        <f t="shared" si="191"/>
        <v>293.33333333335128</v>
      </c>
      <c r="S197" s="59">
        <f ca="1">AVERAGE(OFFSET($R$3,0,0,'Données projet'!$E$9+1,1))-AVERAGE(OFFSET($H$3,0,0,'Données projet'!$E$9+1,1))</f>
        <v>706.69239849991595</v>
      </c>
      <c r="T197" s="59">
        <f t="shared" ref="T197:T203" si="204">$T$3</f>
        <v>310.59887275116529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138.92035907638044</v>
      </c>
      <c r="AA197" s="21">
        <f>EXP(-LN(2)/25)*AA196+(1-EXP(-LN(2)/25))/(LN(2)/25)*Calculateur!V197*Calculateur!X197*VLOOKUP('Données projet'!$B$9,Paramètres!$A$1:$I$89,3,0)*0.475*44/12</f>
        <v>21.264540977993139</v>
      </c>
      <c r="AB197" s="21">
        <f>EXP(-LN(2)/2)*AB196+(1-EXP(-LN(2)/2))/(LN(2)/2)*V197*Y197*VLOOKUP('Données projet'!$B$9,Paramètres!$A$1:$I$89,3,0)*0.475*44/12</f>
        <v>0.26310887878049999</v>
      </c>
      <c r="AC197" s="22">
        <f t="shared" si="163"/>
        <v>160.44800893315409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239.26156489359892</v>
      </c>
      <c r="AO197" s="59">
        <f t="shared" ref="AO197:AO203" si="205">$AO$3</f>
        <v>213.97034450798111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1.3787947877893723</v>
      </c>
      <c r="AV197" s="21">
        <f>EXP(-LN(2)/25)*AV196+(1-EXP(-LN(2)/25))/(LN(2)/25)*Calculateur!AQ197*Calculateur!AS197*VLOOKUP('Données projet'!$B$10,Paramètres!$A$1:$I$89,3,0)*0.475*44/12</f>
        <v>3.5724329868885349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4.951227774677907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-1.7053025658242404E-13</v>
      </c>
      <c r="BE197" s="13">
        <f>BD197*VLOOKUP('Données projet'!$B$11,Paramètres!$A$1:$I$89,3,0)*VLOOKUP('Données projet'!$B$11,Paramètres!$A$1:$I$89,5,0)</f>
        <v>-1.4897523215040567E-13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324.86930206492627</v>
      </c>
      <c r="BJ197" s="59">
        <f t="shared" ref="BJ197:BJ203" si="206">$BJ$3</f>
        <v>317.03005098025352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4.8191737710408118</v>
      </c>
      <c r="BQ197" s="21">
        <f>EXP(-LN(2)/25)*BQ196+(1-EXP(-LN(2)/25))/(LN(2)/25)*Calculateur!BL197*Calculateur!BN197*VLOOKUP('Données projet'!$B$11,Paramètres!$A$1:$I$89,3,0)*0.475*44/12</f>
        <v>1.9719608071248933</v>
      </c>
      <c r="BR197" s="21">
        <f>EXP(-LN(2)/2)*BR196+(1-EXP(-LN(2)/2))/(LN(2)/2)*BL197*BO197*VLOOKUP('Données projet'!$B$11,Paramètres!$A$1:$I$89,3,0)*0.475*44/12</f>
        <v>3.9604437104361133E-16</v>
      </c>
      <c r="BS197" s="22">
        <f t="shared" si="169"/>
        <v>6.7911345781657051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-2.8421709430404007E-13</v>
      </c>
      <c r="BZ197" s="13">
        <f>BY197*VLOOKUP('Données projet'!$B$12,Paramètres!$A$1:$I$89,3,0)*VLOOKUP('Données projet'!$B$12,Paramètres!$A$1:$I$89,5,0)</f>
        <v>-3.2366642699344083E-13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593.28343396240075</v>
      </c>
      <c r="CE197" s="59">
        <f t="shared" ref="CE197:CE203" si="207">$CE$3</f>
        <v>289.66477662068695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142.92791326046355</v>
      </c>
      <c r="CL197" s="21">
        <f>EXP(-LN(2)/25)*CL196+(1-EXP(-LN(2)/25))/(LN(2)/25)*Calculateur!CG197*Calculateur!CI197*VLOOKUP('Données projet'!$B$12,Paramètres!$A$1:$I$89,3,0)*0.475*44/12</f>
        <v>43.998945523067569</v>
      </c>
      <c r="CM197" s="21">
        <f>EXP(-LN(2)/2)*CM196+(1-EXP(-LN(2)/2))/(LN(2)/2)*CG197*CJ197*VLOOKUP('Données projet'!$B$12,Paramètres!$A$1:$I$89,3,0)*0.475*44/12</f>
        <v>2.7543856443265953</v>
      </c>
      <c r="CN197" s="22">
        <f t="shared" si="172"/>
        <v>189.68124442785771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7.9580786405131221E-13</v>
      </c>
      <c r="CU197" s="17">
        <f>CT197*VLOOKUP('Données projet'!$B$13,Paramètres!$A$1:$I$89,3,0)*VLOOKUP('Données projet'!$B$13,Paramètres!$A$1:$I$89,5,0)</f>
        <v>8.5660758486483253E-13</v>
      </c>
      <c r="CV197" s="13">
        <f t="shared" si="173"/>
        <v>1.0022086930673386E-11</v>
      </c>
      <c r="CW197" s="20">
        <f t="shared" si="174"/>
        <v>1.8947059614562397E-11</v>
      </c>
      <c r="CX197" s="59">
        <f t="shared" si="196"/>
        <v>293.33333333335224</v>
      </c>
      <c r="CY197" s="59">
        <f ca="1">AVERAGE(OFFSET($CX$3,0,0,'Données projet'!$E$13+1,1))-AVERAGE(OFFSET($H$3,0,0,'Données projet'!$E$13+1,1))</f>
        <v>747.18304127457918</v>
      </c>
      <c r="CZ197" s="59">
        <f t="shared" ref="CZ197:CZ203" si="208">$CZ$3</f>
        <v>327.03701004966723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147.46930425031141</v>
      </c>
      <c r="DG197" s="21">
        <f>EXP(-LN(2)/25)*DG196+(1-EXP(-LN(2)/25))/(LN(2)/25)*Calculateur!DB197*Calculateur!DD197*VLOOKUP('Données projet'!$B$13,Paramètres!$A$1:$I$89,3,0)*0.475*44/12</f>
        <v>22.573128115100403</v>
      </c>
      <c r="DH197" s="21">
        <f>EXP(-LN(2)/2)*DH196+(1-EXP(-LN(2)/2))/(LN(2)/2)*DB197*DE197*VLOOKUP('Données projet'!$B$13,Paramètres!$A$1:$I$89,3,0)*0.475*44/12</f>
        <v>0.27930019439776149</v>
      </c>
      <c r="DI197" s="22">
        <f t="shared" si="175"/>
        <v>170.32173255980956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353.37479213497227</v>
      </c>
      <c r="DU197" s="59">
        <f t="shared" ref="DU197:DU203" si="209">$DU$3</f>
        <v>345.4750813433123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5.4369585338785624</v>
      </c>
      <c r="EB197" s="21">
        <f>EXP(-LN(2)/25)*EB196+(1-EXP(-LN(2)/25))/(LN(2)/25)*Calculateur!DW197*Calculateur!DY197*VLOOKUP('Données projet'!$B$14,Paramètres!$A$1:$I$89,3,0)*0.475*44/12</f>
        <v>2.1758130334110173</v>
      </c>
      <c r="EC197" s="21">
        <f>EXP(-LN(2)/2)*EC196+(1-EXP(-LN(2)/2))/(LN(2)/2)*DW197*DZ197*VLOOKUP('Données projet'!$B$14,Paramètres!$A$1:$I$89,3,0)*0.475*44/12</f>
        <v>4.3313492517905555E-16</v>
      </c>
      <c r="ED197" s="22">
        <f t="shared" si="178"/>
        <v>7.6127715672895793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-4.5474735088646412E-13</v>
      </c>
      <c r="EK197" s="17">
        <f>EJ197*VLOOKUP('Données projet'!$B$15,Paramètres!$A$1:$I$89,3,0)*VLOOKUP('Données projet'!$B$15,Paramètres!$A$1:$I$89,5,0)</f>
        <v>-2.1282176021486519E-13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433.05041777893922</v>
      </c>
      <c r="EP197" s="59">
        <f t="shared" ref="EP197:EP203" si="210">$EP$3</f>
        <v>591.24088611958996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60.313067033893098</v>
      </c>
      <c r="EW197" s="21">
        <f>EXP(-LN(2)/25)*EW196+(1-EXP(-LN(2)/25))/(LN(2)/25)*Calculateur!ER197*Calculateur!ET197*VLOOKUP('Données projet'!$B$15,Paramètres!$A$1:$I$89,3,0)*0.475*44/12</f>
        <v>9.1020667070264061</v>
      </c>
      <c r="EX197" s="21">
        <f>EXP(-LN(2)/2)*EX196+(1-EXP(-LN(2)/2))/(LN(2)/2)*ER197*EU197*VLOOKUP('Données projet'!$B$15,Paramètres!$A$1:$I$89,3,0)*0.475*44/12</f>
        <v>1.9653220668638502E-12</v>
      </c>
      <c r="EY197" s="22">
        <f t="shared" si="181"/>
        <v>69.415133740921462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-8.5265128291212022E-14</v>
      </c>
      <c r="FF197" s="17">
        <f>FE197*VLOOKUP('Données projet'!$B$16,Paramètres!$A$1:$I$89,3,0)*VLOOKUP('Données projet'!$B$16,Paramètres!$A$1:$I$89,5,0)</f>
        <v>-6.9167072069831198E-14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159.4660488566085</v>
      </c>
      <c r="FK197" s="59">
        <f t="shared" ref="FK197:FK203" si="211">$FK$3</f>
        <v>135.33030558297088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</v>
      </c>
      <c r="FR197" s="21">
        <f>EXP(-LN(2)/25)*FR196+(1-EXP(-LN(2)/25))/(LN(2)/25)*Calculateur!FM197*Calculateur!FO197*VLOOKUP('Données projet'!$B$16,Paramètres!$A$1:$I$89,3,0)*0.475*44/12</f>
        <v>0.90505668088771785</v>
      </c>
      <c r="FS197" s="21">
        <f>EXP(-LN(2)/2)*FS196+(1-EXP(-LN(2)/2))/(LN(2)/2)*FM197*FP197*VLOOKUP('Données projet'!$B$16,Paramètres!$A$1:$I$89,3,0)*0.475*44/12</f>
        <v>5.5611218792674263E-15</v>
      </c>
      <c r="FT197" s="22">
        <f t="shared" si="184"/>
        <v>0.9050566808877234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7.9580786405131221E-13</v>
      </c>
      <c r="O198" s="13">
        <f>N198*VLOOKUP('Données projet'!$B$9,Paramètres!$A$1:$I$89,3,0)*VLOOKUP('Données projet'!$B$9,Paramètres!$A$1:$I$89,5,0)</f>
        <v>8.0694917414803056E-13</v>
      </c>
      <c r="P198" s="13">
        <f t="shared" si="203"/>
        <v>9.5069530861628001E-12</v>
      </c>
      <c r="Q198" s="20">
        <f t="shared" si="162"/>
        <v>1.7963379770041364E-11</v>
      </c>
      <c r="R198" s="59">
        <f t="shared" si="191"/>
        <v>293.33333333335128</v>
      </c>
      <c r="S198" s="59">
        <f ca="1">AVERAGE(OFFSET($R$3,0,0,'Données projet'!$E$9+1,1))-AVERAGE(OFFSET($H$3,0,0,'Données projet'!$E$9+1,1))</f>
        <v>706.69239849991595</v>
      </c>
      <c r="T198" s="59">
        <f t="shared" si="204"/>
        <v>310.59887275116529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136.19621556794496</v>
      </c>
      <c r="AA198" s="21">
        <f>EXP(-LN(2)/25)*AA197+(1-EXP(-LN(2)/25))/(LN(2)/25)*Calculateur!V198*Calculateur!X198*VLOOKUP('Données projet'!$B$9,Paramètres!$A$1:$I$89,3,0)*0.475*44/12</f>
        <v>20.683060986696308</v>
      </c>
      <c r="AB198" s="21">
        <f>EXP(-LN(2)/2)*AB197+(1-EXP(-LN(2)/2))/(LN(2)/2)*V198*Y198*VLOOKUP('Données projet'!$B$9,Paramètres!$A$1:$I$89,3,0)*0.475*44/12</f>
        <v>0.18604607237608087</v>
      </c>
      <c r="AC198" s="22">
        <f t="shared" si="163"/>
        <v>157.06532262701737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239.26156489359892</v>
      </c>
      <c r="AO198" s="59">
        <f t="shared" si="205"/>
        <v>213.97034450798111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1.3517574629826032</v>
      </c>
      <c r="AV198" s="21">
        <f>EXP(-LN(2)/25)*AV197+(1-EXP(-LN(2)/25))/(LN(2)/25)*Calculateur!AQ198*Calculateur!AS198*VLOOKUP('Données projet'!$B$10,Paramètres!$A$1:$I$89,3,0)*0.475*44/12</f>
        <v>3.4747446189959823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4.8265020819785853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-1.7053025658242404E-13</v>
      </c>
      <c r="BE198" s="13">
        <f>BD198*VLOOKUP('Données projet'!$B$11,Paramètres!$A$1:$I$89,3,0)*VLOOKUP('Données projet'!$B$11,Paramètres!$A$1:$I$89,5,0)</f>
        <v>-1.4897523215040567E-13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324.86930206492627</v>
      </c>
      <c r="BJ198" s="59">
        <f t="shared" si="206"/>
        <v>317.03005098025352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4.7246727127964592</v>
      </c>
      <c r="BQ198" s="21">
        <f>EXP(-LN(2)/25)*BQ197+(1-EXP(-LN(2)/25))/(LN(2)/25)*Calculateur!BL198*Calculateur!BN198*VLOOKUP('Données projet'!$B$11,Paramètres!$A$1:$I$89,3,0)*0.475*44/12</f>
        <v>1.9180374351531513</v>
      </c>
      <c r="BR198" s="21">
        <f>EXP(-LN(2)/2)*BR197+(1-EXP(-LN(2)/2))/(LN(2)/2)*BL198*BO198*VLOOKUP('Données projet'!$B$11,Paramètres!$A$1:$I$89,3,0)*0.475*44/12</f>
        <v>2.8004566041569871E-16</v>
      </c>
      <c r="BS198" s="22">
        <f t="shared" si="169"/>
        <v>6.6427101479496109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-2.8421709430404007E-13</v>
      </c>
      <c r="BZ198" s="13">
        <f>BY198*VLOOKUP('Données projet'!$B$12,Paramètres!$A$1:$I$89,3,0)*VLOOKUP('Données projet'!$B$12,Paramètres!$A$1:$I$89,5,0)</f>
        <v>-3.2366642699344083E-13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593.28343396240075</v>
      </c>
      <c r="CE198" s="59">
        <f t="shared" si="207"/>
        <v>289.66477662068695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140.12518405884489</v>
      </c>
      <c r="CL198" s="21">
        <f>EXP(-LN(2)/25)*CL197+(1-EXP(-LN(2)/25))/(LN(2)/25)*Calculateur!CG198*Calculateur!CI198*VLOOKUP('Données projet'!$B$12,Paramètres!$A$1:$I$89,3,0)*0.475*44/12</f>
        <v>42.7957920439353</v>
      </c>
      <c r="CM198" s="21">
        <f>EXP(-LN(2)/2)*CM197+(1-EXP(-LN(2)/2))/(LN(2)/2)*CG198*CJ198*VLOOKUP('Données projet'!$B$12,Paramètres!$A$1:$I$89,3,0)*0.475*44/12</f>
        <v>1.9476447671062136</v>
      </c>
      <c r="CN198" s="22">
        <f t="shared" si="172"/>
        <v>184.86862086988643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7.9580786405131221E-13</v>
      </c>
      <c r="CU198" s="17">
        <f>CT198*VLOOKUP('Données projet'!$B$13,Paramètres!$A$1:$I$89,3,0)*VLOOKUP('Données projet'!$B$13,Paramètres!$A$1:$I$89,5,0)</f>
        <v>8.5660758486483253E-13</v>
      </c>
      <c r="CV198" s="13">
        <f t="shared" si="173"/>
        <v>1.0022086930673386E-11</v>
      </c>
      <c r="CW198" s="20">
        <f t="shared" si="174"/>
        <v>1.8947059614562397E-11</v>
      </c>
      <c r="CX198" s="59">
        <f t="shared" si="196"/>
        <v>293.33333333335224</v>
      </c>
      <c r="CY198" s="59">
        <f ca="1">AVERAGE(OFFSET($CX$3,0,0,'Données projet'!$E$13+1,1))-AVERAGE(OFFSET($H$3,0,0,'Données projet'!$E$13+1,1))</f>
        <v>747.18304127457918</v>
      </c>
      <c r="CZ198" s="59">
        <f t="shared" si="208"/>
        <v>327.03701004966723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144.57752114135684</v>
      </c>
      <c r="DG198" s="21">
        <f>EXP(-LN(2)/25)*DG197+(1-EXP(-LN(2)/25))/(LN(2)/25)*Calculateur!DB198*Calculateur!DD198*VLOOKUP('Données projet'!$B$13,Paramètres!$A$1:$I$89,3,0)*0.475*44/12</f>
        <v>21.955864739723765</v>
      </c>
      <c r="DH198" s="21">
        <f>EXP(-LN(2)/2)*DH197+(1-EXP(-LN(2)/2))/(LN(2)/2)*DB198*DE198*VLOOKUP('Données projet'!$B$13,Paramètres!$A$1:$I$89,3,0)*0.475*44/12</f>
        <v>0.19749506144537812</v>
      </c>
      <c r="DI198" s="22">
        <f t="shared" si="175"/>
        <v>166.730880942526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353.37479213497227</v>
      </c>
      <c r="DU198" s="59">
        <f t="shared" si="209"/>
        <v>345.4750813433123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5.3303430932464604</v>
      </c>
      <c r="EB198" s="21">
        <f>EXP(-LN(2)/25)*EB197+(1-EXP(-LN(2)/25))/(LN(2)/25)*Calculateur!DW198*Calculateur!DY198*VLOOKUP('Données projet'!$B$14,Paramètres!$A$1:$I$89,3,0)*0.475*44/12</f>
        <v>2.1163153115913587</v>
      </c>
      <c r="EC198" s="21">
        <f>EXP(-LN(2)/2)*EC197+(1-EXP(-LN(2)/2))/(LN(2)/2)*DW198*DZ198*VLOOKUP('Données projet'!$B$14,Paramètres!$A$1:$I$89,3,0)*0.475*44/12</f>
        <v>3.0627264276283806E-16</v>
      </c>
      <c r="ED198" s="22">
        <f t="shared" si="178"/>
        <v>7.4466584048378195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-4.5474735088646412E-13</v>
      </c>
      <c r="EK198" s="17">
        <f>EJ198*VLOOKUP('Données projet'!$B$15,Paramètres!$A$1:$I$89,3,0)*VLOOKUP('Données projet'!$B$15,Paramètres!$A$1:$I$89,5,0)</f>
        <v>-2.1282176021486519E-13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433.05041777893922</v>
      </c>
      <c r="EP198" s="59">
        <f t="shared" si="210"/>
        <v>591.24088611958996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59.130364576696898</v>
      </c>
      <c r="EW198" s="21">
        <f>EXP(-LN(2)/25)*EW197+(1-EXP(-LN(2)/25))/(LN(2)/25)*Calculateur!ER198*Calculateur!ET198*VLOOKUP('Données projet'!$B$15,Paramètres!$A$1:$I$89,3,0)*0.475*44/12</f>
        <v>8.8531702142658837</v>
      </c>
      <c r="EX198" s="21">
        <f>EXP(-LN(2)/2)*EX197+(1-EXP(-LN(2)/2))/(LN(2)/2)*ER198*EU198*VLOOKUP('Données projet'!$B$15,Paramètres!$A$1:$I$89,3,0)*0.475*44/12</f>
        <v>1.3896925606949899E-12</v>
      </c>
      <c r="EY198" s="22">
        <f t="shared" si="181"/>
        <v>67.983534790964171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-8.5265128291212022E-14</v>
      </c>
      <c r="FF198" s="17">
        <f>FE198*VLOOKUP('Données projet'!$B$16,Paramètres!$A$1:$I$89,3,0)*VLOOKUP('Données projet'!$B$16,Paramètres!$A$1:$I$89,5,0)</f>
        <v>-6.9167072069831198E-14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159.4660488566085</v>
      </c>
      <c r="FK198" s="59">
        <f t="shared" si="211"/>
        <v>135.33030558297088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</v>
      </c>
      <c r="FR198" s="21">
        <f>EXP(-LN(2)/25)*FR197+(1-EXP(-LN(2)/25))/(LN(2)/25)*Calculateur!FM198*Calculateur!FO198*VLOOKUP('Données projet'!$B$16,Paramètres!$A$1:$I$89,3,0)*0.475*44/12</f>
        <v>0.88030785835398084</v>
      </c>
      <c r="FS198" s="21">
        <f>EXP(-LN(2)/2)*FS197+(1-EXP(-LN(2)/2))/(LN(2)/2)*FM198*FP198*VLOOKUP('Données projet'!$B$16,Paramètres!$A$1:$I$89,3,0)*0.475*44/12</f>
        <v>3.9323069918348738E-15</v>
      </c>
      <c r="FT198" s="22">
        <f t="shared" si="184"/>
        <v>0.88030785835398473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7.9580786405131221E-13</v>
      </c>
      <c r="O199" s="13">
        <f>N199*VLOOKUP('Données projet'!$B$9,Paramètres!$A$1:$I$89,3,0)*VLOOKUP('Données projet'!$B$9,Paramètres!$A$1:$I$89,5,0)</f>
        <v>8.0694917414803056E-13</v>
      </c>
      <c r="P199" s="13">
        <f t="shared" si="203"/>
        <v>9.5069530861628001E-12</v>
      </c>
      <c r="Q199" s="20">
        <f t="shared" si="162"/>
        <v>1.7963379770041364E-11</v>
      </c>
      <c r="R199" s="59">
        <f t="shared" si="191"/>
        <v>293.33333333335128</v>
      </c>
      <c r="S199" s="59">
        <f ca="1">AVERAGE(OFFSET($R$3,0,0,'Données projet'!$E$9+1,1))-AVERAGE(OFFSET($H$3,0,0,'Données projet'!$E$9+1,1))</f>
        <v>706.69239849991595</v>
      </c>
      <c r="T199" s="59">
        <f t="shared" si="204"/>
        <v>310.59887275116529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133.52549085214642</v>
      </c>
      <c r="AA199" s="21">
        <f>EXP(-LN(2)/25)*AA198+(1-EXP(-LN(2)/25))/(LN(2)/25)*Calculateur!V199*Calculateur!X199*VLOOKUP('Données projet'!$B$9,Paramètres!$A$1:$I$89,3,0)*0.475*44/12</f>
        <v>20.117481596340191</v>
      </c>
      <c r="AB199" s="21">
        <f>EXP(-LN(2)/2)*AB198+(1-EXP(-LN(2)/2))/(LN(2)/2)*V199*Y199*VLOOKUP('Données projet'!$B$9,Paramètres!$A$1:$I$89,3,0)*0.475*44/12</f>
        <v>0.13155443939024999</v>
      </c>
      <c r="AC199" s="22">
        <f t="shared" si="163"/>
        <v>153.77452688787685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239.26156489359892</v>
      </c>
      <c r="AO199" s="59">
        <f t="shared" si="205"/>
        <v>213.97034450798111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1.3252503236241551</v>
      </c>
      <c r="AV199" s="21">
        <f>EXP(-LN(2)/25)*AV198+(1-EXP(-LN(2)/25))/(LN(2)/25)*Calculateur!AQ199*Calculateur!AS199*VLOOKUP('Données projet'!$B$10,Paramètres!$A$1:$I$89,3,0)*0.475*44/12</f>
        <v>3.3797275446606592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4.7049778682848142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-1.7053025658242404E-13</v>
      </c>
      <c r="BE199" s="13">
        <f>BD199*VLOOKUP('Données projet'!$B$11,Paramètres!$A$1:$I$89,3,0)*VLOOKUP('Données projet'!$B$11,Paramètres!$A$1:$I$89,5,0)</f>
        <v>-1.4897523215040567E-13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324.86930206492627</v>
      </c>
      <c r="BJ199" s="59">
        <f t="shared" si="206"/>
        <v>317.03005098025352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4.6320247626643249</v>
      </c>
      <c r="BQ199" s="21">
        <f>EXP(-LN(2)/25)*BQ198+(1-EXP(-LN(2)/25))/(LN(2)/25)*Calculateur!BL199*Calculateur!BN199*VLOOKUP('Données projet'!$B$11,Paramètres!$A$1:$I$89,3,0)*0.475*44/12</f>
        <v>1.8655886006236835</v>
      </c>
      <c r="BR199" s="21">
        <f>EXP(-LN(2)/2)*BR198+(1-EXP(-LN(2)/2))/(LN(2)/2)*BL199*BO199*VLOOKUP('Données projet'!$B$11,Paramètres!$A$1:$I$89,3,0)*0.475*44/12</f>
        <v>1.9802218552180567E-16</v>
      </c>
      <c r="BS199" s="22">
        <f t="shared" si="169"/>
        <v>6.4976133632880089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-2.8421709430404007E-13</v>
      </c>
      <c r="BZ199" s="13">
        <f>BY199*VLOOKUP('Données projet'!$B$12,Paramètres!$A$1:$I$89,3,0)*VLOOKUP('Données projet'!$B$12,Paramètres!$A$1:$I$89,5,0)</f>
        <v>-3.2366642699344083E-13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593.28343396240075</v>
      </c>
      <c r="CE199" s="59">
        <f t="shared" si="207"/>
        <v>289.66477662068695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137.37741466737396</v>
      </c>
      <c r="CL199" s="21">
        <f>EXP(-LN(2)/25)*CL198+(1-EXP(-LN(2)/25))/(LN(2)/25)*Calculateur!CG199*Calculateur!CI199*VLOOKUP('Données projet'!$B$12,Paramètres!$A$1:$I$89,3,0)*0.475*44/12</f>
        <v>41.625538859960997</v>
      </c>
      <c r="CM199" s="21">
        <f>EXP(-LN(2)/2)*CM198+(1-EXP(-LN(2)/2))/(LN(2)/2)*CG199*CJ199*VLOOKUP('Données projet'!$B$12,Paramètres!$A$1:$I$89,3,0)*0.475*44/12</f>
        <v>1.3771928221632979</v>
      </c>
      <c r="CN199" s="22">
        <f t="shared" si="172"/>
        <v>180.38014634949826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7.9580786405131221E-13</v>
      </c>
      <c r="CU199" s="17">
        <f>CT199*VLOOKUP('Données projet'!$B$13,Paramètres!$A$1:$I$89,3,0)*VLOOKUP('Données projet'!$B$13,Paramètres!$A$1:$I$89,5,0)</f>
        <v>8.5660758486483253E-13</v>
      </c>
      <c r="CV199" s="13">
        <f t="shared" si="173"/>
        <v>1.0022086930673386E-11</v>
      </c>
      <c r="CW199" s="20">
        <f t="shared" si="174"/>
        <v>1.8947059614562397E-11</v>
      </c>
      <c r="CX199" s="59">
        <f t="shared" si="196"/>
        <v>293.33333333335224</v>
      </c>
      <c r="CY199" s="59">
        <f ca="1">AVERAGE(OFFSET($CX$3,0,0,'Données projet'!$E$13+1,1))-AVERAGE(OFFSET($H$3,0,0,'Données projet'!$E$13+1,1))</f>
        <v>747.18304127457918</v>
      </c>
      <c r="CZ199" s="59">
        <f t="shared" si="208"/>
        <v>327.03701004966723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141.74244413535533</v>
      </c>
      <c r="DG199" s="21">
        <f>EXP(-LN(2)/25)*DG198+(1-EXP(-LN(2)/25))/(LN(2)/25)*Calculateur!DB199*Calculateur!DD199*VLOOKUP('Données projet'!$B$13,Paramètres!$A$1:$I$89,3,0)*0.475*44/12</f>
        <v>21.355480463807272</v>
      </c>
      <c r="DH199" s="21">
        <f>EXP(-LN(2)/2)*DH198+(1-EXP(-LN(2)/2))/(LN(2)/2)*DB199*DE199*VLOOKUP('Données projet'!$B$13,Paramètres!$A$1:$I$89,3,0)*0.475*44/12</f>
        <v>0.13965009719888075</v>
      </c>
      <c r="DI199" s="22">
        <f t="shared" si="175"/>
        <v>163.23757469636149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353.37479213497227</v>
      </c>
      <c r="DU199" s="59">
        <f t="shared" si="209"/>
        <v>345.4750813433123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5.2258183163761558</v>
      </c>
      <c r="EB199" s="21">
        <f>EXP(-LN(2)/25)*EB198+(1-EXP(-LN(2)/25))/(LN(2)/25)*Calculateur!DW199*Calculateur!DY199*VLOOKUP('Données projet'!$B$14,Paramètres!$A$1:$I$89,3,0)*0.475*44/12</f>
        <v>2.0584445581037074</v>
      </c>
      <c r="EC199" s="21">
        <f>EXP(-LN(2)/2)*EC198+(1-EXP(-LN(2)/2))/(LN(2)/2)*DW199*DZ199*VLOOKUP('Données projet'!$B$14,Paramètres!$A$1:$I$89,3,0)*0.475*44/12</f>
        <v>2.1656746258952777E-16</v>
      </c>
      <c r="ED199" s="22">
        <f t="shared" si="178"/>
        <v>7.2842628744798628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-4.5474735088646412E-13</v>
      </c>
      <c r="EK199" s="17">
        <f>EJ199*VLOOKUP('Données projet'!$B$15,Paramètres!$A$1:$I$89,3,0)*VLOOKUP('Données projet'!$B$15,Paramètres!$A$1:$I$89,5,0)</f>
        <v>-2.1282176021486519E-13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433.05041777893922</v>
      </c>
      <c r="EP199" s="59">
        <f t="shared" si="210"/>
        <v>591.24088611958996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57.970854193309044</v>
      </c>
      <c r="EW199" s="21">
        <f>EXP(-LN(2)/25)*EW198+(1-EXP(-LN(2)/25))/(LN(2)/25)*Calculateur!ER199*Calculateur!ET199*VLOOKUP('Données projet'!$B$15,Paramètres!$A$1:$I$89,3,0)*0.475*44/12</f>
        <v>8.6110798091887961</v>
      </c>
      <c r="EX199" s="21">
        <f>EXP(-LN(2)/2)*EX198+(1-EXP(-LN(2)/2))/(LN(2)/2)*ER199*EU199*VLOOKUP('Données projet'!$B$15,Paramètres!$A$1:$I$89,3,0)*0.475*44/12</f>
        <v>9.8266103343192511E-13</v>
      </c>
      <c r="EY199" s="22">
        <f t="shared" si="181"/>
        <v>66.581934002498826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-8.5265128291212022E-14</v>
      </c>
      <c r="FF199" s="17">
        <f>FE199*VLOOKUP('Données projet'!$B$16,Paramètres!$A$1:$I$89,3,0)*VLOOKUP('Données projet'!$B$16,Paramètres!$A$1:$I$89,5,0)</f>
        <v>-6.9167072069831198E-14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159.4660488566085</v>
      </c>
      <c r="FK199" s="59">
        <f t="shared" si="211"/>
        <v>135.33030558297088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</v>
      </c>
      <c r="FR199" s="21">
        <f>EXP(-LN(2)/25)*FR198+(1-EXP(-LN(2)/25))/(LN(2)/25)*Calculateur!FM199*Calculateur!FO199*VLOOKUP('Données projet'!$B$16,Paramètres!$A$1:$I$89,3,0)*0.475*44/12</f>
        <v>0.85623579367391289</v>
      </c>
      <c r="FS199" s="21">
        <f>EXP(-LN(2)/2)*FS198+(1-EXP(-LN(2)/2))/(LN(2)/2)*FM199*FP199*VLOOKUP('Données projet'!$B$16,Paramètres!$A$1:$I$89,3,0)*0.475*44/12</f>
        <v>2.7805609396337131E-15</v>
      </c>
      <c r="FT199" s="22">
        <f t="shared" si="184"/>
        <v>0.85623579367391567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7.9580786405131221E-13</v>
      </c>
      <c r="O200" s="13">
        <f>N200*VLOOKUP('Données projet'!$B$9,Paramètres!$A$1:$I$89,3,0)*VLOOKUP('Données projet'!$B$9,Paramètres!$A$1:$I$89,5,0)</f>
        <v>8.0694917414803056E-13</v>
      </c>
      <c r="P200" s="13">
        <f t="shared" si="203"/>
        <v>9.5069530861628001E-12</v>
      </c>
      <c r="Q200" s="20">
        <f t="shared" si="162"/>
        <v>1.7963379770041364E-11</v>
      </c>
      <c r="R200" s="59">
        <f t="shared" si="191"/>
        <v>293.33333333335128</v>
      </c>
      <c r="S200" s="59">
        <f ca="1">AVERAGE(OFFSET($R$3,0,0,'Données projet'!$E$9+1,1))-AVERAGE(OFFSET($H$3,0,0,'Données projet'!$E$9+1,1))</f>
        <v>706.69239849991595</v>
      </c>
      <c r="T200" s="59">
        <f t="shared" si="204"/>
        <v>310.59887275116529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130.90713741904347</v>
      </c>
      <c r="AA200" s="21">
        <f>EXP(-LN(2)/25)*AA199+(1-EXP(-LN(2)/25))/(LN(2)/25)*Calculateur!V200*Calculateur!X200*VLOOKUP('Données projet'!$B$9,Paramètres!$A$1:$I$89,3,0)*0.475*44/12</f>
        <v>19.567368004155892</v>
      </c>
      <c r="AB200" s="21">
        <f>EXP(-LN(2)/2)*AB199+(1-EXP(-LN(2)/2))/(LN(2)/2)*V200*Y200*VLOOKUP('Données projet'!$B$9,Paramètres!$A$1:$I$89,3,0)*0.475*44/12</f>
        <v>9.3023036188040434E-2</v>
      </c>
      <c r="AC200" s="22">
        <f t="shared" si="163"/>
        <v>150.5675284593874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239.26156489359892</v>
      </c>
      <c r="AO200" s="59">
        <f t="shared" si="205"/>
        <v>213.97034450798111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1.2992629731007674</v>
      </c>
      <c r="AV200" s="21">
        <f>EXP(-LN(2)/25)*AV199+(1-EXP(-LN(2)/25))/(LN(2)/25)*Calculateur!AQ200*Calculateur!AS200*VLOOKUP('Données projet'!$B$10,Paramètres!$A$1:$I$89,3,0)*0.475*44/12</f>
        <v>3.2873087172197661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4.5865716903205334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-1.7053025658242404E-13</v>
      </c>
      <c r="BE200" s="13">
        <f>BD200*VLOOKUP('Données projet'!$B$11,Paramètres!$A$1:$I$89,3,0)*VLOOKUP('Données projet'!$B$11,Paramètres!$A$1:$I$89,5,0)</f>
        <v>-1.4897523215040567E-13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324.86930206492627</v>
      </c>
      <c r="BJ200" s="59">
        <f t="shared" si="206"/>
        <v>317.03005098025352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4.5411935823246115</v>
      </c>
      <c r="BQ200" s="21">
        <f>EXP(-LN(2)/25)*BQ199+(1-EXP(-LN(2)/25))/(LN(2)/25)*Calculateur!BL200*Calculateur!BN200*VLOOKUP('Données projet'!$B$11,Paramètres!$A$1:$I$89,3,0)*0.475*44/12</f>
        <v>1.8145739822325881</v>
      </c>
      <c r="BR200" s="21">
        <f>EXP(-LN(2)/2)*BR199+(1-EXP(-LN(2)/2))/(LN(2)/2)*BL200*BO200*VLOOKUP('Données projet'!$B$11,Paramètres!$A$1:$I$89,3,0)*0.475*44/12</f>
        <v>1.4002283020784936E-16</v>
      </c>
      <c r="BS200" s="22">
        <f t="shared" si="169"/>
        <v>6.3557675645571994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-2.8421709430404007E-13</v>
      </c>
      <c r="BZ200" s="13">
        <f>BY200*VLOOKUP('Données projet'!$B$12,Paramètres!$A$1:$I$89,3,0)*VLOOKUP('Données projet'!$B$12,Paramètres!$A$1:$I$89,5,0)</f>
        <v>-3.2366642699344083E-13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593.28343396240075</v>
      </c>
      <c r="CE200" s="59">
        <f t="shared" si="207"/>
        <v>289.66477662068695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134.68352735769594</v>
      </c>
      <c r="CL200" s="21">
        <f>EXP(-LN(2)/25)*CL199+(1-EXP(-LN(2)/25))/(LN(2)/25)*Calculateur!CG200*Calculateur!CI200*VLOOKUP('Données projet'!$B$12,Paramètres!$A$1:$I$89,3,0)*0.475*44/12</f>
        <v>40.487286310843409</v>
      </c>
      <c r="CM200" s="21">
        <f>EXP(-LN(2)/2)*CM199+(1-EXP(-LN(2)/2))/(LN(2)/2)*CG200*CJ200*VLOOKUP('Données projet'!$B$12,Paramètres!$A$1:$I$89,3,0)*0.475*44/12</f>
        <v>0.97382238355310702</v>
      </c>
      <c r="CN200" s="22">
        <f t="shared" si="172"/>
        <v>176.14463605209247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7.9580786405131221E-13</v>
      </c>
      <c r="CU200" s="17">
        <f>CT200*VLOOKUP('Données projet'!$B$13,Paramètres!$A$1:$I$89,3,0)*VLOOKUP('Données projet'!$B$13,Paramètres!$A$1:$I$89,5,0)</f>
        <v>8.5660758486483253E-13</v>
      </c>
      <c r="CV200" s="13">
        <f t="shared" si="173"/>
        <v>1.0022086930673386E-11</v>
      </c>
      <c r="CW200" s="20">
        <f t="shared" si="174"/>
        <v>1.8947059614562397E-11</v>
      </c>
      <c r="CX200" s="59">
        <f t="shared" si="196"/>
        <v>293.33333333335224</v>
      </c>
      <c r="CY200" s="59">
        <f ca="1">AVERAGE(OFFSET($CX$3,0,0,'Données projet'!$E$13+1,1))-AVERAGE(OFFSET($H$3,0,0,'Données projet'!$E$13+1,1))</f>
        <v>747.18304127457918</v>
      </c>
      <c r="CZ200" s="59">
        <f t="shared" si="208"/>
        <v>327.03701004966723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138.96296126021528</v>
      </c>
      <c r="DG200" s="21">
        <f>EXP(-LN(2)/25)*DG199+(1-EXP(-LN(2)/25))/(LN(2)/25)*Calculateur!DB200*Calculateur!DD200*VLOOKUP('Données projet'!$B$13,Paramètres!$A$1:$I$89,3,0)*0.475*44/12</f>
        <v>20.771513727488554</v>
      </c>
      <c r="DH200" s="21">
        <f>EXP(-LN(2)/2)*DH199+(1-EXP(-LN(2)/2))/(LN(2)/2)*DB200*DE200*VLOOKUP('Données projet'!$B$13,Paramètres!$A$1:$I$89,3,0)*0.475*44/12</f>
        <v>9.8747530722689061E-2</v>
      </c>
      <c r="DI200" s="22">
        <f t="shared" si="175"/>
        <v>159.83322251842651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353.37479213497227</v>
      </c>
      <c r="DU200" s="59">
        <f t="shared" si="209"/>
        <v>345.4750813433123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5.1233432066264593</v>
      </c>
      <c r="EB200" s="21">
        <f>EXP(-LN(2)/25)*EB199+(1-EXP(-LN(2)/25))/(LN(2)/25)*Calculateur!DW200*Calculateur!DY200*VLOOKUP('Données projet'!$B$14,Paramètres!$A$1:$I$89,3,0)*0.475*44/12</f>
        <v>2.0021562834134667</v>
      </c>
      <c r="EC200" s="21">
        <f>EXP(-LN(2)/2)*EC199+(1-EXP(-LN(2)/2))/(LN(2)/2)*DW200*DZ200*VLOOKUP('Données projet'!$B$14,Paramètres!$A$1:$I$89,3,0)*0.475*44/12</f>
        <v>1.5313632138141903E-16</v>
      </c>
      <c r="ED200" s="22">
        <f t="shared" si="178"/>
        <v>7.1254994900399264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-4.5474735088646412E-13</v>
      </c>
      <c r="EK200" s="17">
        <f>EJ200*VLOOKUP('Données projet'!$B$15,Paramètres!$A$1:$I$89,3,0)*VLOOKUP('Données projet'!$B$15,Paramètres!$A$1:$I$89,5,0)</f>
        <v>-2.1282176021486519E-13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433.05041777893922</v>
      </c>
      <c r="EP200" s="59">
        <f t="shared" si="210"/>
        <v>591.24088611958996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56.83408110130793</v>
      </c>
      <c r="EW200" s="21">
        <f>EXP(-LN(2)/25)*EW199+(1-EXP(-LN(2)/25))/(LN(2)/25)*Calculateur!ER200*Calculateur!ET200*VLOOKUP('Données projet'!$B$15,Paramètres!$A$1:$I$89,3,0)*0.475*44/12</f>
        <v>8.3756093789695214</v>
      </c>
      <c r="EX200" s="21">
        <f>EXP(-LN(2)/2)*EX199+(1-EXP(-LN(2)/2))/(LN(2)/2)*ER200*EU200*VLOOKUP('Données projet'!$B$15,Paramètres!$A$1:$I$89,3,0)*0.475*44/12</f>
        <v>6.9484628034749495E-13</v>
      </c>
      <c r="EY200" s="22">
        <f t="shared" si="181"/>
        <v>65.209690480278155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-8.5265128291212022E-14</v>
      </c>
      <c r="FF200" s="17">
        <f>FE200*VLOOKUP('Données projet'!$B$16,Paramètres!$A$1:$I$89,3,0)*VLOOKUP('Données projet'!$B$16,Paramètres!$A$1:$I$89,5,0)</f>
        <v>-6.9167072069831198E-14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159.4660488566085</v>
      </c>
      <c r="FK200" s="59">
        <f t="shared" si="211"/>
        <v>135.33030558297088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</v>
      </c>
      <c r="FR200" s="21">
        <f>EXP(-LN(2)/25)*FR199+(1-EXP(-LN(2)/25))/(LN(2)/25)*Calculateur!FM200*Calculateur!FO200*VLOOKUP('Données projet'!$B$16,Paramètres!$A$1:$I$89,3,0)*0.475*44/12</f>
        <v>0.8328219808684163</v>
      </c>
      <c r="FS200" s="21">
        <f>EXP(-LN(2)/2)*FS199+(1-EXP(-LN(2)/2))/(LN(2)/2)*FM200*FP200*VLOOKUP('Données projet'!$B$16,Paramètres!$A$1:$I$89,3,0)*0.475*44/12</f>
        <v>1.9661534959174369E-15</v>
      </c>
      <c r="FT200" s="22">
        <f t="shared" si="184"/>
        <v>0.8328219808684183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7.9580786405131221E-13</v>
      </c>
      <c r="O201" s="13">
        <f>N201*VLOOKUP('Données projet'!$B$9,Paramètres!$A$1:$I$89,3,0)*VLOOKUP('Données projet'!$B$9,Paramètres!$A$1:$I$89,5,0)</f>
        <v>8.0694917414803056E-13</v>
      </c>
      <c r="P201" s="13">
        <f t="shared" si="203"/>
        <v>9.5069530861628001E-12</v>
      </c>
      <c r="Q201" s="20">
        <f t="shared" si="162"/>
        <v>1.7963379770041364E-11</v>
      </c>
      <c r="R201" s="59">
        <f t="shared" si="191"/>
        <v>293.33333333335128</v>
      </c>
      <c r="S201" s="59">
        <f ca="1">AVERAGE(OFFSET($R$3,0,0,'Données projet'!$E$9+1,1))-AVERAGE(OFFSET($H$3,0,0,'Données projet'!$E$9+1,1))</f>
        <v>706.69239849991595</v>
      </c>
      <c r="T201" s="59">
        <f t="shared" si="204"/>
        <v>310.59887275116529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128.34012829972576</v>
      </c>
      <c r="AA201" s="21">
        <f>EXP(-LN(2)/25)*AA200+(1-EXP(-LN(2)/25))/(LN(2)/25)*Calculateur!V201*Calculateur!X201*VLOOKUP('Données projet'!$B$9,Paramètres!$A$1:$I$89,3,0)*0.475*44/12</f>
        <v>19.032297297079086</v>
      </c>
      <c r="AB201" s="21">
        <f>EXP(-LN(2)/2)*AB200+(1-EXP(-LN(2)/2))/(LN(2)/2)*V201*Y201*VLOOKUP('Données projet'!$B$9,Paramètres!$A$1:$I$89,3,0)*0.475*44/12</f>
        <v>6.5777219695124997E-2</v>
      </c>
      <c r="AC201" s="22">
        <f t="shared" si="163"/>
        <v>147.43820281649997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239.26156489359892</v>
      </c>
      <c r="AO201" s="59">
        <f t="shared" si="205"/>
        <v>213.97034450798111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1.2737852186704248</v>
      </c>
      <c r="AV201" s="21">
        <f>EXP(-LN(2)/25)*AV200+(1-EXP(-LN(2)/25))/(LN(2)/25)*Calculateur!AQ201*Calculateur!AS201*VLOOKUP('Données projet'!$B$10,Paramètres!$A$1:$I$89,3,0)*0.475*44/12</f>
        <v>3.1974170874753396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4.4712023061457646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-1.7053025658242404E-13</v>
      </c>
      <c r="BE201" s="13">
        <f>BD201*VLOOKUP('Données projet'!$B$11,Paramètres!$A$1:$I$89,3,0)*VLOOKUP('Données projet'!$B$11,Paramètres!$A$1:$I$89,5,0)</f>
        <v>-1.4897523215040567E-13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324.86930206492627</v>
      </c>
      <c r="BJ201" s="59">
        <f t="shared" si="206"/>
        <v>317.03005098025352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4.4521435460298102</v>
      </c>
      <c r="BQ201" s="21">
        <f>EXP(-LN(2)/25)*BQ200+(1-EXP(-LN(2)/25))/(LN(2)/25)*Calculateur!BL201*Calculateur!BN201*VLOOKUP('Données projet'!$B$11,Paramètres!$A$1:$I$89,3,0)*0.475*44/12</f>
        <v>1.7649543612641396</v>
      </c>
      <c r="BR201" s="21">
        <f>EXP(-LN(2)/2)*BR200+(1-EXP(-LN(2)/2))/(LN(2)/2)*BL201*BO201*VLOOKUP('Données projet'!$B$11,Paramètres!$A$1:$I$89,3,0)*0.475*44/12</f>
        <v>9.9011092760902833E-17</v>
      </c>
      <c r="BS201" s="22">
        <f t="shared" si="169"/>
        <v>6.2170979072939501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-2.8421709430404007E-13</v>
      </c>
      <c r="BZ201" s="13">
        <f>BY201*VLOOKUP('Données projet'!$B$12,Paramètres!$A$1:$I$89,3,0)*VLOOKUP('Données projet'!$B$12,Paramètres!$A$1:$I$89,5,0)</f>
        <v>-3.2366642699344083E-13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593.28343396240075</v>
      </c>
      <c r="CE201" s="59">
        <f t="shared" si="207"/>
        <v>289.66477662068695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132.04246553505169</v>
      </c>
      <c r="CL201" s="21">
        <f>EXP(-LN(2)/25)*CL200+(1-EXP(-LN(2)/25))/(LN(2)/25)*Calculateur!CG201*Calculateur!CI201*VLOOKUP('Données projet'!$B$12,Paramètres!$A$1:$I$89,3,0)*0.475*44/12</f>
        <v>39.380159337539546</v>
      </c>
      <c r="CM201" s="21">
        <f>EXP(-LN(2)/2)*CM200+(1-EXP(-LN(2)/2))/(LN(2)/2)*CG201*CJ201*VLOOKUP('Données projet'!$B$12,Paramètres!$A$1:$I$89,3,0)*0.475*44/12</f>
        <v>0.68859641108164904</v>
      </c>
      <c r="CN201" s="22">
        <f t="shared" si="172"/>
        <v>172.11122128367288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7.9580786405131221E-13</v>
      </c>
      <c r="CU201" s="17">
        <f>CT201*VLOOKUP('Données projet'!$B$13,Paramètres!$A$1:$I$89,3,0)*VLOOKUP('Données projet'!$B$13,Paramètres!$A$1:$I$89,5,0)</f>
        <v>8.5660758486483253E-13</v>
      </c>
      <c r="CV201" s="13">
        <f t="shared" si="173"/>
        <v>1.0022086930673386E-11</v>
      </c>
      <c r="CW201" s="20">
        <f t="shared" si="174"/>
        <v>1.8947059614562397E-11</v>
      </c>
      <c r="CX201" s="59">
        <f t="shared" si="196"/>
        <v>293.33333333335224</v>
      </c>
      <c r="CY201" s="59">
        <f ca="1">AVERAGE(OFFSET($CX$3,0,0,'Données projet'!$E$13+1,1))-AVERAGE(OFFSET($H$3,0,0,'Données projet'!$E$13+1,1))</f>
        <v>747.18304127457918</v>
      </c>
      <c r="CZ201" s="59">
        <f t="shared" si="208"/>
        <v>327.03701004966723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136.23798234893957</v>
      </c>
      <c r="DG201" s="21">
        <f>EXP(-LN(2)/25)*DG200+(1-EXP(-LN(2)/25))/(LN(2)/25)*Calculateur!DB201*Calculateur!DD201*VLOOKUP('Données projet'!$B$13,Paramètres!$A$1:$I$89,3,0)*0.475*44/12</f>
        <v>20.203515592283946</v>
      </c>
      <c r="DH201" s="21">
        <f>EXP(-LN(2)/2)*DH200+(1-EXP(-LN(2)/2))/(LN(2)/2)*DB201*DE201*VLOOKUP('Données projet'!$B$13,Paramètres!$A$1:$I$89,3,0)*0.475*44/12</f>
        <v>6.9825048599440373E-2</v>
      </c>
      <c r="DI201" s="22">
        <f t="shared" si="175"/>
        <v>156.51132298982293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353.37479213497227</v>
      </c>
      <c r="DU201" s="59">
        <f t="shared" si="209"/>
        <v>345.4750813433123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5.0228775712753091</v>
      </c>
      <c r="EB201" s="21">
        <f>EXP(-LN(2)/25)*EB200+(1-EXP(-LN(2)/25))/(LN(2)/25)*Calculateur!DW201*Calculateur!DY201*VLOOKUP('Données projet'!$B$14,Paramètres!$A$1:$I$89,3,0)*0.475*44/12</f>
        <v>1.9474072145547026</v>
      </c>
      <c r="EC201" s="21">
        <f>EXP(-LN(2)/2)*EC200+(1-EXP(-LN(2)/2))/(LN(2)/2)*DW201*DZ201*VLOOKUP('Données projet'!$B$14,Paramètres!$A$1:$I$89,3,0)*0.475*44/12</f>
        <v>1.0828373129476389E-16</v>
      </c>
      <c r="ED201" s="22">
        <f t="shared" si="178"/>
        <v>6.9702847858300121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-4.5474735088646412E-13</v>
      </c>
      <c r="EK201" s="17">
        <f>EJ201*VLOOKUP('Données projet'!$B$15,Paramètres!$A$1:$I$89,3,0)*VLOOKUP('Données projet'!$B$15,Paramètres!$A$1:$I$89,5,0)</f>
        <v>-2.1282176021486519E-13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433.05041777893922</v>
      </c>
      <c r="EP201" s="59">
        <f t="shared" si="210"/>
        <v>591.24088611958996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55.719599436277832</v>
      </c>
      <c r="EW201" s="21">
        <f>EXP(-LN(2)/25)*EW200+(1-EXP(-LN(2)/25))/(LN(2)/25)*Calculateur!ER201*Calculateur!ET201*VLOOKUP('Données projet'!$B$15,Paramètres!$A$1:$I$89,3,0)*0.475*44/12</f>
        <v>8.1465779000474452</v>
      </c>
      <c r="EX201" s="21">
        <f>EXP(-LN(2)/2)*EX200+(1-EXP(-LN(2)/2))/(LN(2)/2)*ER201*EU201*VLOOKUP('Données projet'!$B$15,Paramètres!$A$1:$I$89,3,0)*0.475*44/12</f>
        <v>4.9133051671596255E-13</v>
      </c>
      <c r="EY201" s="22">
        <f t="shared" si="181"/>
        <v>63.866177336325769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-8.5265128291212022E-14</v>
      </c>
      <c r="FF201" s="17">
        <f>FE201*VLOOKUP('Données projet'!$B$16,Paramètres!$A$1:$I$89,3,0)*VLOOKUP('Données projet'!$B$16,Paramètres!$A$1:$I$89,5,0)</f>
        <v>-6.9167072069831198E-14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159.4660488566085</v>
      </c>
      <c r="FK201" s="59">
        <f t="shared" si="211"/>
        <v>135.33030558297088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</v>
      </c>
      <c r="FR201" s="21">
        <f>EXP(-LN(2)/25)*FR200+(1-EXP(-LN(2)/25))/(LN(2)/25)*Calculateur!FM201*Calculateur!FO201*VLOOKUP('Données projet'!$B$16,Paramètres!$A$1:$I$89,3,0)*0.475*44/12</f>
        <v>0.81004842000536492</v>
      </c>
      <c r="FS201" s="21">
        <f>EXP(-LN(2)/2)*FS200+(1-EXP(-LN(2)/2))/(LN(2)/2)*FM201*FP201*VLOOKUP('Données projet'!$B$16,Paramètres!$A$1:$I$89,3,0)*0.475*44/12</f>
        <v>1.3902804698168566E-15</v>
      </c>
      <c r="FT201" s="22">
        <f t="shared" si="184"/>
        <v>0.81004842000536637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7.9580786405131221E-13</v>
      </c>
      <c r="O202" s="13">
        <f>N202*VLOOKUP('Données projet'!$B$9,Paramètres!$A$1:$I$89,3,0)*VLOOKUP('Données projet'!$B$9,Paramètres!$A$1:$I$89,5,0)</f>
        <v>8.0694917414803056E-13</v>
      </c>
      <c r="P202" s="13">
        <f t="shared" si="203"/>
        <v>9.5069530861628001E-12</v>
      </c>
      <c r="Q202" s="20">
        <f t="shared" si="162"/>
        <v>1.7963379770041364E-11</v>
      </c>
      <c r="R202" s="59">
        <f t="shared" si="191"/>
        <v>293.33333333335128</v>
      </c>
      <c r="S202" s="59">
        <f ca="1">AVERAGE(OFFSET($R$3,0,0,'Données projet'!$E$9+1,1))-AVERAGE(OFFSET($H$3,0,0,'Données projet'!$E$9+1,1))</f>
        <v>706.69239849991595</v>
      </c>
      <c r="T202" s="59">
        <f t="shared" si="204"/>
        <v>310.59887275116529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125.82345666351692</v>
      </c>
      <c r="AA202" s="21">
        <f>EXP(-LN(2)/25)*AA201+(1-EXP(-LN(2)/25))/(LN(2)/25)*Calculateur!V202*Calculateur!X202*VLOOKUP('Données projet'!$B$9,Paramètres!$A$1:$I$89,3,0)*0.475*44/12</f>
        <v>18.511858126625444</v>
      </c>
      <c r="AB202" s="21">
        <f>EXP(-LN(2)/2)*AB201+(1-EXP(-LN(2)/2))/(LN(2)/2)*V202*Y202*VLOOKUP('Données projet'!$B$9,Paramètres!$A$1:$I$89,3,0)*0.475*44/12</f>
        <v>4.6511518094020217E-2</v>
      </c>
      <c r="AC202" s="22">
        <f t="shared" si="163"/>
        <v>144.38182630823638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239.26156489359892</v>
      </c>
      <c r="AO202" s="59">
        <f t="shared" si="205"/>
        <v>213.97034450798111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1.2488070674645655</v>
      </c>
      <c r="AV202" s="21">
        <f>EXP(-LN(2)/25)*AV201+(1-EXP(-LN(2)/25))/(LN(2)/25)*Calculateur!AQ202*Calculateur!AS202*VLOOKUP('Données projet'!$B$10,Paramètres!$A$1:$I$89,3,0)*0.475*44/12</f>
        <v>3.1099835490734695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4.3587906165380348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-1.7053025658242404E-13</v>
      </c>
      <c r="BE202" s="13">
        <f>BD202*VLOOKUP('Données projet'!$B$11,Paramètres!$A$1:$I$89,3,0)*VLOOKUP('Données projet'!$B$11,Paramètres!$A$1:$I$89,5,0)</f>
        <v>-1.4897523215040567E-13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324.86930206492627</v>
      </c>
      <c r="BJ202" s="59">
        <f t="shared" si="206"/>
        <v>317.03005098025352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4.3648397266315913</v>
      </c>
      <c r="BQ202" s="21">
        <f>EXP(-LN(2)/25)*BQ201+(1-EXP(-LN(2)/25))/(LN(2)/25)*Calculateur!BL202*Calculateur!BN202*VLOOKUP('Données projet'!$B$11,Paramètres!$A$1:$I$89,3,0)*0.475*44/12</f>
        <v>1.7166915914404557</v>
      </c>
      <c r="BR202" s="21">
        <f>EXP(-LN(2)/2)*BR201+(1-EXP(-LN(2)/2))/(LN(2)/2)*BL202*BO202*VLOOKUP('Données projet'!$B$11,Paramètres!$A$1:$I$89,3,0)*0.475*44/12</f>
        <v>7.0011415103924678E-17</v>
      </c>
      <c r="BS202" s="22">
        <f t="shared" si="169"/>
        <v>6.0815313180720469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-2.8421709430404007E-13</v>
      </c>
      <c r="BZ202" s="13">
        <f>BY202*VLOOKUP('Données projet'!$B$12,Paramètres!$A$1:$I$89,3,0)*VLOOKUP('Données projet'!$B$12,Paramètres!$A$1:$I$89,5,0)</f>
        <v>-3.2366642699344083E-13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593.28343396240075</v>
      </c>
      <c r="CE202" s="59">
        <f t="shared" si="207"/>
        <v>289.66477662068695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129.45319332386083</v>
      </c>
      <c r="CL202" s="21">
        <f>EXP(-LN(2)/25)*CL201+(1-EXP(-LN(2)/25))/(LN(2)/25)*Calculateur!CG202*Calculateur!CI202*VLOOKUP('Données projet'!$B$12,Paramètres!$A$1:$I$89,3,0)*0.475*44/12</f>
        <v>38.303306809541951</v>
      </c>
      <c r="CM202" s="21">
        <f>EXP(-LN(2)/2)*CM201+(1-EXP(-LN(2)/2))/(LN(2)/2)*CG202*CJ202*VLOOKUP('Données projet'!$B$12,Paramètres!$A$1:$I$89,3,0)*0.475*44/12</f>
        <v>0.48691119177655356</v>
      </c>
      <c r="CN202" s="22">
        <f t="shared" si="172"/>
        <v>168.24341132517932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7.9580786405131221E-13</v>
      </c>
      <c r="CU202" s="17">
        <f>CT202*VLOOKUP('Données projet'!$B$13,Paramètres!$A$1:$I$89,3,0)*VLOOKUP('Données projet'!$B$13,Paramètres!$A$1:$I$89,5,0)</f>
        <v>8.5660758486483253E-13</v>
      </c>
      <c r="CV202" s="13">
        <f t="shared" si="173"/>
        <v>1.0022086930673386E-11</v>
      </c>
      <c r="CW202" s="20">
        <f t="shared" si="174"/>
        <v>1.8947059614562397E-11</v>
      </c>
      <c r="CX202" s="59">
        <f t="shared" si="196"/>
        <v>293.33333333335224</v>
      </c>
      <c r="CY202" s="59">
        <f ca="1">AVERAGE(OFFSET($CX$3,0,0,'Données projet'!$E$13+1,1))-AVERAGE(OFFSET($H$3,0,0,'Données projet'!$E$13+1,1))</f>
        <v>747.18304127457918</v>
      </c>
      <c r="CZ202" s="59">
        <f t="shared" si="208"/>
        <v>327.03701004966723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133.56643861204094</v>
      </c>
      <c r="DG202" s="21">
        <f>EXP(-LN(2)/25)*DG201+(1-EXP(-LN(2)/25))/(LN(2)/25)*Calculateur!DB202*Calculateur!DD202*VLOOKUP('Données projet'!$B$13,Paramètres!$A$1:$I$89,3,0)*0.475*44/12</f>
        <v>19.651049395956232</v>
      </c>
      <c r="DH202" s="21">
        <f>EXP(-LN(2)/2)*DH201+(1-EXP(-LN(2)/2))/(LN(2)/2)*DB202*DE202*VLOOKUP('Données projet'!$B$13,Paramètres!$A$1:$I$89,3,0)*0.475*44/12</f>
        <v>4.9373765361344531E-2</v>
      </c>
      <c r="DI202" s="22">
        <f t="shared" si="175"/>
        <v>153.2668617733585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353.37479213497227</v>
      </c>
      <c r="DU202" s="59">
        <f t="shared" si="209"/>
        <v>345.4750813433123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4.9243820057554082</v>
      </c>
      <c r="EB202" s="21">
        <f>EXP(-LN(2)/25)*EB201+(1-EXP(-LN(2)/25))/(LN(2)/25)*Calculateur!DW202*Calculateur!DY202*VLOOKUP('Données projet'!$B$14,Paramètres!$A$1:$I$89,3,0)*0.475*44/12</f>
        <v>1.8941552618630098</v>
      </c>
      <c r="EC202" s="21">
        <f>EXP(-LN(2)/2)*EC201+(1-EXP(-LN(2)/2))/(LN(2)/2)*DW202*DZ202*VLOOKUP('Données projet'!$B$14,Paramètres!$A$1:$I$89,3,0)*0.475*44/12</f>
        <v>7.6568160690709516E-17</v>
      </c>
      <c r="ED202" s="22">
        <f t="shared" si="178"/>
        <v>6.8185372676184182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-4.5474735088646412E-13</v>
      </c>
      <c r="EK202" s="17">
        <f>EJ202*VLOOKUP('Données projet'!$B$15,Paramètres!$A$1:$I$89,3,0)*VLOOKUP('Données projet'!$B$15,Paramètres!$A$1:$I$89,5,0)</f>
        <v>-2.1282176021486519E-13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433.05041777893922</v>
      </c>
      <c r="EP202" s="59">
        <f t="shared" si="210"/>
        <v>591.24088611958996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54.626972076932283</v>
      </c>
      <c r="EW202" s="21">
        <f>EXP(-LN(2)/25)*EW201+(1-EXP(-LN(2)/25))/(LN(2)/25)*Calculateur!ER202*Calculateur!ET202*VLOOKUP('Données projet'!$B$15,Paramètres!$A$1:$I$89,3,0)*0.475*44/12</f>
        <v>7.9238092989607356</v>
      </c>
      <c r="EX202" s="21">
        <f>EXP(-LN(2)/2)*EX201+(1-EXP(-LN(2)/2))/(LN(2)/2)*ER202*EU202*VLOOKUP('Données projet'!$B$15,Paramètres!$A$1:$I$89,3,0)*0.475*44/12</f>
        <v>3.4742314017374747E-13</v>
      </c>
      <c r="EY202" s="22">
        <f t="shared" si="181"/>
        <v>62.550781375893365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-8.5265128291212022E-14</v>
      </c>
      <c r="FF202" s="17">
        <f>FE202*VLOOKUP('Données projet'!$B$16,Paramètres!$A$1:$I$89,3,0)*VLOOKUP('Données projet'!$B$16,Paramètres!$A$1:$I$89,5,0)</f>
        <v>-6.9167072069831198E-14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159.4660488566085</v>
      </c>
      <c r="FK202" s="59">
        <f t="shared" si="211"/>
        <v>135.33030558297088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</v>
      </c>
      <c r="FR202" s="21">
        <f>EXP(-LN(2)/25)*FR201+(1-EXP(-LN(2)/25))/(LN(2)/25)*Calculateur!FM202*Calculateur!FO202*VLOOKUP('Données projet'!$B$16,Paramètres!$A$1:$I$89,3,0)*0.475*44/12</f>
        <v>0.78789760336172321</v>
      </c>
      <c r="FS202" s="21">
        <f>EXP(-LN(2)/2)*FS201+(1-EXP(-LN(2)/2))/(LN(2)/2)*FM202*FP202*VLOOKUP('Données projet'!$B$16,Paramètres!$A$1:$I$89,3,0)*0.475*44/12</f>
        <v>9.8307674795871846E-16</v>
      </c>
      <c r="FT202" s="22">
        <f t="shared" si="184"/>
        <v>0.78789760336172421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7.9580786405131221E-13</v>
      </c>
      <c r="O203" s="13">
        <f>N203*VLOOKUP('Données projet'!$B$9,Paramètres!$A$1:$I$89,3,0)*VLOOKUP('Données projet'!$B$9,Paramètres!$A$1:$I$89,5,0)</f>
        <v>8.0694917414803056E-13</v>
      </c>
      <c r="P203" s="13">
        <f t="shared" si="203"/>
        <v>9.5069530861628001E-12</v>
      </c>
      <c r="Q203" s="20">
        <f t="shared" si="162"/>
        <v>1.7963379770041364E-11</v>
      </c>
      <c r="R203" s="59">
        <f t="shared" si="191"/>
        <v>293.33333333335128</v>
      </c>
      <c r="S203" s="59">
        <f ca="1">AVERAGE(OFFSET($R$3,0,0,'Données projet'!$E$9+1,1))-AVERAGE(OFFSET($H$3,0,0,'Données projet'!$E$9+1,1))</f>
        <v>706.69239849991595</v>
      </c>
      <c r="T203" s="59">
        <f t="shared" si="204"/>
        <v>310.59887275116529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123.35613542307601</v>
      </c>
      <c r="AA203" s="21">
        <f>EXP(-LN(2)/25)*AA202+(1-EXP(-LN(2)/25))/(LN(2)/25)*Calculateur!V203*Calculateur!X203*VLOOKUP('Données projet'!$B$9,Paramètres!$A$1:$I$89,3,0)*0.475*44/12</f>
        <v>18.005650392656563</v>
      </c>
      <c r="AB203" s="21">
        <f>EXP(-LN(2)/2)*AB202+(1-EXP(-LN(2)/2))/(LN(2)/2)*V203*Y203*VLOOKUP('Données projet'!$B$9,Paramètres!$A$1:$I$89,3,0)*0.475*44/12</f>
        <v>3.2888609847562499E-2</v>
      </c>
      <c r="AC203" s="22">
        <f t="shared" si="163"/>
        <v>141.39467442558012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239.26156489359892</v>
      </c>
      <c r="AO203" s="59">
        <f t="shared" si="205"/>
        <v>213.97034450798111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1.2243187225686851</v>
      </c>
      <c r="AV203" s="21">
        <f>EXP(-LN(2)/25)*AV202+(1-EXP(-LN(2)/25))/(LN(2)/25)*Calculateur!AQ203*Calculateur!AS203*VLOOKUP('Données projet'!$B$10,Paramètres!$A$1:$I$89,3,0)*0.475*44/12</f>
        <v>3.0249408853771285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4.2492596079458131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-1.7053025658242404E-13</v>
      </c>
      <c r="BE203" s="13">
        <f>BD203*VLOOKUP('Données projet'!$B$11,Paramètres!$A$1:$I$89,3,0)*VLOOKUP('Données projet'!$B$11,Paramètres!$A$1:$I$89,5,0)</f>
        <v>-1.4897523215040567E-13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324.86930206492627</v>
      </c>
      <c r="BJ203" s="59">
        <f t="shared" si="206"/>
        <v>317.03005098025352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4.2792478818816999</v>
      </c>
      <c r="BQ203" s="21">
        <f>EXP(-LN(2)/25)*BQ202+(1-EXP(-LN(2)/25))/(LN(2)/25)*Calculateur!BL203*Calculateur!BN203*VLOOKUP('Données projet'!$B$11,Paramètres!$A$1:$I$89,3,0)*0.475*44/12</f>
        <v>1.6697485695956291</v>
      </c>
      <c r="BR203" s="21">
        <f>EXP(-LN(2)/2)*BR202+(1-EXP(-LN(2)/2))/(LN(2)/2)*BL203*BO203*VLOOKUP('Données projet'!$B$11,Paramètres!$A$1:$I$89,3,0)*0.475*44/12</f>
        <v>4.9505546380451416E-17</v>
      </c>
      <c r="BS203" s="22">
        <f t="shared" si="169"/>
        <v>5.9489964514773295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-2.8421709430404007E-13</v>
      </c>
      <c r="BZ203" s="13">
        <f>BY203*VLOOKUP('Données projet'!$B$12,Paramètres!$A$1:$I$89,3,0)*VLOOKUP('Données projet'!$B$12,Paramètres!$A$1:$I$89,5,0)</f>
        <v>-3.2366642699344083E-13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593.28343396240075</v>
      </c>
      <c r="CE203" s="59">
        <f t="shared" si="207"/>
        <v>289.66477662068695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126.91469516143133</v>
      </c>
      <c r="CL203" s="21">
        <f>EXP(-LN(2)/25)*CL202+(1-EXP(-LN(2)/25))/(LN(2)/25)*Calculateur!CG203*Calculateur!CI203*VLOOKUP('Données projet'!$B$12,Paramètres!$A$1:$I$89,3,0)*0.475*44/12</f>
        <v>37.255900870551663</v>
      </c>
      <c r="CM203" s="21">
        <f>EXP(-LN(2)/2)*CM202+(1-EXP(-LN(2)/2))/(LN(2)/2)*CG203*CJ203*VLOOKUP('Données projet'!$B$12,Paramètres!$A$1:$I$89,3,0)*0.475*44/12</f>
        <v>0.34429820554082458</v>
      </c>
      <c r="CN203" s="22">
        <f t="shared" si="172"/>
        <v>164.51489423752383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7.9580786405131221E-13</v>
      </c>
      <c r="CU203" s="17">
        <f>CT203*VLOOKUP('Données projet'!$B$13,Paramètres!$A$1:$I$89,3,0)*VLOOKUP('Données projet'!$B$13,Paramètres!$A$1:$I$89,5,0)</f>
        <v>8.5660758486483253E-13</v>
      </c>
      <c r="CV203" s="13">
        <f t="shared" si="173"/>
        <v>1.0022086930673386E-11</v>
      </c>
      <c r="CW203" s="20">
        <f t="shared" si="174"/>
        <v>1.8947059614562397E-11</v>
      </c>
      <c r="CX203" s="59">
        <f t="shared" si="196"/>
        <v>293.33333333335224</v>
      </c>
      <c r="CY203" s="59">
        <f ca="1">AVERAGE(OFFSET($CX$3,0,0,'Données projet'!$E$13+1,1))-AVERAGE(OFFSET($H$3,0,0,'Données projet'!$E$13+1,1))</f>
        <v>747.18304127457918</v>
      </c>
      <c r="CZ203" s="59">
        <f t="shared" si="208"/>
        <v>327.03701004966723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130.94728221834214</v>
      </c>
      <c r="DG203" s="21">
        <f>EXP(-LN(2)/25)*DG202+(1-EXP(-LN(2)/25))/(LN(2)/25)*Calculateur!DB203*Calculateur!DD203*VLOOKUP('Données projet'!$B$13,Paramètres!$A$1:$I$89,3,0)*0.475*44/12</f>
        <v>19.113690416820035</v>
      </c>
      <c r="DH203" s="21">
        <f>EXP(-LN(2)/2)*DH202+(1-EXP(-LN(2)/2))/(LN(2)/2)*DB203*DE203*VLOOKUP('Données projet'!$B$13,Paramètres!$A$1:$I$89,3,0)*0.475*44/12</f>
        <v>3.4912524299720187E-2</v>
      </c>
      <c r="DI203" s="22">
        <f t="shared" si="175"/>
        <v>150.09588515946189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353.37479213497227</v>
      </c>
      <c r="DU203" s="59">
        <f t="shared" si="209"/>
        <v>345.4750813433123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4.8278178781989896</v>
      </c>
      <c r="EB203" s="21">
        <f>EXP(-LN(2)/25)*EB202+(1-EXP(-LN(2)/25))/(LN(2)/25)*Calculateur!DW203*Calculateur!DY203*VLOOKUP('Données projet'!$B$14,Paramètres!$A$1:$I$89,3,0)*0.475*44/12</f>
        <v>1.8423594866180697</v>
      </c>
      <c r="EC203" s="21">
        <f>EXP(-LN(2)/2)*EC202+(1-EXP(-LN(2)/2))/(LN(2)/2)*DW203*DZ203*VLOOKUP('Données projet'!$B$14,Paramètres!$A$1:$I$89,3,0)*0.475*44/12</f>
        <v>5.4141865647381944E-17</v>
      </c>
      <c r="ED203" s="22">
        <f t="shared" si="178"/>
        <v>6.670177364817059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-4.5474735088646412E-13</v>
      </c>
      <c r="EK203" s="17">
        <f>EJ203*VLOOKUP('Données projet'!$B$15,Paramètres!$A$1:$I$89,3,0)*VLOOKUP('Données projet'!$B$15,Paramètres!$A$1:$I$89,5,0)</f>
        <v>-2.1282176021486519E-13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433.05041777893922</v>
      </c>
      <c r="EP203" s="59">
        <f t="shared" si="210"/>
        <v>591.24088611958996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53.555770473666612</v>
      </c>
      <c r="EW203" s="21">
        <f>EXP(-LN(2)/25)*EW202+(1-EXP(-LN(2)/25))/(LN(2)/25)*Calculateur!ER203*Calculateur!ET203*VLOOKUP('Données projet'!$B$15,Paramètres!$A$1:$I$89,3,0)*0.475*44/12</f>
        <v>7.7071323169856329</v>
      </c>
      <c r="EX203" s="21">
        <f>EXP(-LN(2)/2)*EX202+(1-EXP(-LN(2)/2))/(LN(2)/2)*ER203*EU203*VLOOKUP('Données projet'!$B$15,Paramètres!$A$1:$I$89,3,0)*0.475*44/12</f>
        <v>2.4566525835798128E-13</v>
      </c>
      <c r="EY203" s="22">
        <f t="shared" si="181"/>
        <v>61.262902790652497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-8.5265128291212022E-14</v>
      </c>
      <c r="FF203" s="17">
        <f>FE203*VLOOKUP('Données projet'!$B$16,Paramètres!$A$1:$I$89,3,0)*VLOOKUP('Données projet'!$B$16,Paramètres!$A$1:$I$89,5,0)</f>
        <v>-6.9167072069831198E-14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159.4660488566085</v>
      </c>
      <c r="FK203" s="59">
        <f t="shared" si="211"/>
        <v>135.33030558297088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</v>
      </c>
      <c r="FR203" s="21">
        <f>EXP(-LN(2)/25)*FR202+(1-EXP(-LN(2)/25))/(LN(2)/25)*Calculateur!FM203*Calculateur!FO203*VLOOKUP('Données projet'!$B$16,Paramètres!$A$1:$I$89,3,0)*0.475*44/12</f>
        <v>0.76635250196406268</v>
      </c>
      <c r="FS203" s="21">
        <f>EXP(-LN(2)/2)*FS202+(1-EXP(-LN(2)/2))/(LN(2)/2)*FM203*FP203*VLOOKUP('Données projet'!$B$16,Paramètres!$A$1:$I$89,3,0)*0.475*44/12</f>
        <v>6.9514023490842828E-16</v>
      </c>
      <c r="FT203" s="22">
        <f t="shared" si="184"/>
        <v>0.76635250196406335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1.1303799945549604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1.2770702581475548</v>
      </c>
      <c r="BA205" s="82">
        <f>EXP(LN('Données projet'!B88)/'Données projet'!A88)</f>
        <v>1.2721747796233518</v>
      </c>
      <c r="BV205" s="82">
        <f>EXP(LN('Données projet'!B114)/'Données projet'!A114)</f>
        <v>1.0924684246274448</v>
      </c>
      <c r="CQ205" s="82">
        <f>EXP(LN('Données projet'!B140)/'Données projet'!A140)</f>
        <v>1.1303799945549604</v>
      </c>
      <c r="DL205" s="82">
        <f>EXP(LN('Données projet'!B166)/'Données projet'!A166)</f>
        <v>1.3208724756526424</v>
      </c>
      <c r="EG205" s="82">
        <f>EXP(LN('Données projet'!B192)/'Données projet'!A192)</f>
        <v>1.171352909781789</v>
      </c>
      <c r="FB205" s="82">
        <f>EXP(LN('Données projet'!B218)/'Données projet'!A218)</f>
        <v>1.2231180032570037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09375" defaultRowHeight="14.6" x14ac:dyDescent="0.4"/>
  <cols>
    <col min="1" max="1" width="23.4609375" style="4" bestFit="1" customWidth="1"/>
    <col min="2" max="2" width="27.61328125" style="4" bestFit="1" customWidth="1"/>
    <col min="3" max="3" width="11.921875" style="4" bestFit="1" customWidth="1"/>
    <col min="4" max="4" width="40" style="4" bestFit="1" customWidth="1"/>
    <col min="5" max="5" width="11.921875" style="4" bestFit="1" customWidth="1"/>
    <col min="6" max="6" width="13.61328125" style="4" bestFit="1" customWidth="1"/>
    <col min="7" max="7" width="11.4609375" style="4" bestFit="1" customWidth="1"/>
    <col min="8" max="8" width="39" style="4" bestFit="1" customWidth="1"/>
    <col min="9" max="9" width="16.61328125" style="4" customWidth="1"/>
    <col min="10" max="14" width="11.4609375" style="4"/>
    <col min="15" max="15" width="23.4609375" style="4" bestFit="1" customWidth="1"/>
    <col min="16" max="16384" width="11.4609375" style="4"/>
  </cols>
  <sheetData>
    <row r="1" spans="1:16" ht="44.15" thickBot="1" x14ac:dyDescent="0.4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">
      <c r="A93" s="122" t="s">
        <v>208</v>
      </c>
    </row>
    <row r="94" spans="1:14" x14ac:dyDescent="0.4">
      <c r="A94" s="122" t="s">
        <v>209</v>
      </c>
    </row>
    <row r="95" spans="1:14" x14ac:dyDescent="0.4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E4" zoomScale="90" zoomScaleNormal="90" workbookViewId="0">
      <selection activeCell="J23" sqref="J23"/>
    </sheetView>
  </sheetViews>
  <sheetFormatPr baseColWidth="10" defaultColWidth="11.4609375" defaultRowHeight="14.6" x14ac:dyDescent="0.4"/>
  <cols>
    <col min="1" max="1" width="22.921875" style="1" bestFit="1" customWidth="1"/>
    <col min="2" max="2" width="10.53515625" style="1" bestFit="1" customWidth="1"/>
    <col min="3" max="3" width="15.53515625" style="1" bestFit="1" customWidth="1"/>
    <col min="4" max="4" width="13.4609375" style="1" bestFit="1" customWidth="1"/>
    <col min="5" max="8" width="11.4609375" style="1"/>
    <col min="9" max="13" width="11.4609375" style="62"/>
    <col min="14" max="15" width="11.4609375" style="1"/>
    <col min="16" max="17" width="13.4609375" style="1" customWidth="1"/>
    <col min="18" max="16384" width="11.4609375" style="1"/>
  </cols>
  <sheetData>
    <row r="1" spans="1:6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6" thickBot="1" x14ac:dyDescent="0.7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75" thickBot="1" x14ac:dyDescent="0.4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">
      <c r="A6" s="145" t="str">
        <f>IF('Données projet'!$B$9="","",'Données projet'!$B$9)</f>
        <v>Chêne pubescent</v>
      </c>
      <c r="B6" s="146">
        <f>'Données projet'!D9</f>
        <v>1.8144</v>
      </c>
      <c r="C6" s="147">
        <f ca="1">IF(OR('Données projet'!B9="",'Données projet'!C9="",'Données projet'!C9=0%),0,Calculateur!S3)</f>
        <v>706.69239849991595</v>
      </c>
      <c r="D6" s="147">
        <f>IF(OR('Données projet'!B9="",'Données projet'!C9="",'Données projet'!C9=0%),0,Calculateur!T3)</f>
        <v>310.59887275116529</v>
      </c>
      <c r="E6" s="147">
        <f ca="1">MIN(C6,D6)</f>
        <v>310.59887275116529</v>
      </c>
      <c r="F6" s="147">
        <f ca="1">E6*B6</f>
        <v>563.55059471971435</v>
      </c>
      <c r="G6" s="147">
        <f ca="1">F6*(100%-'Données projet'!$C$24)*(100%-'Données projet'!$C$25)*(100%-'Données projet'!$C$26)*(100%-'Données projet'!$C$27)</f>
        <v>507.19553524774295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507.19553524774295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">
      <c r="A7" s="153" t="str">
        <f>IF('Données projet'!$B$10="","",'Données projet'!$B$10)</f>
        <v>Chêne chevelu</v>
      </c>
      <c r="B7" s="154">
        <f>'Données projet'!D10</f>
        <v>0.13439999999999999</v>
      </c>
      <c r="C7" s="147">
        <f ca="1">IF(OR('Données projet'!B10="",'Données projet'!C10="",'Données projet'!C10=0%),0,Calculateur!AN3)</f>
        <v>239.26156489359892</v>
      </c>
      <c r="D7" s="147">
        <f>IF(OR('Données projet'!B10="",'Données projet'!C10="",'Données projet'!C10=0%),0,Calculateur!AO3)</f>
        <v>213.97034450798111</v>
      </c>
      <c r="E7" s="147">
        <f t="shared" ref="E7:E15" ca="1" si="0">MIN(C7,D7)</f>
        <v>213.97034450798111</v>
      </c>
      <c r="F7" s="147">
        <f t="shared" ref="F7:F15" ca="1" si="1">E7*B7</f>
        <v>28.75761430187266</v>
      </c>
      <c r="G7" s="147">
        <f ca="1">F7*(100%-'Données projet'!$C$24)*(100%-'Données projet'!$C$25)*(100%-'Données projet'!$C$26)*(100%-'Données projet'!$C$27)</f>
        <v>25.881852871685396</v>
      </c>
      <c r="H7" s="155">
        <f>IF(OR('Données projet'!B10="",'Données projet'!C10="",'Données projet'!C10=0%),0,AVERAGE(Calculateur!$AX$3:$AX$33)*B7)</f>
        <v>0.27868754758939696</v>
      </c>
      <c r="I7" s="149">
        <f>H7*(100%-'Données projet'!$C$24)*(100%-'Données projet'!$C$25)*(100%-'Données projet'!$C$26)*(100%-'Données projet'!$C$27)</f>
        <v>0.25081879283045727</v>
      </c>
      <c r="J7" s="150">
        <f>IF(OR('Données projet'!B10="",'Données projet'!C10="",'Données projet'!C10=0%),0,SUM(Calculateur!$AQ$3:$AQ$33)*VLOOKUP('Données projet'!$B$10,Paramètres!$A$1:$I$89,9,0)*B7)</f>
        <v>1.4646153846153844</v>
      </c>
      <c r="K7" s="151">
        <f>J7*(100%-'Données projet'!$C$24)*(100%-'Données projet'!$C$25)*(100%-'Données projet'!$C$26)*(100%-'Données projet'!$C$27)</f>
        <v>1.318153846153846</v>
      </c>
      <c r="L7" s="152">
        <f t="shared" ref="L7:L15" ca="1" si="2">G7+I7+K7</f>
        <v>27.450825510669699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">
      <c r="A8" s="153" t="str">
        <f>IF('Données projet'!$B$11="","",'Données projet'!$B$11)</f>
        <v>Erable champêtre</v>
      </c>
      <c r="B8" s="154">
        <f>'Données projet'!D11</f>
        <v>0.73919999999999997</v>
      </c>
      <c r="C8" s="147">
        <f ca="1">IF(OR('Données projet'!B11="",'Données projet'!C11="",'Données projet'!C11=0%),0,Calculateur!BI3)</f>
        <v>324.86930206492627</v>
      </c>
      <c r="D8" s="147">
        <f>IF(OR('Données projet'!B11="",'Données projet'!C11="",'Données projet'!C11=0%),0,Calculateur!BJ3)</f>
        <v>317.03005098025352</v>
      </c>
      <c r="E8" s="147">
        <f t="shared" ca="1" si="0"/>
        <v>317.03005098025352</v>
      </c>
      <c r="F8" s="147">
        <f t="shared" ca="1" si="1"/>
        <v>234.34861368460338</v>
      </c>
      <c r="G8" s="147">
        <f ca="1">F8*(100%-'Données projet'!$C$24)*(100%-'Données projet'!$C$25)*(100%-'Données projet'!$C$26)*(100%-'Données projet'!$C$27)</f>
        <v>210.91375231614305</v>
      </c>
      <c r="H8" s="155">
        <f>IF(OR('Données projet'!B11="",'Données projet'!C11="",'Données projet'!C11=0%),0,AVERAGE(Calculateur!$BS$3:$BS$33)*B8)</f>
        <v>3.2360141706828873</v>
      </c>
      <c r="I8" s="149">
        <f>H8*(100%-'Données projet'!$C$24)*(100%-'Données projet'!$C$25)*(100%-'Données projet'!$C$26)*(100%-'Données projet'!$C$27)</f>
        <v>2.9124127536145985</v>
      </c>
      <c r="J8" s="150">
        <f>IF(OR('Données projet'!B11="",'Données projet'!C11="",'Données projet'!C11=0%),0,SUM(Calculateur!$BL$3:$BL$33)*VLOOKUP('Données projet'!$B$11,Paramètres!$A$1:$I$89,9,0)*B8)</f>
        <v>18.295199999999998</v>
      </c>
      <c r="K8" s="151">
        <f>J8*(100%-'Données projet'!$C$24)*(100%-'Données projet'!$C$25)*(100%-'Données projet'!$C$26)*(100%-'Données projet'!$C$27)</f>
        <v>16.465679999999999</v>
      </c>
      <c r="L8" s="152">
        <f t="shared" ca="1" si="2"/>
        <v>230.29184506975764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">
      <c r="A9" s="153" t="str">
        <f>IF('Données projet'!$B$12="","",'Données projet'!$B$12)</f>
        <v>Chêne vert</v>
      </c>
      <c r="B9" s="154">
        <f>'Données projet'!D12</f>
        <v>0.33600000000000002</v>
      </c>
      <c r="C9" s="147">
        <f ca="1">IF(OR('Données projet'!B12="",'Données projet'!C12="",'Données projet'!C12=0%),0,Calculateur!CD3)</f>
        <v>593.28343396240075</v>
      </c>
      <c r="D9" s="147">
        <f>IF(OR('Données projet'!B12="",'Données projet'!C12="",'Données projet'!C12=0%),0,Calculateur!CE3)</f>
        <v>289.66477662068695</v>
      </c>
      <c r="E9" s="147">
        <f t="shared" ca="1" si="0"/>
        <v>289.66477662068695</v>
      </c>
      <c r="F9" s="147">
        <f t="shared" ca="1" si="1"/>
        <v>97.327364944550823</v>
      </c>
      <c r="G9" s="147">
        <f ca="1">F9*(100%-'Données projet'!$C$24)*(100%-'Données projet'!$C$25)*(100%-'Données projet'!$C$26)*(100%-'Données projet'!$C$27)</f>
        <v>87.59462845009574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87.59462845009574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">
      <c r="A10" s="153" t="str">
        <f>IF('Données projet'!$B$13="","",'Données projet'!$B$13)</f>
        <v>Cormier</v>
      </c>
      <c r="B10" s="154">
        <f>'Données projet'!D13</f>
        <v>0.20159999999999997</v>
      </c>
      <c r="C10" s="147">
        <f ca="1">IF(OR('Données projet'!B13="",'Données projet'!C13="",'Données projet'!C13=0%),0,Calculateur!CY3)</f>
        <v>747.18304127457918</v>
      </c>
      <c r="D10" s="147">
        <f>IF(OR('Données projet'!B13="",'Données projet'!C13="",'Données projet'!C13=0%),0,Calculateur!CZ3)</f>
        <v>327.03701004966723</v>
      </c>
      <c r="E10" s="147">
        <f t="shared" ca="1" si="0"/>
        <v>327.03701004966723</v>
      </c>
      <c r="F10" s="147">
        <f t="shared" ca="1" si="1"/>
        <v>65.930661226012901</v>
      </c>
      <c r="G10" s="147">
        <f ca="1">F10*(100%-'Données projet'!$C$24)*(100%-'Données projet'!$C$25)*(100%-'Données projet'!$C$26)*(100%-'Données projet'!$C$27)</f>
        <v>59.337595103411616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59.337595103411616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">
      <c r="A11" s="153" t="str">
        <f>IF('Données projet'!$B$14="","",'Données projet'!$B$14)</f>
        <v>Erable sycomore</v>
      </c>
      <c r="B11" s="154">
        <f>'Données projet'!D14</f>
        <v>0.73919999999999997</v>
      </c>
      <c r="C11" s="147">
        <f ca="1">IF(OR('Données projet'!B14="",'Données projet'!C14="",'Données projet'!C14=0%),0,Calculateur!DT3)</f>
        <v>353.37479213497227</v>
      </c>
      <c r="D11" s="147">
        <f>IF(OR('Données projet'!B14="",'Données projet'!C14="",'Données projet'!C14=0%),0,Calculateur!DU3)</f>
        <v>345.4750813433123</v>
      </c>
      <c r="E11" s="147">
        <f t="shared" ca="1" si="0"/>
        <v>345.4750813433123</v>
      </c>
      <c r="F11" s="147">
        <f t="shared" ca="1" si="1"/>
        <v>255.37518012897644</v>
      </c>
      <c r="G11" s="147">
        <f ca="1">F11*(100%-'Données projet'!$C$24)*(100%-'Données projet'!$C$25)*(100%-'Données projet'!$C$26)*(100%-'Données projet'!$C$27)</f>
        <v>229.8376621160788</v>
      </c>
      <c r="H11" s="155">
        <f>IF(OR('Données projet'!B14="",'Données projet'!C14="",'Données projet'!C14=0%),0,AVERAGE(Calculateur!$ED$3:$ED$33)*B11)</f>
        <v>4.4632841844476809</v>
      </c>
      <c r="I11" s="149">
        <f>H11*(100%-'Données projet'!$C$24)*(100%-'Données projet'!$C$25)*(100%-'Données projet'!$C$26)*(100%-'Données projet'!$C$27)</f>
        <v>4.0169557660029129</v>
      </c>
      <c r="J11" s="150">
        <f>IF(OR('Données projet'!B14="",'Données projet'!C14="",'Données projet'!C14=0%),0,SUM(Calculateur!$DW$3:$DW$33)*VLOOKUP('Données projet'!$B$14,Paramètres!$A$1:$I$89,9,0)*B11)</f>
        <v>25.317599999999999</v>
      </c>
      <c r="K11" s="151">
        <f>J11*(100%-'Données projet'!$C$24)*(100%-'Données projet'!$C$25)*(100%-'Données projet'!$C$26)*(100%-'Données projet'!$C$27)</f>
        <v>22.78584</v>
      </c>
      <c r="L11" s="152">
        <f t="shared" ca="1" si="2"/>
        <v>256.64045788208171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">
      <c r="A12" s="153" t="str">
        <f>IF('Données projet'!$B$15="","",'Données projet'!$B$15)</f>
        <v>Cèdre de l'Atlas</v>
      </c>
      <c r="B12" s="154">
        <f>'Données projet'!D15</f>
        <v>2.2848000000000002</v>
      </c>
      <c r="C12" s="147">
        <f ca="1">IF(OR('Données projet'!B15="",'Données projet'!C15="",'Données projet'!C15=0%),0,Calculateur!EO3)</f>
        <v>433.05041777893922</v>
      </c>
      <c r="D12" s="147">
        <f>IF(OR('Données projet'!B15="",'Données projet'!C15="",'Données projet'!C15=0%),0,Calculateur!EP3)</f>
        <v>591.24088611958996</v>
      </c>
      <c r="E12" s="147">
        <f t="shared" ca="1" si="0"/>
        <v>433.05041777893922</v>
      </c>
      <c r="F12" s="147">
        <f t="shared" ca="1" si="1"/>
        <v>989.43359454132042</v>
      </c>
      <c r="G12" s="147">
        <f ca="1">F12*(100%-'Données projet'!$C$24)*(100%-'Données projet'!$C$25)*(100%-'Données projet'!$C$26)*(100%-'Données projet'!$C$27)</f>
        <v>890.49023508718835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890.49023508718835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">
      <c r="A13" s="153" t="str">
        <f>IF('Données projet'!$B$16="","",'Données projet'!$B$16)</f>
        <v>Bouleau verruqueux</v>
      </c>
      <c r="B13" s="154">
        <f>'Données projet'!D16</f>
        <v>0.47040000000000004</v>
      </c>
      <c r="C13" s="147">
        <f ca="1">IF(OR('Données projet'!B16="",'Données projet'!C16="",'Données projet'!C16=0%),0,Calculateur!FJ3)</f>
        <v>159.4660488566085</v>
      </c>
      <c r="D13" s="147">
        <f>IF(OR('Données projet'!B16="",'Données projet'!C16="",'Données projet'!C16=0%),0,Calculateur!FK3)</f>
        <v>135.33030558297088</v>
      </c>
      <c r="E13" s="147">
        <f t="shared" ca="1" si="0"/>
        <v>135.33030558297088</v>
      </c>
      <c r="F13" s="147">
        <f t="shared" ca="1" si="1"/>
        <v>63.659375746229507</v>
      </c>
      <c r="G13" s="147">
        <f ca="1">F13*(100%-'Données projet'!$C$24)*(100%-'Données projet'!$C$25)*(100%-'Données projet'!$C$26)*(100%-'Données projet'!$C$27)</f>
        <v>57.29343817160656</v>
      </c>
      <c r="H13" s="155">
        <f>IF(OR('Données projet'!B16="",'Données projet'!C16="",'Données projet'!C16=0%),0,AVERAGE(Calculateur!$FT$3:$FT$33)*B13)</f>
        <v>0.24825237720473675</v>
      </c>
      <c r="I13" s="149">
        <f>H13*(100%-'Données projet'!$C$24)*(100%-'Données projet'!$C$25)*(100%-'Données projet'!$C$26)*(100%-'Données projet'!$C$27)</f>
        <v>0.22342713948426307</v>
      </c>
      <c r="J13" s="150">
        <f>IF(OR('Données projet'!C16="",'Données projet'!C16=0%),0,SUM(Calculateur!$FM$3:$FM$33)*VLOOKUP('Données projet'!$B$16,Paramètres!$A$1:$I$89,9,0)*B13)</f>
        <v>1.9600000000000004</v>
      </c>
      <c r="K13" s="151">
        <f>J13*(100%-'Données projet'!$C$24)*(100%-'Données projet'!$C$25)*(100%-'Données projet'!$C$26)*(100%-'Données projet'!$C$27)</f>
        <v>1.7640000000000005</v>
      </c>
      <c r="L13" s="152">
        <f t="shared" ca="1" si="2"/>
        <v>59.280865311090828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5">
      <c r="A16" s="209"/>
      <c r="B16" s="213"/>
      <c r="C16" s="214"/>
      <c r="D16" s="23"/>
      <c r="E16" s="23"/>
      <c r="F16" s="165">
        <f t="shared" ref="F16:L16" ca="1" si="3">SUM(F6:F15)</f>
        <v>2298.3829992932806</v>
      </c>
      <c r="G16" s="166">
        <f t="shared" ca="1" si="3"/>
        <v>2068.5446993639521</v>
      </c>
      <c r="H16" s="167">
        <f t="shared" si="3"/>
        <v>8.2262382799247025</v>
      </c>
      <c r="I16" s="167">
        <f t="shared" si="3"/>
        <v>7.4036144519322322</v>
      </c>
      <c r="J16" s="168">
        <f t="shared" si="3"/>
        <v>47.037415384615379</v>
      </c>
      <c r="K16" s="168">
        <f t="shared" si="3"/>
        <v>42.33367384615385</v>
      </c>
      <c r="L16" s="169">
        <f t="shared" ca="1" si="3"/>
        <v>2118.2819876620388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5">
      <c r="A21" s="170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5">
      <c r="A39" s="170" t="str">
        <f>A7</f>
        <v>Chêne chevelu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5">
      <c r="A57" s="170" t="str">
        <f>A8</f>
        <v>Erable champêtre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5">
      <c r="A76" s="170" t="str">
        <f>A9</f>
        <v>Chêne vert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5">
      <c r="A94" s="170" t="str">
        <f>A10</f>
        <v>Cormier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5">
      <c r="A112" s="170" t="str">
        <f>A11</f>
        <v>Erable sycomore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5">
      <c r="A130" s="170" t="str">
        <f>A12</f>
        <v>Cèdre de l'Atlas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5">
      <c r="A148" s="170" t="str">
        <f>A13</f>
        <v>Bouleau verruqueux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3" zoomScale="80" zoomScaleNormal="80" workbookViewId="0">
      <selection activeCell="J22" sqref="J22"/>
    </sheetView>
  </sheetViews>
  <sheetFormatPr baseColWidth="10" defaultColWidth="11.4609375" defaultRowHeight="14.6" x14ac:dyDescent="0.4"/>
  <cols>
    <col min="1" max="1" width="11.4609375" style="1"/>
    <col min="2" max="2" width="30.921875" style="1" bestFit="1" customWidth="1"/>
    <col min="3" max="3" width="18.07421875" style="1" bestFit="1" customWidth="1"/>
    <col min="4" max="5" width="11.4609375" style="1"/>
    <col min="6" max="6" width="14" style="1" customWidth="1"/>
    <col min="7" max="7" width="17.53515625" style="1" customWidth="1"/>
    <col min="8" max="8" width="21.61328125" style="1" customWidth="1"/>
    <col min="9" max="9" width="37" style="1" customWidth="1"/>
    <col min="10" max="10" width="11.4609375" style="1"/>
    <col min="11" max="11" width="8.921875" style="1" customWidth="1"/>
    <col min="12" max="12" width="11.4609375" style="1"/>
    <col min="13" max="13" width="21" style="1" customWidth="1"/>
    <col min="14" max="16" width="11.4609375" style="1"/>
    <col min="17" max="17" width="8" style="1" customWidth="1"/>
    <col min="18" max="18" width="11.4609375" style="1"/>
    <col min="19" max="19" width="31" style="1" customWidth="1"/>
    <col min="20" max="20" width="18.07421875" style="1" customWidth="1"/>
    <col min="21" max="21" width="16.4609375" style="1" customWidth="1"/>
    <col min="22" max="22" width="17.921875" style="1" customWidth="1"/>
    <col min="23" max="16384" width="11.4609375" style="1"/>
  </cols>
  <sheetData>
    <row r="1" spans="1:4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6" thickBot="1" x14ac:dyDescent="0.7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7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pubescent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861.70395431010343</v>
      </c>
      <c r="U10" s="178">
        <f>'Données projet'!D9</f>
        <v>1.8144</v>
      </c>
      <c r="V10" s="177">
        <f>U10*T10</f>
        <v>1563.4756547002517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chevelu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292.28387497527865</v>
      </c>
      <c r="U11" s="178">
        <f>'Données projet'!D10</f>
        <v>0.13439999999999999</v>
      </c>
      <c r="V11" s="177">
        <f t="shared" ref="V11" si="0">U11*T11</f>
        <v>39.282952796677449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champêtre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995.49746308053523</v>
      </c>
      <c r="U12" s="178">
        <f>'Données projet'!D11</f>
        <v>0.73919999999999997</v>
      </c>
      <c r="V12" s="177">
        <f t="shared" ref="V12:V19" si="1">U12*T12</f>
        <v>735.87172470913163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vert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319.3578589324145</v>
      </c>
      <c r="U13" s="178">
        <f>'Données projet'!D12</f>
        <v>0.33600000000000002</v>
      </c>
      <c r="V13" s="177">
        <f t="shared" si="1"/>
        <v>107.30424060129128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">
      <c r="A14" s="46" t="s">
        <v>165</v>
      </c>
      <c r="B14" s="174" t="str">
        <f>IF('Données projet'!$B$9="","",'Données projet'!$B$9)</f>
        <v>Chêne pubescent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Cormier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861.70395431010343</v>
      </c>
      <c r="U14" s="178">
        <f>'Données projet'!D13</f>
        <v>0.20159999999999997</v>
      </c>
      <c r="V14" s="177">
        <f t="shared" si="1"/>
        <v>173.71951718891683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Erable sycomore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1728.1744097706571</v>
      </c>
      <c r="U15" s="178">
        <f>'Données projet'!D14</f>
        <v>0.73919999999999997</v>
      </c>
      <c r="V15" s="177">
        <f t="shared" si="1"/>
        <v>1277.4665237024697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>Cèdre de l'Atlas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4692.8674073037737</v>
      </c>
      <c r="U16" s="178">
        <f>'Données projet'!D15</f>
        <v>2.2848000000000002</v>
      </c>
      <c r="V16" s="177">
        <f t="shared" si="1"/>
        <v>10722.263452207662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Bouleau verruqueux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-6.4350313230154246</v>
      </c>
      <c r="U17" s="178">
        <f>'Données projet'!D16</f>
        <v>0.47040000000000004</v>
      </c>
      <c r="V17" s="177">
        <f t="shared" si="1"/>
        <v>-3.0270387343464558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4533+4835+228+403+403+565+7857+227+7387+3360</f>
        <v>29798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16800/5</f>
        <v>3360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f t="shared" ref="I22:I25" si="2">16800/5</f>
        <v>3360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">
      <c r="A23" s="180">
        <f>'Données projet'!A36</f>
        <v>42</v>
      </c>
      <c r="B23" s="181">
        <f>'Données projet'!D36</f>
        <v>44.510000000000005</v>
      </c>
      <c r="C23" s="193">
        <v>15</v>
      </c>
      <c r="D23" s="182">
        <f>B23*C23</f>
        <v>667.65000000000009</v>
      </c>
      <c r="E23" s="193">
        <v>60</v>
      </c>
      <c r="F23" s="230"/>
      <c r="H23" s="190">
        <v>3</v>
      </c>
      <c r="I23" s="191">
        <f t="shared" si="2"/>
        <v>3360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-284748.36588064488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">
      <c r="A24" s="180">
        <f>'Données projet'!A37</f>
        <v>50</v>
      </c>
      <c r="B24" s="181">
        <f>'Données projet'!D37</f>
        <v>37.54000000000002</v>
      </c>
      <c r="C24" s="193">
        <v>15</v>
      </c>
      <c r="D24" s="182">
        <f t="shared" ref="D24:D42" si="3">B24*C24</f>
        <v>563.10000000000036</v>
      </c>
      <c r="E24" s="193">
        <v>60</v>
      </c>
      <c r="F24" s="233"/>
      <c r="H24" s="190">
        <v>4</v>
      </c>
      <c r="I24" s="191">
        <f t="shared" si="2"/>
        <v>3360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24262.258866165044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">
      <c r="A25" s="180">
        <f>'Données projet'!A38</f>
        <v>58</v>
      </c>
      <c r="B25" s="181">
        <f>'Données projet'!D38</f>
        <v>47.789999999999992</v>
      </c>
      <c r="C25" s="193">
        <v>15</v>
      </c>
      <c r="D25" s="182">
        <f t="shared" si="3"/>
        <v>716.84999999999991</v>
      </c>
      <c r="E25" s="193">
        <v>60</v>
      </c>
      <c r="F25" s="233"/>
      <c r="H25" s="190">
        <v>5</v>
      </c>
      <c r="I25" s="191">
        <f t="shared" si="2"/>
        <v>3360</v>
      </c>
      <c r="K25" s="208"/>
      <c r="L25" s="130" t="s">
        <v>285</v>
      </c>
      <c r="M25" s="130"/>
      <c r="N25" s="130"/>
      <c r="O25" s="130"/>
      <c r="P25" s="192">
        <v>160</v>
      </c>
      <c r="Q25" s="234"/>
      <c r="R25" s="23"/>
      <c r="S25" s="186" t="s">
        <v>266</v>
      </c>
      <c r="T25" s="299">
        <f ca="1">T23-T24</f>
        <v>-309010.62474680995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">
      <c r="A26" s="180">
        <f>'Données projet'!A39</f>
        <v>66</v>
      </c>
      <c r="B26" s="181">
        <f>'Données projet'!D39</f>
        <v>53.679999999999978</v>
      </c>
      <c r="C26" s="193">
        <v>59.875</v>
      </c>
      <c r="D26" s="182">
        <f t="shared" si="3"/>
        <v>3214.0899999999988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">
      <c r="A27" s="180">
        <f>'Données projet'!A40</f>
        <v>74</v>
      </c>
      <c r="B27" s="181">
        <f>'Données projet'!D40</f>
        <v>51.339999999999975</v>
      </c>
      <c r="C27" s="193">
        <v>59.875</v>
      </c>
      <c r="D27" s="182">
        <f t="shared" si="3"/>
        <v>3073.9824999999987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">
      <c r="A28" s="180">
        <f>'Données projet'!A41</f>
        <v>84</v>
      </c>
      <c r="B28" s="181">
        <f>'Données projet'!D41</f>
        <v>66.69</v>
      </c>
      <c r="C28" s="193">
        <v>59.875</v>
      </c>
      <c r="D28" s="182">
        <f t="shared" si="3"/>
        <v>3993.0637499999998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">
      <c r="A29" s="180">
        <f>'Données projet'!A42</f>
        <v>94</v>
      </c>
      <c r="B29" s="181">
        <f>'Données projet'!D42</f>
        <v>67.350000000000023</v>
      </c>
      <c r="C29" s="193">
        <v>59.875</v>
      </c>
      <c r="D29" s="182">
        <f t="shared" si="3"/>
        <v>4032.5812500000015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">
      <c r="A30" s="180">
        <f>'Données projet'!A43</f>
        <v>104</v>
      </c>
      <c r="B30" s="181">
        <f>'Données projet'!D43</f>
        <v>66.089999999999975</v>
      </c>
      <c r="C30" s="193">
        <v>59.875</v>
      </c>
      <c r="D30" s="182">
        <f t="shared" si="3"/>
        <v>3957.1387499999987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3610.4551884174175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">
      <c r="A31" s="180">
        <f>'Données projet'!A44</f>
        <v>114</v>
      </c>
      <c r="B31" s="181">
        <f>'Données projet'!D44</f>
        <v>61.860000000000014</v>
      </c>
      <c r="C31" s="193">
        <v>59.875</v>
      </c>
      <c r="D31" s="182">
        <f t="shared" si="3"/>
        <v>3703.8675000000007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">
      <c r="A32" s="180">
        <f>'Données projet'!A45</f>
        <v>124</v>
      </c>
      <c r="B32" s="181">
        <f>'Données projet'!D45</f>
        <v>57.81</v>
      </c>
      <c r="C32" s="193">
        <v>59.875</v>
      </c>
      <c r="D32" s="182">
        <f t="shared" si="3"/>
        <v>3461.3737500000002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">
      <c r="A33" s="180">
        <f>'Données projet'!A46</f>
        <v>134</v>
      </c>
      <c r="B33" s="181">
        <f>'Données projet'!D46</f>
        <v>60.779999999999973</v>
      </c>
      <c r="C33" s="193">
        <v>179.75</v>
      </c>
      <c r="D33" s="182">
        <f t="shared" si="3"/>
        <v>10925.204999999994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160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">
      <c r="A34" s="180">
        <f>'Données projet'!A47</f>
        <v>144</v>
      </c>
      <c r="B34" s="181">
        <f>'Données projet'!D47</f>
        <v>61.800000000000068</v>
      </c>
      <c r="C34" s="193">
        <v>179.75</v>
      </c>
      <c r="D34" s="182">
        <f t="shared" si="3"/>
        <v>11108.550000000012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153.11004784688996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">
      <c r="A35" s="180">
        <f>'Données projet'!A48</f>
        <v>154</v>
      </c>
      <c r="B35" s="181">
        <f>'Données projet'!D48</f>
        <v>61.050000000000011</v>
      </c>
      <c r="C35" s="193">
        <v>179.75</v>
      </c>
      <c r="D35" s="182">
        <f t="shared" si="3"/>
        <v>10973.737500000003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146.51679219798083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">
      <c r="A36" s="180">
        <f>'Données projet'!A49</f>
        <v>164</v>
      </c>
      <c r="B36" s="181">
        <f>'Données projet'!D49</f>
        <v>66.020000000000095</v>
      </c>
      <c r="C36" s="193">
        <v>179.75</v>
      </c>
      <c r="D36" s="182">
        <f t="shared" si="3"/>
        <v>11867.095000000018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140.2074566487855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">
      <c r="A37" s="180">
        <f>'Données projet'!A50</f>
        <v>174</v>
      </c>
      <c r="B37" s="181">
        <f>'Données projet'!D50</f>
        <v>240</v>
      </c>
      <c r="C37" s="193">
        <v>234.375</v>
      </c>
      <c r="D37" s="182">
        <f t="shared" si="3"/>
        <v>56250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134.16981497491437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">
      <c r="A38" s="180">
        <f>'Données projet'!A51</f>
        <v>177</v>
      </c>
      <c r="B38" s="181">
        <f>'Données projet'!D51</f>
        <v>128.66000000000003</v>
      </c>
      <c r="C38" s="193">
        <v>234.375</v>
      </c>
      <c r="D38" s="182">
        <f t="shared" si="3"/>
        <v>30154.687500000007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128.39216744010946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">
      <c r="A39" s="180">
        <f>'Données projet'!A52</f>
        <v>180</v>
      </c>
      <c r="B39" s="181">
        <f>'Données projet'!D52</f>
        <v>86.97</v>
      </c>
      <c r="C39" s="193">
        <v>234.375</v>
      </c>
      <c r="D39" s="182">
        <f t="shared" si="3"/>
        <v>20383.59375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122.86331812450669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">
      <c r="A40" s="180">
        <f>'Données projet'!A53</f>
        <v>183</v>
      </c>
      <c r="B40" s="181">
        <f>'Données projet'!D53</f>
        <v>191.47</v>
      </c>
      <c r="C40" s="193">
        <v>234.375</v>
      </c>
      <c r="D40" s="182">
        <f t="shared" si="3"/>
        <v>44875.78125</v>
      </c>
      <c r="E40" s="193">
        <v>60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117.57255322919299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">
      <c r="A41" s="180">
        <f>'Données projet'!A54</f>
        <v>0</v>
      </c>
      <c r="B41" s="181">
        <f>'Données projet'!D54</f>
        <v>0</v>
      </c>
      <c r="C41" s="193"/>
      <c r="D41" s="182">
        <f t="shared" si="3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112.50962031501726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">
      <c r="A42" s="180">
        <f>'Données projet'!A55</f>
        <v>0</v>
      </c>
      <c r="B42" s="181">
        <f>'Données projet'!D55</f>
        <v>0</v>
      </c>
      <c r="C42" s="193"/>
      <c r="D42" s="182">
        <f t="shared" si="3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107.66470843542322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103.02842912480692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98.59179820555687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">
      <c r="A45" s="46" t="s">
        <v>166</v>
      </c>
      <c r="B45" s="174" t="str">
        <f>IF('Données projet'!$B$10="","",'Données projet'!$B$10)</f>
        <v>Chêne chevelu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94.346218378523332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90.283462563180223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86.395657955196413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82.675270770522872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79.115091646433399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75.708221671228131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72.448059015529324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69.328286139262516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66.342857549533534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">
      <c r="A54" s="180">
        <f>'Données projet'!A62</f>
        <v>10</v>
      </c>
      <c r="B54" s="181">
        <f>'Données projet'!D62</f>
        <v>0</v>
      </c>
      <c r="C54" s="191">
        <v>13.5625</v>
      </c>
      <c r="D54" s="179">
        <f>B54*C54</f>
        <v>0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63.485988085678009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">
      <c r="A55" s="180">
        <f>'Données projet'!A63</f>
        <v>15</v>
      </c>
      <c r="B55" s="181">
        <f>'Données projet'!D63</f>
        <v>0</v>
      </c>
      <c r="C55" s="191">
        <v>13.5625</v>
      </c>
      <c r="D55" s="179">
        <f t="shared" ref="D55:D73" si="5">B55*C55</f>
        <v>0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60.752141708782808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">
      <c r="A56" s="180">
        <f>'Données projet'!A64</f>
        <v>20</v>
      </c>
      <c r="B56" s="181">
        <f>'Données projet'!D64</f>
        <v>18.589743589743588</v>
      </c>
      <c r="C56" s="191">
        <v>13.5625</v>
      </c>
      <c r="D56" s="179">
        <f t="shared" si="5"/>
        <v>252.1233974358974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58.136020773954833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">
      <c r="A57" s="180">
        <f>'Données projet'!A65</f>
        <v>25</v>
      </c>
      <c r="B57" s="181">
        <f>'Données projet'!D65</f>
        <v>12.179487179487179</v>
      </c>
      <c r="C57" s="191">
        <v>13.5625</v>
      </c>
      <c r="D57" s="179">
        <f t="shared" si="5"/>
        <v>165.18429487179486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55.632555764550091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">
      <c r="A58" s="180">
        <f>'Données projet'!A66</f>
        <v>30</v>
      </c>
      <c r="B58" s="181">
        <f>'Données projet'!D66</f>
        <v>12.820512820512819</v>
      </c>
      <c r="C58" s="191">
        <v>13.5625</v>
      </c>
      <c r="D58" s="179">
        <f t="shared" si="5"/>
        <v>173.87820512820511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53.236895468468994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">
      <c r="A59" s="180">
        <f>'Données projet'!A67</f>
        <v>35</v>
      </c>
      <c r="B59" s="181">
        <f>'Données projet'!D67</f>
        <v>12.820512820512819</v>
      </c>
      <c r="C59" s="191">
        <v>13.5625</v>
      </c>
      <c r="D59" s="179">
        <f t="shared" si="5"/>
        <v>173.87820512820511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50.944397577482306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">
      <c r="A60" s="180">
        <f>'Données projet'!A68</f>
        <v>40</v>
      </c>
      <c r="B60" s="181">
        <f>'Données projet'!D68</f>
        <v>12.820512820512819</v>
      </c>
      <c r="C60" s="191">
        <v>13.5625</v>
      </c>
      <c r="D60" s="179">
        <f t="shared" si="5"/>
        <v>173.87820512820511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48.750619691370623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">
      <c r="A61" s="180">
        <f>'Données projet'!A69</f>
        <v>45</v>
      </c>
      <c r="B61" s="181">
        <f>'Données projet'!D69</f>
        <v>12.179487179487179</v>
      </c>
      <c r="C61" s="191">
        <v>13.5625</v>
      </c>
      <c r="D61" s="179">
        <f t="shared" si="5"/>
        <v>165.18429487179486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46.651310709445582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">
      <c r="A62" s="180">
        <f>'Données projet'!A70</f>
        <v>50</v>
      </c>
      <c r="B62" s="181">
        <f>'Données projet'!D70</f>
        <v>11.538461538461538</v>
      </c>
      <c r="C62" s="191">
        <v>13.5625</v>
      </c>
      <c r="D62" s="179">
        <f t="shared" si="5"/>
        <v>156.49038461538461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44.642402592770885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">
      <c r="A63" s="180">
        <f>'Données projet'!A71</f>
        <v>55</v>
      </c>
      <c r="B63" s="181">
        <f>'Données projet'!D71</f>
        <v>10.897435897435898</v>
      </c>
      <c r="C63" s="191">
        <v>13.5625</v>
      </c>
      <c r="D63" s="179">
        <f t="shared" si="5"/>
        <v>147.79647435897436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42.720002481120481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">
      <c r="A64" s="180">
        <f>'Données projet'!A72</f>
        <v>60</v>
      </c>
      <c r="B64" s="181">
        <f>'Données projet'!D72</f>
        <v>10.256410256410255</v>
      </c>
      <c r="C64" s="191">
        <v>13.5625</v>
      </c>
      <c r="D64" s="179">
        <f t="shared" si="5"/>
        <v>139.10256410256409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40.880385149397583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">
      <c r="A65" s="180">
        <f>'Données projet'!A73</f>
        <v>65</v>
      </c>
      <c r="B65" s="181">
        <f>'Données projet'!D73</f>
        <v>9.615384615384615</v>
      </c>
      <c r="C65" s="191">
        <v>32.787500000000001</v>
      </c>
      <c r="D65" s="179">
        <f t="shared" si="5"/>
        <v>315.26442307692309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6">$P$25/(1+$M$4)^O65</f>
        <v>39.119985788897225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">
      <c r="A66" s="180">
        <f>'Données projet'!A74</f>
        <v>70</v>
      </c>
      <c r="B66" s="181">
        <f>'Données projet'!D74</f>
        <v>8.9743589743589745</v>
      </c>
      <c r="C66" s="191">
        <v>32.787500000000001</v>
      </c>
      <c r="D66" s="179">
        <f t="shared" si="5"/>
        <v>294.24679487179486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6"/>
        <v>37.435393099423187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">
      <c r="A67" s="180">
        <f>'Données projet'!A75</f>
        <v>75</v>
      </c>
      <c r="B67" s="181">
        <f>'Données projet'!D75</f>
        <v>7.6923076923076916</v>
      </c>
      <c r="C67" s="191">
        <v>32.787500000000001</v>
      </c>
      <c r="D67" s="179">
        <f t="shared" si="5"/>
        <v>252.21153846153845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6"/>
        <v>35.823342678873871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">
      <c r="A68" s="180">
        <f>'Données projet'!A76</f>
        <v>80</v>
      </c>
      <c r="B68" s="181">
        <f>'Données projet'!D76</f>
        <v>7.0512820512820511</v>
      </c>
      <c r="C68" s="191">
        <v>32.787500000000001</v>
      </c>
      <c r="D68" s="179">
        <f t="shared" si="5"/>
        <v>231.19391025641025</v>
      </c>
      <c r="E68" s="193">
        <v>60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6"/>
        <v>34.28071069748696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">
      <c r="A69" s="180">
        <f>'Données projet'!A77</f>
        <v>85</v>
      </c>
      <c r="B69" s="181">
        <f>'Données projet'!D77</f>
        <v>6.4102564102564097</v>
      </c>
      <c r="C69" s="191">
        <v>32.787500000000001</v>
      </c>
      <c r="D69" s="179">
        <f t="shared" si="5"/>
        <v>210.17628205128204</v>
      </c>
      <c r="E69" s="193">
        <v>60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6"/>
        <v>32.80450784448513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">
      <c r="A70" s="180">
        <f>'Données projet'!A78</f>
        <v>90</v>
      </c>
      <c r="B70" s="181">
        <f>'Données projet'!D78</f>
        <v>6.4102564102564097</v>
      </c>
      <c r="C70" s="191">
        <v>32.787500000000001</v>
      </c>
      <c r="D70" s="179">
        <f t="shared" si="5"/>
        <v>210.17628205128204</v>
      </c>
      <c r="E70" s="193">
        <v>60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6"/>
        <v>31.391873535392474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">
      <c r="A71" s="180">
        <f>'Données projet'!A79</f>
        <v>95</v>
      </c>
      <c r="B71" s="181">
        <f>'Données projet'!D79</f>
        <v>7.0512820512820511</v>
      </c>
      <c r="C71" s="191">
        <v>32.787500000000001</v>
      </c>
      <c r="D71" s="179">
        <f t="shared" si="5"/>
        <v>231.19391025641025</v>
      </c>
      <c r="E71" s="193">
        <v>60</v>
      </c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6"/>
        <v>30.040070368796631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">
      <c r="A72" s="180">
        <f>'Données projet'!A80</f>
        <v>100</v>
      </c>
      <c r="B72" s="181">
        <f>'Données projet'!D80</f>
        <v>142.94871794871796</v>
      </c>
      <c r="C72" s="191">
        <v>32.787500000000001</v>
      </c>
      <c r="D72" s="179">
        <f t="shared" si="5"/>
        <v>4686.9310897435898</v>
      </c>
      <c r="E72" s="193">
        <v>60</v>
      </c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6"/>
        <v>28.746478821814957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6"/>
        <v>27.508592173985612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6"/>
        <v>26.324011649747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6"/>
        <v>25.190441770092828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">
      <c r="A76" s="46" t="s">
        <v>167</v>
      </c>
      <c r="B76" s="174" t="str">
        <f>IF('Données projet'!B11="","",'Données projet'!B11)</f>
        <v>Erable champêtre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6"/>
        <v>24.105685904395049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6"/>
        <v>23.067642013775171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6"/>
        <v>22.074298577775281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6"/>
        <v>21.123730696435683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6"/>
        <v>20.214096360225529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6"/>
        <v>19.343632880598602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6"/>
        <v>18.510653474257037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6"/>
        <v>17.713543994504345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6"/>
        <v>16.950759803353439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">
      <c r="A85" s="180">
        <f>'Données projet'!A88</f>
        <v>15</v>
      </c>
      <c r="B85" s="181">
        <f>'Données projet'!D88</f>
        <v>15</v>
      </c>
      <c r="C85" s="191">
        <v>13.75</v>
      </c>
      <c r="D85" s="179">
        <f>B85*C85</f>
        <v>206.25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6"/>
        <v>16.220822778328653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">
      <c r="A86" s="180">
        <f>'Données projet'!A89</f>
        <v>20</v>
      </c>
      <c r="B86" s="181">
        <f>'Données projet'!D89</f>
        <v>28</v>
      </c>
      <c r="C86" s="191">
        <v>13.75</v>
      </c>
      <c r="D86" s="179">
        <f t="shared" ref="D86:D104" si="7">B86*C86</f>
        <v>385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6"/>
        <v>15.522318448161391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">
      <c r="A87" s="180">
        <f>'Données projet'!A90</f>
        <v>25</v>
      </c>
      <c r="B87" s="181">
        <f>'Données projet'!D90</f>
        <v>28</v>
      </c>
      <c r="C87" s="191">
        <v>13.75</v>
      </c>
      <c r="D87" s="179">
        <f t="shared" si="7"/>
        <v>385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6"/>
        <v>14.853893251829088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">
      <c r="A88" s="180">
        <f>'Données projet'!A91</f>
        <v>30</v>
      </c>
      <c r="B88" s="181">
        <f>'Données projet'!D91</f>
        <v>28</v>
      </c>
      <c r="C88" s="191">
        <v>13.75</v>
      </c>
      <c r="D88" s="179">
        <f t="shared" si="7"/>
        <v>385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6"/>
        <v>14.214251915625919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">
      <c r="A89" s="180">
        <f>'Données projet'!A92</f>
        <v>35</v>
      </c>
      <c r="B89" s="181">
        <f>'Données projet'!D92</f>
        <v>28</v>
      </c>
      <c r="C89" s="191">
        <v>23.75</v>
      </c>
      <c r="D89" s="179">
        <f t="shared" si="7"/>
        <v>665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6"/>
        <v>13.6021549431827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">
      <c r="A90" s="180">
        <f>'Données projet'!A93</f>
        <v>40</v>
      </c>
      <c r="B90" s="181">
        <f>'Données projet'!D93</f>
        <v>28</v>
      </c>
      <c r="C90" s="191">
        <v>23.75</v>
      </c>
      <c r="D90" s="179">
        <f t="shared" si="7"/>
        <v>665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6"/>
        <v>13.016416213571965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">
      <c r="A91" s="180">
        <f>'Données projet'!A94</f>
        <v>45</v>
      </c>
      <c r="B91" s="181">
        <f>'Données projet'!D94</f>
        <v>22</v>
      </c>
      <c r="C91" s="191">
        <v>23.75</v>
      </c>
      <c r="D91" s="179">
        <f t="shared" si="7"/>
        <v>522.5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6"/>
        <v>12.455900682843987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">
      <c r="A92" s="180">
        <f>'Données projet'!A95</f>
        <v>50</v>
      </c>
      <c r="B92" s="181">
        <f>'Données projet'!D95</f>
        <v>17</v>
      </c>
      <c r="C92" s="191">
        <v>23.75</v>
      </c>
      <c r="D92" s="179">
        <f t="shared" si="7"/>
        <v>403.75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6"/>
        <v>11.919522184539701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">
      <c r="A93" s="180">
        <f>'Données projet'!A96</f>
        <v>55</v>
      </c>
      <c r="B93" s="181">
        <f>'Données projet'!D96</f>
        <v>13</v>
      </c>
      <c r="C93" s="191">
        <v>23.75</v>
      </c>
      <c r="D93" s="179">
        <f t="shared" si="7"/>
        <v>308.75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6"/>
        <v>11.406241324918376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">
      <c r="A94" s="180">
        <f>'Données projet'!A97</f>
        <v>60</v>
      </c>
      <c r="B94" s="181">
        <f>'Données projet'!D97</f>
        <v>12</v>
      </c>
      <c r="C94" s="191">
        <v>23.75</v>
      </c>
      <c r="D94" s="179">
        <f t="shared" si="7"/>
        <v>285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6"/>
        <v>10.91506346882141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">
      <c r="A95" s="180">
        <f>'Données projet'!A98</f>
        <v>65</v>
      </c>
      <c r="B95" s="181">
        <f>'Données projet'!D98</f>
        <v>11</v>
      </c>
      <c r="C95" s="191">
        <v>23.75</v>
      </c>
      <c r="D95" s="179">
        <f t="shared" si="7"/>
        <v>261.25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6"/>
        <v>10.445036812269297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">
      <c r="A96" s="180">
        <f>'Données projet'!A99</f>
        <v>70</v>
      </c>
      <c r="B96" s="181">
        <f>'Données projet'!D99</f>
        <v>10</v>
      </c>
      <c r="C96" s="191">
        <v>23.75</v>
      </c>
      <c r="D96" s="179">
        <f t="shared" si="7"/>
        <v>237.5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6"/>
        <v>9.9952505380567409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">
      <c r="A97" s="180">
        <f>'Données projet'!A100</f>
        <v>75</v>
      </c>
      <c r="B97" s="181">
        <f>'Données projet'!D100</f>
        <v>9</v>
      </c>
      <c r="C97" s="191">
        <v>23.75</v>
      </c>
      <c r="D97" s="179">
        <f t="shared" si="7"/>
        <v>213.75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8">$P$25/(1+$M$4)^O97</f>
        <v>9.5648330507720072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">
      <c r="A98" s="180">
        <f>'Données projet'!A101</f>
        <v>80</v>
      </c>
      <c r="B98" s="181">
        <f>'Données projet'!D101</f>
        <v>275</v>
      </c>
      <c r="C98" s="191">
        <v>23.75</v>
      </c>
      <c r="D98" s="179">
        <f t="shared" si="7"/>
        <v>6531.25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8"/>
        <v>9.1529502878201026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8"/>
        <v>8.758804103177134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8"/>
        <v>8.3816307207436687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8"/>
        <v>8.0206992543001618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8"/>
        <v>7.675310291196328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8"/>
        <v>7.3447945370299808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8"/>
        <v>7.0285115186889771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8"/>
        <v>6.725848343243042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8"/>
        <v>6.4362185102804235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">
      <c r="A107" s="46" t="s">
        <v>168</v>
      </c>
      <c r="B107" s="174" t="str">
        <f>IF('Données projet'!B12="","",'Données projet'!B12)</f>
        <v>Chêne vert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8"/>
        <v>6.1590607753879656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8"/>
        <v>5.8938380625722155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8"/>
        <v>5.6400364235140836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8"/>
        <v>5.3971640416402709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8"/>
        <v>5.1647502790816002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8"/>
        <v>4.9423447646713878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8"/>
        <v>4.7295165212166408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">
      <c r="A116" s="180">
        <f>'Données projet'!A114</f>
        <v>60</v>
      </c>
      <c r="B116" s="181">
        <f>'Données projet'!D114</f>
        <v>72.87</v>
      </c>
      <c r="C116" s="191">
        <v>15</v>
      </c>
      <c r="D116" s="179">
        <f>B116*C116</f>
        <v>1093.0500000000002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">
      <c r="A117" s="180">
        <f>'Données projet'!A115</f>
        <v>69</v>
      </c>
      <c r="B117" s="181">
        <f>'Données projet'!D115</f>
        <v>42.22</v>
      </c>
      <c r="C117" s="191">
        <v>15</v>
      </c>
      <c r="D117" s="179">
        <f t="shared" ref="D117:D135" si="9">B117*C117</f>
        <v>633.29999999999995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">
      <c r="A118" s="180">
        <f>'Données projet'!A116</f>
        <v>77</v>
      </c>
      <c r="B118" s="181">
        <f>'Données projet'!D116</f>
        <v>33.950000000000017</v>
      </c>
      <c r="C118" s="191">
        <v>15</v>
      </c>
      <c r="D118" s="179">
        <f t="shared" si="9"/>
        <v>509.25000000000023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">
      <c r="A119" s="180">
        <f>'Données projet'!A117</f>
        <v>86</v>
      </c>
      <c r="B119" s="181">
        <f>'Données projet'!D117</f>
        <v>37.54000000000002</v>
      </c>
      <c r="C119" s="191">
        <v>59.875</v>
      </c>
      <c r="D119" s="179">
        <f t="shared" si="9"/>
        <v>2247.7075000000013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">
      <c r="A120" s="180">
        <f>'Données projet'!A118</f>
        <v>95</v>
      </c>
      <c r="B120" s="181">
        <f>'Données projet'!D118</f>
        <v>42.199999999999989</v>
      </c>
      <c r="C120" s="191">
        <v>59.875</v>
      </c>
      <c r="D120" s="179">
        <f t="shared" si="9"/>
        <v>2526.7249999999995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">
      <c r="A121" s="180">
        <f>'Données projet'!A119</f>
        <v>104</v>
      </c>
      <c r="B121" s="181">
        <f>'Données projet'!D119</f>
        <v>39.400000000000006</v>
      </c>
      <c r="C121" s="191">
        <v>59.875</v>
      </c>
      <c r="D121" s="179">
        <f t="shared" si="9"/>
        <v>2359.0750000000003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">
      <c r="A122" s="180">
        <f>'Données projet'!A120</f>
        <v>113</v>
      </c>
      <c r="B122" s="181">
        <f>'Données projet'!D120</f>
        <v>41.639999999999986</v>
      </c>
      <c r="C122" s="191">
        <v>59.875</v>
      </c>
      <c r="D122" s="179">
        <f t="shared" si="9"/>
        <v>2493.1949999999993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">
      <c r="A123" s="180">
        <f>'Données projet'!A121</f>
        <v>122</v>
      </c>
      <c r="B123" s="181">
        <f>'Données projet'!D121</f>
        <v>45.829999999999984</v>
      </c>
      <c r="C123" s="191">
        <v>59.875</v>
      </c>
      <c r="D123" s="179">
        <f t="shared" si="9"/>
        <v>2744.0712499999991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">
      <c r="A124" s="180">
        <f>'Données projet'!A122</f>
        <v>132</v>
      </c>
      <c r="B124" s="181">
        <f>'Données projet'!D122</f>
        <v>48.699999999999989</v>
      </c>
      <c r="C124" s="191">
        <v>59.875</v>
      </c>
      <c r="D124" s="179">
        <f t="shared" si="9"/>
        <v>2915.9124999999995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">
      <c r="A125" s="180">
        <f>'Données projet'!A123</f>
        <v>144</v>
      </c>
      <c r="B125" s="181">
        <f>'Données projet'!D123</f>
        <v>60.949999999999989</v>
      </c>
      <c r="C125" s="191">
        <v>59.875</v>
      </c>
      <c r="D125" s="179">
        <f t="shared" si="9"/>
        <v>3649.3812499999995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">
      <c r="A126" s="180">
        <f>'Données projet'!A124</f>
        <v>156</v>
      </c>
      <c r="B126" s="181">
        <f>'Données projet'!D124</f>
        <v>65.69</v>
      </c>
      <c r="C126" s="191">
        <v>179.75</v>
      </c>
      <c r="D126" s="179">
        <f t="shared" si="9"/>
        <v>11807.7775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">
      <c r="A127" s="180">
        <f>'Données projet'!A125</f>
        <v>168</v>
      </c>
      <c r="B127" s="181">
        <f>'Données projet'!D125</f>
        <v>71.37</v>
      </c>
      <c r="C127" s="191">
        <v>179.75</v>
      </c>
      <c r="D127" s="179">
        <f t="shared" si="9"/>
        <v>12828.757500000002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">
      <c r="A128" s="180">
        <f>'Données projet'!A126</f>
        <v>180</v>
      </c>
      <c r="B128" s="181">
        <f>'Données projet'!D126</f>
        <v>175.59000000000003</v>
      </c>
      <c r="C128" s="191">
        <v>179.75</v>
      </c>
      <c r="D128" s="179">
        <f t="shared" si="9"/>
        <v>31562.302500000005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">
      <c r="A129" s="180">
        <f>'Données projet'!A127</f>
        <v>184</v>
      </c>
      <c r="B129" s="181">
        <f>'Données projet'!D127</f>
        <v>101.19999999999999</v>
      </c>
      <c r="C129" s="191">
        <v>179.75</v>
      </c>
      <c r="D129" s="179">
        <f t="shared" si="9"/>
        <v>18190.699999999997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">
      <c r="A130" s="180">
        <f>'Données projet'!A128</f>
        <v>188</v>
      </c>
      <c r="B130" s="181">
        <f>'Données projet'!D128</f>
        <v>72.180000000000007</v>
      </c>
      <c r="C130" s="191">
        <v>179.75</v>
      </c>
      <c r="D130" s="179">
        <f t="shared" si="9"/>
        <v>12974.355000000001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">
      <c r="A131" s="180">
        <f>'Données projet'!A129</f>
        <v>191</v>
      </c>
      <c r="B131" s="181">
        <f>'Données projet'!D129</f>
        <v>145.01</v>
      </c>
      <c r="C131" s="191">
        <v>234.375</v>
      </c>
      <c r="D131" s="179">
        <f t="shared" si="9"/>
        <v>33986.71875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">
      <c r="A138" s="46" t="s">
        <v>169</v>
      </c>
      <c r="B138" s="174" t="str">
        <f>IF('Données projet'!B13="","",'Données projet'!B13)</f>
        <v>Cormier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">
      <c r="A147" s="42">
        <f>'Données projet'!A140</f>
        <v>42</v>
      </c>
      <c r="B147" s="175">
        <f>'Données projet'!D140</f>
        <v>44.510000000000005</v>
      </c>
      <c r="C147" s="191">
        <v>15</v>
      </c>
      <c r="D147" s="182">
        <f>B147*C147</f>
        <v>667.65000000000009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">
      <c r="A148" s="42">
        <f>'Données projet'!A141</f>
        <v>50</v>
      </c>
      <c r="B148" s="175">
        <f>'Données projet'!D141</f>
        <v>37.54000000000002</v>
      </c>
      <c r="C148" s="191">
        <v>15</v>
      </c>
      <c r="D148" s="182">
        <f t="shared" ref="D148:D166" si="11">B148*C148</f>
        <v>563.10000000000036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">
      <c r="A149" s="42">
        <f>'Données projet'!A142</f>
        <v>58</v>
      </c>
      <c r="B149" s="175">
        <f>'Données projet'!D142</f>
        <v>47.789999999999992</v>
      </c>
      <c r="C149" s="191">
        <v>15</v>
      </c>
      <c r="D149" s="182">
        <f t="shared" si="11"/>
        <v>716.84999999999991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">
      <c r="A150" s="42">
        <f>'Données projet'!A143</f>
        <v>66</v>
      </c>
      <c r="B150" s="175">
        <f>'Données projet'!D143</f>
        <v>53.679999999999978</v>
      </c>
      <c r="C150" s="191">
        <v>59.875</v>
      </c>
      <c r="D150" s="182">
        <f t="shared" si="11"/>
        <v>3214.0899999999988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">
      <c r="A151" s="42">
        <f>'Données projet'!A144</f>
        <v>74</v>
      </c>
      <c r="B151" s="175">
        <f>'Données projet'!D144</f>
        <v>51.339999999999975</v>
      </c>
      <c r="C151" s="191">
        <v>59.875</v>
      </c>
      <c r="D151" s="182">
        <f t="shared" si="11"/>
        <v>3073.9824999999987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">
      <c r="A152" s="42">
        <f>'Données projet'!A145</f>
        <v>84</v>
      </c>
      <c r="B152" s="175">
        <f>'Données projet'!D145</f>
        <v>66.69</v>
      </c>
      <c r="C152" s="191">
        <v>59.875</v>
      </c>
      <c r="D152" s="182">
        <f t="shared" si="11"/>
        <v>3993.0637499999998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">
      <c r="A153" s="42">
        <f>'Données projet'!A146</f>
        <v>94</v>
      </c>
      <c r="B153" s="175">
        <f>'Données projet'!D146</f>
        <v>67.350000000000023</v>
      </c>
      <c r="C153" s="191">
        <v>59.875</v>
      </c>
      <c r="D153" s="182">
        <f t="shared" si="11"/>
        <v>4032.5812500000015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">
      <c r="A154" s="42">
        <f>'Données projet'!A147</f>
        <v>104</v>
      </c>
      <c r="B154" s="175">
        <f>'Données projet'!D147</f>
        <v>66.089999999999975</v>
      </c>
      <c r="C154" s="191">
        <v>59.875</v>
      </c>
      <c r="D154" s="182">
        <f t="shared" si="11"/>
        <v>3957.1387499999987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">
      <c r="A155" s="42">
        <f>'Données projet'!A148</f>
        <v>114</v>
      </c>
      <c r="B155" s="175">
        <f>'Données projet'!D148</f>
        <v>61.860000000000014</v>
      </c>
      <c r="C155" s="191">
        <v>59.875</v>
      </c>
      <c r="D155" s="182">
        <f t="shared" si="11"/>
        <v>3703.8675000000007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">
      <c r="A156" s="42">
        <f>'Données projet'!A149</f>
        <v>124</v>
      </c>
      <c r="B156" s="175">
        <f>'Données projet'!D149</f>
        <v>57.81</v>
      </c>
      <c r="C156" s="191">
        <v>59.875</v>
      </c>
      <c r="D156" s="182">
        <f t="shared" si="11"/>
        <v>3461.3737500000002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">
      <c r="A157" s="42">
        <f>'Données projet'!A150</f>
        <v>134</v>
      </c>
      <c r="B157" s="175">
        <f>'Données projet'!D150</f>
        <v>60.779999999999973</v>
      </c>
      <c r="C157" s="191">
        <v>179.75</v>
      </c>
      <c r="D157" s="182">
        <f t="shared" si="11"/>
        <v>10925.204999999994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">
      <c r="A158" s="42">
        <f>'Données projet'!A151</f>
        <v>144</v>
      </c>
      <c r="B158" s="175">
        <f>'Données projet'!D151</f>
        <v>61.800000000000068</v>
      </c>
      <c r="C158" s="191">
        <v>179.75</v>
      </c>
      <c r="D158" s="182">
        <f t="shared" si="11"/>
        <v>11108.550000000012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">
      <c r="A159" s="42">
        <f>'Données projet'!A152</f>
        <v>154</v>
      </c>
      <c r="B159" s="175">
        <f>'Données projet'!D152</f>
        <v>61.050000000000011</v>
      </c>
      <c r="C159" s="191">
        <v>179.75</v>
      </c>
      <c r="D159" s="182">
        <f t="shared" si="11"/>
        <v>10973.737500000003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">
      <c r="A160" s="42">
        <f>'Données projet'!A153</f>
        <v>164</v>
      </c>
      <c r="B160" s="175">
        <f>'Données projet'!D153</f>
        <v>66.020000000000095</v>
      </c>
      <c r="C160" s="191">
        <v>179.75</v>
      </c>
      <c r="D160" s="182">
        <f t="shared" si="11"/>
        <v>11867.095000000018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">
      <c r="A161" s="42">
        <f>'Données projet'!A154</f>
        <v>174</v>
      </c>
      <c r="B161" s="175">
        <f>'Données projet'!D154</f>
        <v>240</v>
      </c>
      <c r="C161" s="191">
        <v>234.375</v>
      </c>
      <c r="D161" s="182">
        <f t="shared" si="11"/>
        <v>56250</v>
      </c>
      <c r="E161" s="193">
        <v>60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">
      <c r="A162" s="42">
        <f>'Données projet'!A155</f>
        <v>177</v>
      </c>
      <c r="B162" s="175">
        <f>'Données projet'!D155</f>
        <v>128.66000000000003</v>
      </c>
      <c r="C162" s="191">
        <v>234.375</v>
      </c>
      <c r="D162" s="182">
        <f t="shared" si="11"/>
        <v>30154.687500000007</v>
      </c>
      <c r="E162" s="193">
        <v>60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">
      <c r="A163" s="42">
        <f>'Données projet'!A156</f>
        <v>180</v>
      </c>
      <c r="B163" s="175">
        <f>'Données projet'!D156</f>
        <v>86.97</v>
      </c>
      <c r="C163" s="191">
        <v>234.375</v>
      </c>
      <c r="D163" s="182">
        <f t="shared" si="11"/>
        <v>20383.59375</v>
      </c>
      <c r="E163" s="193">
        <v>60</v>
      </c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">
      <c r="A164" s="42">
        <f>'Données projet'!A157</f>
        <v>183</v>
      </c>
      <c r="B164" s="175">
        <f>'Données projet'!D157</f>
        <v>191.47</v>
      </c>
      <c r="C164" s="191">
        <v>234.375</v>
      </c>
      <c r="D164" s="182">
        <f t="shared" si="11"/>
        <v>44875.78125</v>
      </c>
      <c r="E164" s="193">
        <v>60</v>
      </c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">
      <c r="A169" s="46" t="s">
        <v>170</v>
      </c>
      <c r="B169" s="174" t="str">
        <f>IF('Données projet'!B14="","",'Données projet'!B14)</f>
        <v>Erable sycomore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">
      <c r="A178" s="180">
        <f>'Données projet'!A166</f>
        <v>15</v>
      </c>
      <c r="B178" s="181">
        <f>'Données projet'!D166</f>
        <v>32</v>
      </c>
      <c r="C178" s="193">
        <v>13.75</v>
      </c>
      <c r="D178" s="179">
        <f>B178*C178</f>
        <v>440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">
      <c r="A179" s="180">
        <f>'Données projet'!A167</f>
        <v>20</v>
      </c>
      <c r="B179" s="181">
        <f>'Données projet'!D167</f>
        <v>35</v>
      </c>
      <c r="C179" s="193">
        <v>13.75</v>
      </c>
      <c r="D179" s="179">
        <f t="shared" ref="D179:D197" si="12">B179*C179</f>
        <v>481.25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">
      <c r="A180" s="180">
        <f>'Données projet'!A168</f>
        <v>25</v>
      </c>
      <c r="B180" s="181">
        <f>'Données projet'!D168</f>
        <v>35</v>
      </c>
      <c r="C180" s="193">
        <v>13.75</v>
      </c>
      <c r="D180" s="179">
        <f t="shared" si="12"/>
        <v>481.25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">
      <c r="A181" s="180">
        <f>'Données projet'!A169</f>
        <v>30</v>
      </c>
      <c r="B181" s="181">
        <f>'Données projet'!D169</f>
        <v>35</v>
      </c>
      <c r="C181" s="193">
        <v>23.75</v>
      </c>
      <c r="D181" s="179">
        <f t="shared" si="12"/>
        <v>831.25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">
      <c r="A182" s="180">
        <f>'Données projet'!A170</f>
        <v>35</v>
      </c>
      <c r="B182" s="181">
        <f>'Données projet'!D170</f>
        <v>35</v>
      </c>
      <c r="C182" s="193">
        <v>23.75</v>
      </c>
      <c r="D182" s="179">
        <f t="shared" si="12"/>
        <v>831.25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">
      <c r="A183" s="180">
        <f>'Données projet'!A171</f>
        <v>40</v>
      </c>
      <c r="B183" s="181">
        <f>'Données projet'!D171</f>
        <v>35</v>
      </c>
      <c r="C183" s="193">
        <v>23.75</v>
      </c>
      <c r="D183" s="179">
        <f t="shared" si="12"/>
        <v>831.25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">
      <c r="A184" s="180">
        <f>'Données projet'!A172</f>
        <v>45</v>
      </c>
      <c r="B184" s="181">
        <f>'Données projet'!D172</f>
        <v>24</v>
      </c>
      <c r="C184" s="193">
        <v>23.75</v>
      </c>
      <c r="D184" s="179">
        <f t="shared" si="12"/>
        <v>570</v>
      </c>
      <c r="E184" s="193">
        <v>60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">
      <c r="A185" s="180">
        <f>'Données projet'!A173</f>
        <v>50</v>
      </c>
      <c r="B185" s="181">
        <f>'Données projet'!D173</f>
        <v>19</v>
      </c>
      <c r="C185" s="193">
        <v>23.75</v>
      </c>
      <c r="D185" s="179">
        <f t="shared" si="12"/>
        <v>451.25</v>
      </c>
      <c r="E185" s="193">
        <v>60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">
      <c r="A186" s="180">
        <f>'Données projet'!A174</f>
        <v>55</v>
      </c>
      <c r="B186" s="181">
        <f>'Données projet'!D174</f>
        <v>16</v>
      </c>
      <c r="C186" s="193">
        <v>44.375</v>
      </c>
      <c r="D186" s="179">
        <f t="shared" si="12"/>
        <v>710</v>
      </c>
      <c r="E186" s="193">
        <v>60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">
      <c r="A187" s="180">
        <f>'Données projet'!A175</f>
        <v>60</v>
      </c>
      <c r="B187" s="181">
        <f>'Données projet'!D175</f>
        <v>14</v>
      </c>
      <c r="C187" s="193">
        <v>44.375</v>
      </c>
      <c r="D187" s="179">
        <f t="shared" si="12"/>
        <v>621.25</v>
      </c>
      <c r="E187" s="193">
        <v>60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">
      <c r="A188" s="180">
        <f>'Données projet'!A176</f>
        <v>65</v>
      </c>
      <c r="B188" s="181">
        <f>'Données projet'!D176</f>
        <v>13</v>
      </c>
      <c r="C188" s="193">
        <v>44.375</v>
      </c>
      <c r="D188" s="179">
        <f t="shared" si="12"/>
        <v>576.875</v>
      </c>
      <c r="E188" s="193">
        <v>60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">
      <c r="A189" s="180">
        <f>'Données projet'!A177</f>
        <v>70</v>
      </c>
      <c r="B189" s="181">
        <f>'Données projet'!D177</f>
        <v>13</v>
      </c>
      <c r="C189" s="193">
        <v>44.375</v>
      </c>
      <c r="D189" s="179">
        <f t="shared" si="12"/>
        <v>576.875</v>
      </c>
      <c r="E189" s="193">
        <v>60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">
      <c r="A190" s="180">
        <f>'Données projet'!A178</f>
        <v>75</v>
      </c>
      <c r="B190" s="181">
        <f>'Données projet'!D178</f>
        <v>12</v>
      </c>
      <c r="C190" s="193">
        <v>44.375</v>
      </c>
      <c r="D190" s="179">
        <f t="shared" si="12"/>
        <v>532.5</v>
      </c>
      <c r="E190" s="193">
        <v>60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">
      <c r="A191" s="180">
        <f>'Données projet'!A179</f>
        <v>80</v>
      </c>
      <c r="B191" s="181">
        <f>'Données projet'!D179</f>
        <v>330</v>
      </c>
      <c r="C191" s="193">
        <v>44.375</v>
      </c>
      <c r="D191" s="179">
        <f t="shared" si="12"/>
        <v>14643.75</v>
      </c>
      <c r="E191" s="193">
        <v>60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">
      <c r="A200" s="46" t="s">
        <v>171</v>
      </c>
      <c r="B200" s="174" t="str">
        <f>IF('Données projet'!$B$15="","",'Données projet'!$B$15)</f>
        <v>Cèdre de l'Atlas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">
      <c r="A209" s="180">
        <f>'Données projet'!A192</f>
        <v>42</v>
      </c>
      <c r="B209" s="181">
        <f>'Données projet'!D192</f>
        <v>292.26</v>
      </c>
      <c r="C209" s="193">
        <v>48.149999999999991</v>
      </c>
      <c r="D209" s="179">
        <f>B209*C209</f>
        <v>14072.318999999998</v>
      </c>
      <c r="E209" s="193">
        <v>60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">
      <c r="A210" s="180">
        <f>'Données projet'!A193</f>
        <v>49</v>
      </c>
      <c r="B210" s="181">
        <f>'Données projet'!D193</f>
        <v>101.22000000000003</v>
      </c>
      <c r="C210" s="193">
        <v>30.374999999999996</v>
      </c>
      <c r="D210" s="179">
        <f t="shared" ref="D210:D228" si="13">B210*C210</f>
        <v>3074.5575000000003</v>
      </c>
      <c r="E210" s="193">
        <v>60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">
      <c r="A211" s="180">
        <f>'Données projet'!A194</f>
        <v>50</v>
      </c>
      <c r="B211" s="181">
        <f>'Données projet'!D194</f>
        <v>108.07</v>
      </c>
      <c r="C211" s="193">
        <v>30.374999999999996</v>
      </c>
      <c r="D211" s="179">
        <f t="shared" si="13"/>
        <v>3282.6262499999993</v>
      </c>
      <c r="E211" s="193">
        <v>60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">
      <c r="A212" s="180">
        <f>'Données projet'!A195</f>
        <v>56</v>
      </c>
      <c r="B212" s="181">
        <f>'Données projet'!D195</f>
        <v>80.21999999999997</v>
      </c>
      <c r="C212" s="193">
        <v>30.374999999999996</v>
      </c>
      <c r="D212" s="179">
        <f t="shared" si="13"/>
        <v>2436.682499999999</v>
      </c>
      <c r="E212" s="193">
        <v>60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">
      <c r="A213" s="180">
        <f>'Données projet'!A196</f>
        <v>58</v>
      </c>
      <c r="B213" s="181">
        <f>'Données projet'!D196</f>
        <v>88.54000000000002</v>
      </c>
      <c r="C213" s="193">
        <v>30.374999999999996</v>
      </c>
      <c r="D213" s="179">
        <f t="shared" si="13"/>
        <v>2689.4025000000001</v>
      </c>
      <c r="E213" s="193">
        <v>60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">
      <c r="A214" s="180">
        <f>'Données projet'!A197</f>
        <v>63</v>
      </c>
      <c r="B214" s="181">
        <f>'Données projet'!D197</f>
        <v>79.909999999999968</v>
      </c>
      <c r="C214" s="193">
        <v>30.374999999999996</v>
      </c>
      <c r="D214" s="179">
        <f t="shared" si="13"/>
        <v>2427.2662499999988</v>
      </c>
      <c r="E214" s="193">
        <v>60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">
      <c r="A215" s="180">
        <f>'Données projet'!A198</f>
        <v>66</v>
      </c>
      <c r="B215" s="181">
        <f>'Données projet'!D198</f>
        <v>88.899999999999977</v>
      </c>
      <c r="C215" s="193">
        <v>30.374999999999996</v>
      </c>
      <c r="D215" s="179">
        <f t="shared" si="13"/>
        <v>2700.3374999999992</v>
      </c>
      <c r="E215" s="193">
        <v>60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">
      <c r="A216" s="180">
        <f>'Données projet'!A199</f>
        <v>71</v>
      </c>
      <c r="B216" s="181">
        <f>'Données projet'!D199</f>
        <v>91.730000000000018</v>
      </c>
      <c r="C216" s="193">
        <v>30.374999999999996</v>
      </c>
      <c r="D216" s="179">
        <f t="shared" si="13"/>
        <v>2786.2987500000004</v>
      </c>
      <c r="E216" s="193">
        <v>60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">
      <c r="A217" s="180">
        <f>'Données projet'!A200</f>
        <v>75</v>
      </c>
      <c r="B217" s="181">
        <f>'Données projet'!D200</f>
        <v>89.149999999999977</v>
      </c>
      <c r="C217" s="193">
        <v>30.374999999999996</v>
      </c>
      <c r="D217" s="179">
        <f t="shared" si="13"/>
        <v>2707.9312499999992</v>
      </c>
      <c r="E217" s="193">
        <v>60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">
      <c r="A218" s="180">
        <f>'Données projet'!A201</f>
        <v>79</v>
      </c>
      <c r="B218" s="181">
        <f>'Données projet'!D201</f>
        <v>89.009999999999991</v>
      </c>
      <c r="C218" s="193">
        <v>30.374999999999996</v>
      </c>
      <c r="D218" s="179">
        <f t="shared" si="13"/>
        <v>2703.6787499999996</v>
      </c>
      <c r="E218" s="193">
        <v>60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">
      <c r="A219" s="180">
        <f>'Données projet'!A202</f>
        <v>83</v>
      </c>
      <c r="B219" s="181">
        <f>'Données projet'!D202</f>
        <v>91.480000000000018</v>
      </c>
      <c r="C219" s="193">
        <v>37.53</v>
      </c>
      <c r="D219" s="179">
        <f t="shared" si="13"/>
        <v>3433.244400000001</v>
      </c>
      <c r="E219" s="193">
        <v>60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">
      <c r="A220" s="180">
        <f>'Données projet'!A203</f>
        <v>87</v>
      </c>
      <c r="B220" s="181">
        <f>'Données projet'!D203</f>
        <v>89.649999999999977</v>
      </c>
      <c r="C220" s="193">
        <v>37.53</v>
      </c>
      <c r="D220" s="179">
        <f t="shared" si="13"/>
        <v>3364.564499999999</v>
      </c>
      <c r="E220" s="193">
        <v>60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">
      <c r="A221" s="180">
        <f>'Données projet'!A204</f>
        <v>91</v>
      </c>
      <c r="B221" s="181">
        <f>'Données projet'!D204</f>
        <v>264.52000000000004</v>
      </c>
      <c r="C221" s="193">
        <v>37.53</v>
      </c>
      <c r="D221" s="179">
        <f t="shared" si="13"/>
        <v>9927.4356000000025</v>
      </c>
      <c r="E221" s="193">
        <v>60</v>
      </c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">
      <c r="A222" s="180">
        <f>'Données projet'!A205</f>
        <v>95</v>
      </c>
      <c r="B222" s="181">
        <f>'Données projet'!D205</f>
        <v>272.32</v>
      </c>
      <c r="C222" s="193">
        <v>37.53</v>
      </c>
      <c r="D222" s="179">
        <f t="shared" si="13"/>
        <v>10220.169599999999</v>
      </c>
      <c r="E222" s="193">
        <v>60</v>
      </c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">
      <c r="A223" s="180">
        <f>'Données projet'!A206</f>
        <v>101</v>
      </c>
      <c r="B223" s="181">
        <f>'Données projet'!D206</f>
        <v>356.43</v>
      </c>
      <c r="C223" s="193">
        <v>37.53</v>
      </c>
      <c r="D223" s="179">
        <f t="shared" si="13"/>
        <v>13376.8179</v>
      </c>
      <c r="E223" s="193">
        <v>60</v>
      </c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">
      <c r="A224" s="180">
        <f>'Données projet'!A207</f>
        <v>105</v>
      </c>
      <c r="B224" s="181">
        <f>'Données projet'!D207</f>
        <v>361.46</v>
      </c>
      <c r="C224" s="193">
        <v>37.53</v>
      </c>
      <c r="D224" s="179">
        <f t="shared" si="13"/>
        <v>13565.593799999999</v>
      </c>
      <c r="E224" s="193">
        <v>60</v>
      </c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">
      <c r="A231" s="46" t="s">
        <v>172</v>
      </c>
      <c r="B231" s="174" t="str">
        <f>IF('Données projet'!$B$16="","",'Données projet'!$B$16)</f>
        <v>Bouleau verruqueux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">
      <c r="A240" s="180">
        <f>'Données projet'!A218</f>
        <v>15</v>
      </c>
      <c r="B240" s="181">
        <f>'Données projet'!D218</f>
        <v>0</v>
      </c>
      <c r="C240" s="193">
        <v>13.5625</v>
      </c>
      <c r="D240" s="179">
        <f>B240*C240</f>
        <v>0</v>
      </c>
      <c r="E240" s="193">
        <v>60</v>
      </c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">
      <c r="A241" s="180">
        <f>'Données projet'!A219</f>
        <v>20</v>
      </c>
      <c r="B241" s="181">
        <f>'Données projet'!D219</f>
        <v>5.7692307692307692</v>
      </c>
      <c r="C241" s="193">
        <v>13.5625</v>
      </c>
      <c r="D241" s="179">
        <f t="shared" ref="D241:D259" si="14">B241*C241</f>
        <v>78.245192307692307</v>
      </c>
      <c r="E241" s="193">
        <v>60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">
      <c r="A242" s="180">
        <f>'Données projet'!A220</f>
        <v>25</v>
      </c>
      <c r="B242" s="181">
        <f>'Données projet'!D220</f>
        <v>5.1282051282051277</v>
      </c>
      <c r="C242" s="193">
        <v>13.5625</v>
      </c>
      <c r="D242" s="179">
        <f t="shared" si="14"/>
        <v>69.551282051282044</v>
      </c>
      <c r="E242" s="193">
        <v>60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">
      <c r="A243" s="180">
        <f>'Données projet'!A221</f>
        <v>30</v>
      </c>
      <c r="B243" s="181">
        <f>'Données projet'!D221</f>
        <v>5.7692307692307692</v>
      </c>
      <c r="C243" s="193">
        <v>19.375</v>
      </c>
      <c r="D243" s="179">
        <f t="shared" si="14"/>
        <v>111.77884615384615</v>
      </c>
      <c r="E243" s="193">
        <v>60</v>
      </c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">
      <c r="A244" s="180">
        <f>'Données projet'!A222</f>
        <v>35</v>
      </c>
      <c r="B244" s="181">
        <f>'Données projet'!D222</f>
        <v>6.4102564102564097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">
      <c r="A245" s="180">
        <f>'Données projet'!A223</f>
        <v>40</v>
      </c>
      <c r="B245" s="181">
        <f>'Données projet'!D223</f>
        <v>6.4102564102564097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">
      <c r="A246" s="180">
        <f>'Données projet'!A224</f>
        <v>45</v>
      </c>
      <c r="B246" s="181">
        <f>'Données projet'!D224</f>
        <v>7.0512820512820511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">
      <c r="A247" s="180">
        <f>'Données projet'!A225</f>
        <v>50</v>
      </c>
      <c r="B247" s="181">
        <f>'Données projet'!D225</f>
        <v>7.0512820512820511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">
      <c r="A248" s="180">
        <f>'Données projet'!A226</f>
        <v>55</v>
      </c>
      <c r="B248" s="181">
        <f>'Données projet'!D226</f>
        <v>7.0512820512820511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">
      <c r="A249" s="180">
        <f>'Données projet'!A227</f>
        <v>60</v>
      </c>
      <c r="B249" s="181">
        <f>'Données projet'!D227</f>
        <v>7.0512820512820511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">
      <c r="A250" s="180">
        <f>'Données projet'!A228</f>
        <v>65</v>
      </c>
      <c r="B250" s="181">
        <f>'Données projet'!D228</f>
        <v>7.0512820512820511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">
      <c r="A251" s="180">
        <f>'Données projet'!A229</f>
        <v>70</v>
      </c>
      <c r="B251" s="181">
        <f>'Données projet'!D229</f>
        <v>7.0512820512820511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">
      <c r="A252" s="180">
        <f>'Données projet'!A230</f>
        <v>75</v>
      </c>
      <c r="B252" s="181">
        <f>'Données projet'!D230</f>
        <v>7.0512820512820511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">
      <c r="A253" s="180">
        <f>'Données projet'!A231</f>
        <v>80</v>
      </c>
      <c r="B253" s="181">
        <f>'Données projet'!D231</f>
        <v>7.0512820512820511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">
      <c r="A254" s="180">
        <f>'Données projet'!A232</f>
        <v>85</v>
      </c>
      <c r="B254" s="181">
        <f>'Données projet'!D232</f>
        <v>6.4102564102564097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">
      <c r="A255" s="180">
        <f>'Données projet'!A233</f>
        <v>90</v>
      </c>
      <c r="B255" s="181">
        <f>'Données projet'!D233</f>
        <v>129.48717948717947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E89798-0F5B-42E3-94FD-C40838DF9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Constantin DESCAMPS</cp:lastModifiedBy>
  <dcterms:created xsi:type="dcterms:W3CDTF">2021-02-01T08:22:39Z</dcterms:created>
  <dcterms:modified xsi:type="dcterms:W3CDTF">2024-12-17T15:37:43Z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