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CECILE DE KERNIER -15369465- CD/"/>
    </mc:Choice>
  </mc:AlternateContent>
  <xr:revisionPtr revIDLastSave="1" documentId="14_{D6202C43-CC2E-45A4-8371-6F5EE0B40E05}" xr6:coauthVersionLast="47" xr6:coauthVersionMax="47" xr10:uidLastSave="{D754BF8B-F24D-441B-A65F-2AB5437CADDE}"/>
  <bookViews>
    <workbookView xWindow="9583" yWindow="0" windowWidth="9840" windowHeight="12257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117" i="2" l="1" a="1"/>
  <c r="BC117" i="2" s="1"/>
  <c r="BX107" i="2" a="1"/>
  <c r="BX107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AH19" i="2" a="1"/>
  <c r="AH19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71" i="2" l="1"/>
  <c r="CD176" i="2"/>
  <c r="CD203" i="2"/>
  <c r="CD156" i="2"/>
  <c r="CD20" i="2"/>
  <c r="CD73" i="2"/>
  <c r="CD43" i="2"/>
  <c r="CD84" i="2"/>
  <c r="CD35" i="2"/>
  <c r="CD65" i="2"/>
  <c r="CD158" i="2"/>
  <c r="CD199" i="2"/>
  <c r="CD97" i="2"/>
  <c r="CD184" i="2"/>
  <c r="CD80" i="2"/>
  <c r="CD29" i="2"/>
  <c r="CD54" i="2"/>
  <c r="CD144" i="2"/>
  <c r="CD122" i="2"/>
  <c r="CD177" i="2"/>
  <c r="CD82" i="2"/>
  <c r="CD8" i="2"/>
  <c r="CD42" i="2"/>
  <c r="CD182" i="2"/>
  <c r="CD12" i="2"/>
  <c r="CD126" i="2"/>
  <c r="CD37" i="2"/>
  <c r="CD36" i="2"/>
  <c r="CD5" i="2"/>
  <c r="CD7" i="2"/>
  <c r="CD72" i="2"/>
  <c r="CD163" i="2"/>
  <c r="CD14" i="2"/>
  <c r="CD38" i="2"/>
  <c r="CD62" i="2"/>
  <c r="CD192" i="2"/>
  <c r="CD48" i="2"/>
  <c r="CD113" i="2"/>
  <c r="CD78" i="2"/>
  <c r="CD146" i="2"/>
  <c r="CD162" i="2"/>
  <c r="CD188" i="2"/>
  <c r="CD107" i="2"/>
  <c r="CD15" i="2"/>
  <c r="CD133" i="2"/>
  <c r="CD119" i="2"/>
  <c r="CD110" i="2"/>
  <c r="CD11" i="2"/>
  <c r="CD139" i="2"/>
  <c r="CD131" i="2"/>
  <c r="CD26" i="2"/>
  <c r="CD202" i="2"/>
  <c r="CD75" i="2"/>
  <c r="CD141" i="2"/>
  <c r="CD91" i="2"/>
  <c r="CD167" i="2"/>
  <c r="CD22" i="2"/>
  <c r="CD169" i="2"/>
  <c r="CD198" i="2"/>
  <c r="CD191" i="2"/>
  <c r="CD181" i="2"/>
  <c r="CD148" i="2"/>
  <c r="CD114" i="2"/>
  <c r="CD9" i="2"/>
  <c r="CD190" i="2"/>
  <c r="CD197" i="2"/>
  <c r="CD58" i="2"/>
  <c r="CD60" i="2"/>
  <c r="CD23" i="2"/>
  <c r="CD149" i="2"/>
  <c r="CD125" i="2"/>
  <c r="CD116" i="2"/>
  <c r="CD100" i="2"/>
  <c r="CD164" i="2"/>
  <c r="CD161" i="2"/>
  <c r="CD136" i="2"/>
  <c r="CD56" i="2"/>
  <c r="CD165" i="2"/>
  <c r="CD103" i="2"/>
  <c r="CD45" i="2"/>
  <c r="CD68" i="2"/>
  <c r="CD30" i="2"/>
  <c r="CD152" i="2"/>
  <c r="CD201" i="2"/>
  <c r="CD174" i="2"/>
  <c r="CD143" i="2"/>
  <c r="CD63" i="2"/>
  <c r="CD102" i="2"/>
  <c r="CD3" i="2"/>
  <c r="C9" i="4" s="1"/>
  <c r="E9" i="4" s="1"/>
  <c r="F9" i="4" s="1"/>
  <c r="G9" i="4" s="1"/>
  <c r="L9" i="4" s="1"/>
  <c r="CD47" i="2"/>
  <c r="CD95" i="2"/>
  <c r="CD193" i="2"/>
  <c r="CD18" i="2"/>
  <c r="CD16" i="2"/>
  <c r="CD120" i="2"/>
  <c r="CD86" i="2"/>
  <c r="CD66" i="2"/>
  <c r="CD153" i="2"/>
  <c r="CD189" i="2"/>
  <c r="CD99" i="2"/>
  <c r="CD27" i="2"/>
  <c r="CD13" i="2"/>
  <c r="CD21" i="2"/>
  <c r="CD175" i="2"/>
  <c r="CD128" i="2"/>
  <c r="CD178" i="2"/>
  <c r="CD109" i="2"/>
  <c r="CD142" i="2"/>
  <c r="CD200" i="2"/>
  <c r="CD187" i="2"/>
  <c r="CD46" i="2"/>
  <c r="CD17" i="2"/>
  <c r="CD57" i="2"/>
  <c r="CD180" i="2"/>
  <c r="CD134" i="2"/>
  <c r="CD194" i="2"/>
  <c r="CD34" i="2"/>
  <c r="CD195" i="2"/>
  <c r="CD67" i="2"/>
  <c r="CD77" i="2"/>
  <c r="CD10" i="2"/>
  <c r="CD147" i="2"/>
  <c r="CD90" i="2"/>
  <c r="CD64" i="2"/>
  <c r="CD173" i="2"/>
  <c r="CD49" i="2"/>
  <c r="CD121" i="2"/>
  <c r="CD130" i="2"/>
  <c r="CD127" i="2"/>
  <c r="CD51" i="2"/>
  <c r="CD19" i="2"/>
  <c r="CD79" i="2"/>
  <c r="CD94" i="2"/>
  <c r="CD32" i="2"/>
  <c r="CD24" i="2"/>
  <c r="CD101" i="2"/>
  <c r="CD168" i="2"/>
  <c r="CD74" i="2"/>
  <c r="CD137" i="2"/>
  <c r="CD135" i="2"/>
  <c r="CD138" i="2"/>
  <c r="CD88" i="2"/>
  <c r="CD183" i="2"/>
  <c r="CD93" i="2"/>
  <c r="CD170" i="2"/>
  <c r="CD25" i="2"/>
  <c r="CD41" i="2"/>
  <c r="CD104" i="2"/>
  <c r="CD106" i="2"/>
  <c r="CD50" i="2"/>
  <c r="CD115" i="2"/>
  <c r="CD150" i="2"/>
  <c r="CD28" i="2"/>
  <c r="CD92" i="2"/>
  <c r="CD55" i="2"/>
  <c r="CD83" i="2"/>
  <c r="CD105" i="2"/>
  <c r="CD76" i="2"/>
  <c r="CD81" i="2"/>
  <c r="CD111" i="2"/>
  <c r="CD157" i="2"/>
  <c r="CD179" i="2"/>
  <c r="CD61" i="2"/>
  <c r="CD166" i="2"/>
  <c r="CD108" i="2"/>
  <c r="CD33" i="2"/>
  <c r="CD31" i="2"/>
  <c r="CD154" i="2"/>
  <c r="CD40" i="2"/>
  <c r="CD124" i="2"/>
  <c r="CD71" i="2"/>
  <c r="CD129" i="2"/>
  <c r="CD185" i="2"/>
  <c r="CD96" i="2"/>
  <c r="CD160" i="2"/>
  <c r="CD112" i="2"/>
  <c r="CD145" i="2"/>
  <c r="CD69" i="2"/>
  <c r="CD59" i="2"/>
  <c r="CD196" i="2"/>
  <c r="CD53" i="2"/>
  <c r="CD44" i="2"/>
  <c r="CD4" i="2"/>
  <c r="CD89" i="2"/>
  <c r="CD39" i="2"/>
  <c r="CD132" i="2"/>
  <c r="CD118" i="2"/>
  <c r="CD186" i="2"/>
  <c r="CD98" i="2"/>
  <c r="CD151" i="2"/>
  <c r="CD52" i="2"/>
  <c r="CD159" i="2"/>
  <c r="CD140" i="2"/>
  <c r="CD117" i="2"/>
  <c r="CD70" i="2"/>
  <c r="CD6" i="2"/>
  <c r="CD123" i="2"/>
  <c r="CD85" i="2"/>
  <c r="CD87" i="2"/>
  <c r="CD155" i="2"/>
  <c r="CD172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0" i="2" l="1"/>
  <c r="BI25" i="2"/>
  <c r="BI156" i="2"/>
  <c r="BI148" i="2"/>
  <c r="BI141" i="2"/>
  <c r="BI47" i="2"/>
  <c r="BI143" i="2"/>
  <c r="BI159" i="2"/>
  <c r="BI73" i="2"/>
  <c r="BI126" i="2"/>
  <c r="BI24" i="2"/>
  <c r="BI88" i="2"/>
  <c r="BI43" i="2"/>
  <c r="BI51" i="2"/>
  <c r="BI164" i="2"/>
  <c r="BI96" i="2"/>
  <c r="BI113" i="2"/>
  <c r="BI112" i="2"/>
  <c r="BI3" i="2"/>
  <c r="C8" i="4" s="1"/>
  <c r="E8" i="4" s="1"/>
  <c r="F8" i="4" s="1"/>
  <c r="G8" i="4" s="1"/>
  <c r="L8" i="4" s="1"/>
  <c r="BI194" i="2"/>
  <c r="BI200" i="2"/>
  <c r="BI130" i="2"/>
  <c r="BI166" i="2"/>
  <c r="BI198" i="2"/>
  <c r="BI18" i="2"/>
  <c r="BI62" i="2"/>
  <c r="BI117" i="2"/>
  <c r="BI191" i="2"/>
  <c r="BI111" i="2"/>
  <c r="BI50" i="2"/>
  <c r="BI82" i="2"/>
  <c r="BI124" i="2"/>
  <c r="BI190" i="2"/>
  <c r="BI170" i="2"/>
  <c r="BI44" i="2"/>
  <c r="BI109" i="2"/>
  <c r="BI152" i="2"/>
  <c r="BI64" i="2"/>
  <c r="BI145" i="2"/>
  <c r="BI4" i="2"/>
  <c r="BI116" i="2"/>
  <c r="BI69" i="2"/>
  <c r="BI103" i="2"/>
  <c r="BI87" i="2"/>
  <c r="BI81" i="2"/>
  <c r="BI75" i="2"/>
  <c r="BI184" i="2"/>
  <c r="BI8" i="2"/>
  <c r="BI201" i="2"/>
  <c r="BI176" i="2"/>
  <c r="BI178" i="2"/>
  <c r="BI21" i="2"/>
  <c r="BI144" i="2"/>
  <c r="BI91" i="2"/>
  <c r="BI79" i="2"/>
  <c r="BI115" i="2"/>
  <c r="BI23" i="2"/>
  <c r="BI89" i="2"/>
  <c r="BI136" i="2"/>
  <c r="BI146" i="2"/>
  <c r="BI157" i="2"/>
  <c r="BI13" i="2"/>
  <c r="BI52" i="2"/>
  <c r="BI53" i="2"/>
  <c r="BI105" i="2"/>
  <c r="BI128" i="2"/>
  <c r="BI85" i="2"/>
  <c r="BI182" i="2"/>
  <c r="BI46" i="2"/>
  <c r="BI202" i="2"/>
  <c r="BI167" i="2"/>
  <c r="BI6" i="2"/>
  <c r="BI14" i="2"/>
  <c r="BI40" i="2"/>
  <c r="BI67" i="2"/>
  <c r="BI56" i="2"/>
  <c r="BI37" i="2"/>
  <c r="BI12" i="2"/>
  <c r="BI114" i="2"/>
  <c r="BI165" i="2"/>
  <c r="BI168" i="2"/>
  <c r="BI95" i="2"/>
  <c r="BI72" i="2"/>
  <c r="BI106" i="2"/>
  <c r="BI150" i="2"/>
  <c r="BI7" i="2"/>
  <c r="BI110" i="2"/>
  <c r="BI169" i="2"/>
  <c r="BI134" i="2"/>
  <c r="BI70" i="2"/>
  <c r="BI172" i="2"/>
  <c r="BI119" i="2"/>
  <c r="BI133" i="2"/>
  <c r="BI80" i="2"/>
  <c r="BI151" i="2"/>
  <c r="BI36" i="2"/>
  <c r="BI66" i="2"/>
  <c r="BI41" i="2"/>
  <c r="BI57" i="2"/>
  <c r="BI63" i="2"/>
  <c r="BI104" i="2"/>
  <c r="BI185" i="2"/>
  <c r="BI58" i="2"/>
  <c r="BI99" i="2"/>
  <c r="BI158" i="2"/>
  <c r="BI54" i="2"/>
  <c r="BI181" i="2"/>
  <c r="BI189" i="2"/>
  <c r="BI187" i="2"/>
  <c r="BI154" i="2"/>
  <c r="BI140" i="2"/>
  <c r="BI108" i="2"/>
  <c r="BI149" i="2"/>
  <c r="BI76" i="2"/>
  <c r="BI71" i="2"/>
  <c r="BI39" i="2"/>
  <c r="BI197" i="2"/>
  <c r="BI86" i="2"/>
  <c r="BI65" i="2"/>
  <c r="BI129" i="2"/>
  <c r="BI180" i="2"/>
  <c r="BI97" i="2"/>
  <c r="BI175" i="2"/>
  <c r="BI59" i="2"/>
  <c r="BI127" i="2"/>
  <c r="BI27" i="2"/>
  <c r="BI135" i="2"/>
  <c r="BI193" i="2"/>
  <c r="BI188" i="2"/>
  <c r="BI199" i="2"/>
  <c r="BI45" i="2"/>
  <c r="BI9" i="2"/>
  <c r="BI77" i="2"/>
  <c r="BI38" i="2"/>
  <c r="BI92" i="2"/>
  <c r="BI122" i="2"/>
  <c r="BI118" i="2"/>
  <c r="BI138" i="2"/>
  <c r="BI131" i="2"/>
  <c r="BI186" i="2"/>
  <c r="BI94" i="2"/>
  <c r="BI147" i="2"/>
  <c r="BI32" i="2"/>
  <c r="BI155" i="2"/>
  <c r="BI137" i="2"/>
  <c r="BI196" i="2"/>
  <c r="BI93" i="2"/>
  <c r="BI174" i="2"/>
  <c r="BI173" i="2"/>
  <c r="BI121" i="2"/>
  <c r="BI192" i="2"/>
  <c r="BI78" i="2"/>
  <c r="BI183" i="2"/>
  <c r="BI28" i="2"/>
  <c r="BI100" i="2"/>
  <c r="BI26" i="2"/>
  <c r="BI68" i="2"/>
  <c r="BI42" i="2"/>
  <c r="BI84" i="2"/>
  <c r="BI11" i="2"/>
  <c r="BI16" i="2"/>
  <c r="BI61" i="2"/>
  <c r="BI15" i="2"/>
  <c r="BI31" i="2"/>
  <c r="BI203" i="2"/>
  <c r="BI74" i="2"/>
  <c r="BI98" i="2"/>
  <c r="BI49" i="2"/>
  <c r="BI22" i="2"/>
  <c r="BI179" i="2"/>
  <c r="BI20" i="2"/>
  <c r="BI120" i="2"/>
  <c r="BI139" i="2"/>
  <c r="BI17" i="2"/>
  <c r="BI161" i="2"/>
  <c r="BI60" i="2"/>
  <c r="BI30" i="2"/>
  <c r="BI107" i="2"/>
  <c r="BI162" i="2"/>
  <c r="BI153" i="2"/>
  <c r="BI125" i="2"/>
  <c r="BI33" i="2"/>
  <c r="BI163" i="2"/>
  <c r="BI102" i="2"/>
  <c r="BI29" i="2"/>
  <c r="BI132" i="2"/>
  <c r="BI101" i="2"/>
  <c r="BI34" i="2"/>
  <c r="BI19" i="2"/>
  <c r="BI123" i="2"/>
  <c r="BI160" i="2"/>
  <c r="BI171" i="2"/>
  <c r="BI195" i="2"/>
  <c r="BI142" i="2"/>
  <c r="BI5" i="2"/>
  <c r="BI177" i="2"/>
  <c r="BI48" i="2"/>
  <c r="BI55" i="2"/>
  <c r="BI35" i="2"/>
  <c r="BI90" i="2"/>
  <c r="BI8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<sst xmlns="http://schemas.openxmlformats.org/spreadsheetml/2006/main" count="1177" uniqueCount="328">
  <si>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</si>
  <si>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</si>
  <si>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</si>
  <si>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</si>
  <si>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</si>
  <si>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</si>
  <si>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</si>
  <si>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</si>
  <si>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</si>
  <si>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</si>
  <si>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</si>
  <si>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</si>
  <si>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</si>
  <si>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</si>
  <si>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</si>
  <si>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</si>
  <si>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</si>
  <si>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</si>
  <si>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</si>
  <si>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</si>
  <si>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</si>
  <si>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</si>
  <si>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</si>
  <si>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</si>
  <si>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</si>
  <si>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</si>
  <si>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</si>
  <si>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</si>
  <si>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</si>
  <si>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</si>
  <si>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</si>
  <si>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</si>
  <si>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</si>
  <si>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</si>
  <si>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</si>
  <si>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</si>
  <si>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</si>
  <si>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</si>
  <si>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</si>
  <si>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</si>
  <si>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</si>
  <si>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</si>
  <si>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</si>
  <si>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</si>
  <si>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</si>
  <si>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</si>
  <si>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</si>
  <si>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</si>
  <si>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</si>
  <si>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</si>
  <si>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</si>
  <si>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</si>
  <si>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</si>
  <si>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</si>
  <si>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</si>
  <si>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</si>
  <si>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</si>
  <si>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</si>
  <si>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</si>
  <si>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</si>
  <si>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</si>
  <si>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</si>
  <si>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</si>
  <si>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</si>
  <si>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</si>
  <si>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</si>
  <si>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</si>
  <si>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</si>
  <si>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</si>
  <si>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</si>
  <si>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</si>
  <si>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</si>
  <si>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</si>
  <si>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</si>
  <si>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</si>
  <si>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</si>
  <si>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</si>
  <si>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</si>
  <si>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</si>
  <si>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</si>
  <si>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</si>
  <si>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</si>
  <si>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</si>
  <si>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</si>
  <si>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</si>
  <si>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</si>
  <si>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</si>
  <si>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</si>
  <si>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</si>
  <si>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</si>
  <si>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</si>
  <si>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</si>
  <si>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</si>
  <si>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</si>
  <si>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</si>
  <si>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</si>
  <si>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</si>
  <si>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</si>
  <si>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</si>
  <si>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</si>
  <si>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</si>
  <si>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</si>
  <si>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</si>
  <si>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</si>
  <si>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</si>
  <si>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</si>
  <si>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</si>
  <si>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</si>
  <si>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</si>
  <si>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</si>
  <si>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</si>
  <si>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</si>
  <si>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</si>
  <si>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</si>
  <si>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</si>
  <si>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</si>
  <si>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</si>
  <si>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</si>
  <si>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</si>
  <si>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</si>
  <si>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</si>
  <si>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</si>
  <si>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</si>
  <si>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</si>
  <si>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</si>
  <si>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</si>
  <si>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</si>
  <si>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</si>
  <si>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</si>
  <si>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</si>
  <si>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</si>
  <si>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</si>
  <si>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</si>
  <si>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</si>
  <si>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</si>
  <si>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</si>
  <si>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</si>
  <si>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</si>
  <si>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</si>
  <si>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</si>
  <si>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</si>
  <si>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</si>
  <si>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</si>
  <si>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</si>
  <si>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</si>
  <si>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</si>
  <si>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</si>
  <si>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</si>
  <si>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</si>
  <si>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</si>
  <si>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</si>
  <si>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</si>
  <si>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</si>
  <si>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</si>
  <si>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</si>
  <si>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</si>
  <si>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</si>
  <si>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</si>
  <si>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</si>
  <si>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</si>
  <si>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</si>
  <si>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</si>
  <si>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</si>
  <si>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</si>
  <si>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</si>
  <si>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</si>
  <si>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</si>
  <si>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</si>
  <si>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</si>
  <si>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</si>
  <si>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</si>
  <si>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</si>
  <si>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</si>
  <si>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</si>
  <si>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</si>
  <si>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</si>
  <si>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</si>
  <si>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</si>
  <si>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</si>
  <si>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</si>
  <si>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</si>
  <si>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</si>
  <si>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</si>
  <si>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</si>
  <si>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</si>
  <si>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</si>
  <si>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</si>
  <si>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</si>
  <si>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</si>
  <si>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</si>
  <si>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</si>
  <si>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</si>
  <si>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</si>
  <si>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</si>
  <si>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</si>
  <si>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</si>
  <si>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</si>
  <si>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</si>
  <si>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</si>
  <si>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</si>
  <si>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</si>
  <si>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</si>
  <si>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</si>
  <si>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</si>
  <si>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</si>
  <si>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</si>
  <si>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</si>
  <si>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</si>
  <si>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</si>
  <si>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</si>
  <si>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</si>
  <si>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</si>
  <si>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</si>
  <si>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</si>
  <si>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</si>
  <si>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</si>
  <si>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</si>
  <si>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</si>
  <si>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</si>
  <si>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</si>
  <si>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</si>
  <si>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</si>
  <si>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</si>
  <si>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</si>
  <si>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</si>
  <si>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</si>
  <si>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</si>
  <si>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</si>
  <si>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</si>
  <si>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</si>
  <si>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</si>
  <si>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</si>
  <si>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</si>
  <si>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</si>
  <si>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</si>
  <si>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</si>
  <si>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</si>
  <si>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</si>
  <si>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</si>
  <si>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</si>
  <si>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</si>
  <si>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</si>
  <si>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</si>
  <si>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</si>
  <si>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</si>
  <si>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</si>
  <si>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</si>
  <si>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</si>
  <si>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</si>
  <si>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</si>
  <si>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</si>
  <si>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</si>
  <si>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</si>
  <si>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</si>
  <si>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</si>
  <si>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</si>
  <si>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</si>
  <si>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</si>
  <si>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</si>
  <si>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</si>
  <si>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</si>
  <si>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</si>
  <si>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</si>
  <si>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</si>
  <si>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</si>
  <si>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</si>
  <si>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</si>
  <si>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</si>
  <si>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</si>
  <si>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</si>
  <si>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</si>
  <si>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</si>
  <si>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</si>
  <si>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</si>
  <si>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</si>
  <si>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</si>
  <si>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</si>
  <si>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</si>
  <si>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</si>
  <si>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</si>
  <si>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</si>
  <si>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</si>
  <si>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</si>
  <si>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</si>
  <si>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</si>
  <si>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</si>
  <si>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</si>
  <si>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</si>
  <si>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</si>
  <si>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</si>
  <si>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</si>
  <si>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</si>
  <si>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</si>
  <si>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</si>
  <si>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</si>
  <si>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</si>
  <si>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</si>
  <si>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</si>
  <si>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</si>
  <si>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</si>
  <si>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</si>
  <si>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</si>
  <si>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</si>
  <si>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</si>
  <si>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</si>
  <si>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</si>
  <si>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</si>
  <si>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</si>
  <si>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</si>
  <si>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</si>
  <si>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</si>
  <si>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</si>
  <si>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</si>
  <si>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</si>
  <si>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</si>
  <si>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</si>
  <si>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</si>
  <si>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</si>
  <si>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</si>
  <si>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</si>
  <si>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</si>
  <si>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</si>
  <si>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</si>
  <si>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</si>
  <si>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UK For Com_F10_SAB</t>
  </si>
  <si>
    <t>CHS_ONF_F3_Northeast</t>
  </si>
  <si>
    <t>ONF_F3_1100 st/ha</t>
  </si>
  <si>
    <t>ONF_F2_Loire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</si>
</sst>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14" borderId="1" xfId="0" quotePrefix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1.9832509347404734</c:v>
                </c:pt>
                <c:pt idx="2">
                  <c:v>2.5363021311840019</c:v>
                </c:pt>
                <c:pt idx="3">
                  <c:v>3.2441971016984392</c:v>
                </c:pt>
                <c:pt idx="4">
                  <c:v>4.1504528399135472</c:v>
                </c:pt>
                <c:pt idx="5">
                  <c:v>5.3108593581676118</c:v>
                </c:pt>
                <c:pt idx="6">
                  <c:v>6.7969523234296076</c:v>
                </c:pt>
                <c:pt idx="7">
                  <c:v>8.7004712238437953</c:v>
                </c:pt>
                <c:pt idx="8">
                  <c:v>11.139083527497995</c:v>
                </c:pt>
                <c:pt idx="9">
                  <c:v>14.26373530826894</c:v>
                </c:pt>
                <c:pt idx="10">
                  <c:v>18.268091705646864</c:v>
                </c:pt>
                <c:pt idx="11">
                  <c:v>23.400662911553585</c:v>
                </c:pt>
                <c:pt idx="12">
                  <c:v>29.980381574277661</c:v>
                </c:pt>
                <c:pt idx="13">
                  <c:v>38.416616437370422</c:v>
                </c:pt>
                <c:pt idx="14">
                  <c:v>49.234888668760505</c:v>
                </c:pt>
                <c:pt idx="15">
                  <c:v>63.10991967848409</c:v>
                </c:pt>
                <c:pt idx="16">
                  <c:v>80.908105441320245</c:v>
                </c:pt>
                <c:pt idx="17">
                  <c:v>103.74211226448709</c:v>
                </c:pt>
                <c:pt idx="18">
                  <c:v>133.04106098228442</c:v>
                </c:pt>
                <c:pt idx="19">
                  <c:v>170.64076018335757</c:v>
                </c:pt>
                <c:pt idx="20">
                  <c:v>135.84378945334535</c:v>
                </c:pt>
                <c:pt idx="21">
                  <c:v>161.47491223095321</c:v>
                </c:pt>
                <c:pt idx="22">
                  <c:v>187.00955272463617</c:v>
                </c:pt>
                <c:pt idx="23">
                  <c:v>212.46275576477706</c:v>
                </c:pt>
                <c:pt idx="24">
                  <c:v>237.84565463802571</c:v>
                </c:pt>
                <c:pt idx="25">
                  <c:v>206.82223721309137</c:v>
                </c:pt>
                <c:pt idx="26">
                  <c:v>233.69050608642488</c:v>
                </c:pt>
                <c:pt idx="27">
                  <c:v>260.48822561972202</c:v>
                </c:pt>
                <c:pt idx="28">
                  <c:v>287.22367218019002</c:v>
                </c:pt>
                <c:pt idx="29">
                  <c:v>313.90345417076065</c:v>
                </c:pt>
                <c:pt idx="30">
                  <c:v>340.53296451080263</c:v>
                </c:pt>
                <c:pt idx="31">
                  <c:v>281.04527621378566</c:v>
                </c:pt>
                <c:pt idx="32">
                  <c:v>307.38783470891377</c:v>
                </c:pt>
                <c:pt idx="33">
                  <c:v>333.68024088371857</c:v>
                </c:pt>
                <c:pt idx="34">
                  <c:v>359.9269989383622</c:v>
                </c:pt>
                <c:pt idx="35">
                  <c:v>386.13190268266129</c:v>
                </c:pt>
                <c:pt idx="36">
                  <c:v>412.2981891902005</c:v>
                </c:pt>
                <c:pt idx="37">
                  <c:v>438.42865137537677</c:v>
                </c:pt>
                <c:pt idx="38">
                  <c:v>394.90744878411897</c:v>
                </c:pt>
                <c:pt idx="39">
                  <c:v>420.87820521816366</c:v>
                </c:pt>
                <c:pt idx="40">
                  <c:v>446.8144613226446</c:v>
                </c:pt>
                <c:pt idx="41">
                  <c:v>472.71849919417008</c:v>
                </c:pt>
                <c:pt idx="42">
                  <c:v>498.5923306346981</c:v>
                </c:pt>
                <c:pt idx="43">
                  <c:v>524.43774181359265</c:v>
                </c:pt>
                <c:pt idx="44">
                  <c:v>550.25632866906324</c:v>
                </c:pt>
                <c:pt idx="45">
                  <c:v>576.04952532200184</c:v>
                </c:pt>
                <c:pt idx="46">
                  <c:v>601.81862713859334</c:v>
                </c:pt>
                <c:pt idx="47">
                  <c:v>506.67866168846348</c:v>
                </c:pt>
                <c:pt idx="48">
                  <c:v>529.28025038713133</c:v>
                </c:pt>
                <c:pt idx="49">
                  <c:v>551.86153159582511</c:v>
                </c:pt>
                <c:pt idx="50">
                  <c:v>574.42345234122956</c:v>
                </c:pt>
                <c:pt idx="51">
                  <c:v>596.96687926354946</c:v>
                </c:pt>
                <c:pt idx="52">
                  <c:v>619.49260827885348</c:v>
                </c:pt>
                <c:pt idx="53">
                  <c:v>642.00137276399425</c:v>
                </c:pt>
                <c:pt idx="54">
                  <c:v>664.49385053489107</c:v>
                </c:pt>
                <c:pt idx="55">
                  <c:v>686.97066983166678</c:v>
                </c:pt>
                <c:pt idx="56">
                  <c:v>709.43241448048047</c:v>
                </c:pt>
                <c:pt idx="57">
                  <c:v>631.68623434397921</c:v>
                </c:pt>
                <c:pt idx="58">
                  <c:v>651.34820289825973</c:v>
                </c:pt>
                <c:pt idx="59">
                  <c:v>670.99793960688896</c:v>
                </c:pt>
                <c:pt idx="60">
                  <c:v>690.63585275012531</c:v>
                </c:pt>
                <c:pt idx="61">
                  <c:v>710.26232552024112</c:v>
                </c:pt>
                <c:pt idx="62">
                  <c:v>729.87771822776403</c:v>
                </c:pt>
                <c:pt idx="63">
                  <c:v>749.48237025844844</c:v>
                </c:pt>
                <c:pt idx="64">
                  <c:v>769.07660181505105</c:v>
                </c:pt>
                <c:pt idx="65">
                  <c:v>788.6607154725599</c:v>
                </c:pt>
                <c:pt idx="66">
                  <c:v>808.23499757108311</c:v>
                </c:pt>
                <c:pt idx="67">
                  <c:v>714.13246750296094</c:v>
                </c:pt>
                <c:pt idx="68">
                  <c:v>730.35778470861703</c:v>
                </c:pt>
                <c:pt idx="69">
                  <c:v>746.57575793828016</c:v>
                </c:pt>
                <c:pt idx="70">
                  <c:v>762.78656905941671</c:v>
                </c:pt>
                <c:pt idx="71">
                  <c:v>778.9903915861463</c:v>
                </c:pt>
                <c:pt idx="72">
                  <c:v>795.1873912322452</c:v>
                </c:pt>
                <c:pt idx="73">
                  <c:v>811.3777264167951</c:v>
                </c:pt>
                <c:pt idx="74">
                  <c:v>827.56154872741524</c:v>
                </c:pt>
                <c:pt idx="75">
                  <c:v>843.73900334541406</c:v>
                </c:pt>
                <c:pt idx="76">
                  <c:v>859.91022943667087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8" sqref="B18:M31"/>
    </sheetView>
  </sheetViews>
  <sheetFormatPr baseColWidth="10" defaultRowHeight="14.6" x14ac:dyDescent="0.4"/>
  <cols>
    <col min="1" max="1" width="6.535156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22" sqref="E22"/>
    </sheetView>
  </sheetViews>
  <sheetFormatPr baseColWidth="10" defaultColWidth="11.4609375" defaultRowHeight="14.6" x14ac:dyDescent="0.4"/>
  <cols>
    <col min="1" max="1" width="13.535156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535156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8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89"/>
      <c r="B4" s="89"/>
      <c r="C4" s="89"/>
      <c r="D4" s="89"/>
      <c r="E4" s="89"/>
      <c r="F4" s="89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56">
        <v>3.3</v>
      </c>
      <c r="D5" s="269" t="s">
        <v>229</v>
      </c>
      <c r="E5" s="270"/>
      <c r="F5" s="89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0"/>
      <c r="B6" s="90"/>
      <c r="C6" s="4"/>
      <c r="D6" s="85"/>
      <c r="E6" s="85"/>
      <c r="F6" s="25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89"/>
      <c r="D7" s="89"/>
      <c r="E7" s="4"/>
      <c r="F7" s="89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4" t="s">
        <v>179</v>
      </c>
      <c r="C8" s="25" t="s">
        <v>269</v>
      </c>
      <c r="D8" s="26" t="s">
        <v>270</v>
      </c>
      <c r="E8" s="27" t="s">
        <v>268</v>
      </c>
      <c r="F8" s="28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29" t="s">
        <v>165</v>
      </c>
      <c r="B9" s="30" t="s">
        <v>14</v>
      </c>
      <c r="C9" s="31">
        <v>0.17</v>
      </c>
      <c r="D9" s="32">
        <f t="shared" ref="D9:D18" si="0">C9*$C$5</f>
        <v>0.56100000000000005</v>
      </c>
      <c r="E9" s="33">
        <v>183</v>
      </c>
      <c r="F9" s="34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29" t="s">
        <v>166</v>
      </c>
      <c r="B10" s="30" t="s">
        <v>35</v>
      </c>
      <c r="C10" s="31">
        <v>0.15</v>
      </c>
      <c r="D10" s="32">
        <f t="shared" si="0"/>
        <v>0.49499999999999994</v>
      </c>
      <c r="E10" s="33">
        <v>76</v>
      </c>
      <c r="F10" s="34" t="str">
        <f t="array" ref="F10">IF(E10="","",IF(INDEX(A:A,MAX(IF(ISNUMBER($A$62:$A$81),ROW($A$62:$A$81),"")))&lt;&gt;E10,"Corrigez : révolution incorrecte","OK"))</f>
        <v>OK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29" t="s">
        <v>167</v>
      </c>
      <c r="B11" s="30" t="s">
        <v>12</v>
      </c>
      <c r="C11" s="31">
        <v>0.33</v>
      </c>
      <c r="D11" s="32">
        <f t="shared" si="0"/>
        <v>1.089</v>
      </c>
      <c r="E11" s="33">
        <v>183</v>
      </c>
      <c r="F11" s="34" t="str">
        <f t="array" ref="F11">IF(E11="","",IF(INDEX(A:A,MAX(IF(ISNUMBER($A$88:$A$107),ROW($A$88:$A$107),"")))&lt;&gt;E11,"Corrigez : révolution incorrecte","OK"))</f>
        <v>OK</v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29" t="s">
        <v>168</v>
      </c>
      <c r="B12" s="30" t="s">
        <v>6</v>
      </c>
      <c r="C12" s="31">
        <v>0.35</v>
      </c>
      <c r="D12" s="32">
        <f t="shared" si="0"/>
        <v>1.1549999999999998</v>
      </c>
      <c r="E12" s="33">
        <v>183</v>
      </c>
      <c r="F12" s="34" t="str">
        <f t="array" ref="F12">IF(E12="","",IF(INDEX(A:A,MAX(IF(ISNUMBER($A$114:$A$133),ROW($A$114:$A$133),"")))&lt;&gt;E12,"Corrigez : révolution incorrecte","OK"))</f>
        <v>OK</v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29" t="s">
        <v>169</v>
      </c>
      <c r="B13" s="30"/>
      <c r="C13" s="31"/>
      <c r="D13" s="32">
        <f t="shared" si="0"/>
        <v>0</v>
      </c>
      <c r="E13" s="33"/>
      <c r="F13" s="34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29" t="s">
        <v>170</v>
      </c>
      <c r="B14" s="30"/>
      <c r="C14" s="31"/>
      <c r="D14" s="32">
        <f t="shared" si="0"/>
        <v>0</v>
      </c>
      <c r="E14" s="33"/>
      <c r="F14" s="34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29" t="s">
        <v>171</v>
      </c>
      <c r="B15" s="30"/>
      <c r="C15" s="31"/>
      <c r="D15" s="32">
        <f t="shared" si="0"/>
        <v>0</v>
      </c>
      <c r="E15" s="33"/>
      <c r="F15" s="34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29" t="s">
        <v>172</v>
      </c>
      <c r="B16" s="30"/>
      <c r="C16" s="31"/>
      <c r="D16" s="32">
        <f t="shared" si="0"/>
        <v>0</v>
      </c>
      <c r="E16" s="33"/>
      <c r="F16" s="34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29" t="s">
        <v>173</v>
      </c>
      <c r="B17" s="30"/>
      <c r="C17" s="31"/>
      <c r="D17" s="32">
        <f t="shared" si="0"/>
        <v>0</v>
      </c>
      <c r="E17" s="33"/>
      <c r="F17" s="34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29" t="s">
        <v>174</v>
      </c>
      <c r="B18" s="30"/>
      <c r="C18" s="31"/>
      <c r="D18" s="32">
        <f t="shared" si="0"/>
        <v>0</v>
      </c>
      <c r="E18" s="33"/>
      <c r="F18" s="34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7"/>
      <c r="B19" s="35" t="s">
        <v>175</v>
      </c>
      <c r="C19" s="36">
        <f>SUM(C9:C18)</f>
        <v>1</v>
      </c>
      <c r="D19" s="37">
        <f>SUM(D9:D18)</f>
        <v>3.3</v>
      </c>
      <c r="E19" s="4"/>
      <c r="F19" s="91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7"/>
      <c r="B20" s="38" t="s">
        <v>230</v>
      </c>
      <c r="C20" s="39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0" t="s">
        <v>218</v>
      </c>
      <c r="B24" s="41" t="s">
        <v>224</v>
      </c>
      <c r="C24" s="42">
        <v>0</v>
      </c>
      <c r="D24" s="43" t="s">
        <v>233</v>
      </c>
      <c r="E24" s="92"/>
      <c r="F24" s="92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0" t="s">
        <v>220</v>
      </c>
      <c r="B25" s="41" t="s">
        <v>219</v>
      </c>
      <c r="C25" s="44">
        <v>0.1</v>
      </c>
      <c r="D25" s="93"/>
      <c r="E25" s="4"/>
      <c r="F25" s="93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0" t="s">
        <v>222</v>
      </c>
      <c r="B26" s="41" t="s">
        <v>221</v>
      </c>
      <c r="C26" s="42">
        <v>0.1</v>
      </c>
      <c r="D26" s="43" t="s">
        <v>234</v>
      </c>
      <c r="E26" s="92"/>
      <c r="F26" s="92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0" t="s">
        <v>223</v>
      </c>
      <c r="B27" s="41" t="s">
        <v>225</v>
      </c>
      <c r="C27" s="42">
        <v>0</v>
      </c>
      <c r="D27" s="43" t="s">
        <v>235</v>
      </c>
      <c r="E27" s="92"/>
      <c r="F27" s="92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C31" s="23" t="s">
        <v>327</v>
      </c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5" t="s">
        <v>165</v>
      </c>
      <c r="B32" s="46" t="str">
        <f>IF(B9="","",B9)</f>
        <v>Chêne sessile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5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4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4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5" t="s">
        <v>180</v>
      </c>
      <c r="B35" s="35" t="s">
        <v>189</v>
      </c>
      <c r="C35" s="47" t="s">
        <v>188</v>
      </c>
      <c r="D35" s="47" t="s">
        <v>251</v>
      </c>
      <c r="E35" s="35" t="s">
        <v>183</v>
      </c>
      <c r="F35" s="35" t="s">
        <v>181</v>
      </c>
      <c r="G35" s="35" t="s">
        <v>184</v>
      </c>
      <c r="H35" s="35" t="s">
        <v>182</v>
      </c>
      <c r="I35" s="47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49">
        <v>42</v>
      </c>
      <c r="B36" s="59">
        <v>171.96</v>
      </c>
      <c r="C36" s="59">
        <v>1</v>
      </c>
      <c r="D36" s="59">
        <v>44.510000000000005</v>
      </c>
      <c r="E36" s="50">
        <v>0</v>
      </c>
      <c r="F36" s="50">
        <v>0.8</v>
      </c>
      <c r="G36" s="50">
        <v>0.2</v>
      </c>
      <c r="H36" s="50">
        <v>0</v>
      </c>
      <c r="I36" s="48">
        <f>IFERROR(B36/A36,"")</f>
        <v>4.0942857142857143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49">
        <v>50</v>
      </c>
      <c r="B37" s="59">
        <v>208.33</v>
      </c>
      <c r="C37" s="59">
        <v>2</v>
      </c>
      <c r="D37" s="59">
        <v>37.54000000000002</v>
      </c>
      <c r="E37" s="50">
        <v>0</v>
      </c>
      <c r="F37" s="50">
        <v>0.8</v>
      </c>
      <c r="G37" s="50">
        <v>0.2</v>
      </c>
      <c r="H37" s="50">
        <v>0</v>
      </c>
      <c r="I37" s="52">
        <f t="shared" ref="I37:I55" si="1">IF(A37&lt;&gt;0,(B37-(B36-D36))/(A37-A36),"")</f>
        <v>10.110000000000001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49">
        <v>58</v>
      </c>
      <c r="B38" s="59">
        <v>253.7</v>
      </c>
      <c r="C38" s="59">
        <v>3</v>
      </c>
      <c r="D38" s="59">
        <v>47.789999999999992</v>
      </c>
      <c r="E38" s="50">
        <v>0</v>
      </c>
      <c r="F38" s="50">
        <v>0.8</v>
      </c>
      <c r="G38" s="50">
        <v>0.2</v>
      </c>
      <c r="H38" s="50">
        <v>0</v>
      </c>
      <c r="I38" s="52">
        <f t="shared" si="1"/>
        <v>10.36375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49">
        <v>66</v>
      </c>
      <c r="B39" s="59">
        <v>286.77</v>
      </c>
      <c r="C39" s="59">
        <v>4</v>
      </c>
      <c r="D39" s="59">
        <v>53.679999999999978</v>
      </c>
      <c r="E39" s="50">
        <v>0.35</v>
      </c>
      <c r="F39" s="50">
        <v>0.2</v>
      </c>
      <c r="G39" s="50">
        <v>0.1</v>
      </c>
      <c r="H39" s="50">
        <v>0.35</v>
      </c>
      <c r="I39" s="48">
        <f t="shared" si="1"/>
        <v>10.107499999999998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49">
        <v>74</v>
      </c>
      <c r="B40" s="59">
        <v>310.95999999999998</v>
      </c>
      <c r="C40" s="59">
        <v>5</v>
      </c>
      <c r="D40" s="59">
        <v>51.339999999999975</v>
      </c>
      <c r="E40" s="50">
        <v>0.35</v>
      </c>
      <c r="F40" s="50">
        <v>0.2</v>
      </c>
      <c r="G40" s="50">
        <v>0.1</v>
      </c>
      <c r="H40" s="50">
        <v>0.35</v>
      </c>
      <c r="I40" s="48">
        <f t="shared" si="1"/>
        <v>9.733749999999997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49">
        <v>84</v>
      </c>
      <c r="B41" s="59">
        <v>355.09</v>
      </c>
      <c r="C41" s="59">
        <v>6</v>
      </c>
      <c r="D41" s="59">
        <v>66.69</v>
      </c>
      <c r="E41" s="50">
        <v>0.35</v>
      </c>
      <c r="F41" s="50">
        <v>0.2</v>
      </c>
      <c r="G41" s="50">
        <v>0.1</v>
      </c>
      <c r="H41" s="50">
        <v>0.35</v>
      </c>
      <c r="I41" s="52">
        <f t="shared" si="1"/>
        <v>9.546999999999997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49">
        <v>94</v>
      </c>
      <c r="B42" s="59">
        <v>380.13</v>
      </c>
      <c r="C42" s="59">
        <v>7</v>
      </c>
      <c r="D42" s="59">
        <v>67.350000000000023</v>
      </c>
      <c r="E42" s="50">
        <v>0.35</v>
      </c>
      <c r="F42" s="50">
        <v>0.2</v>
      </c>
      <c r="G42" s="50">
        <v>0.1</v>
      </c>
      <c r="H42" s="50">
        <v>0.35</v>
      </c>
      <c r="I42" s="52">
        <f t="shared" si="1"/>
        <v>9.1730000000000018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49">
        <v>104</v>
      </c>
      <c r="B43" s="59">
        <v>402.2</v>
      </c>
      <c r="C43" s="59">
        <v>8</v>
      </c>
      <c r="D43" s="59">
        <v>66.089999999999975</v>
      </c>
      <c r="E43" s="50">
        <v>0.35</v>
      </c>
      <c r="F43" s="50">
        <v>0.2</v>
      </c>
      <c r="G43" s="50">
        <v>0.1</v>
      </c>
      <c r="H43" s="50">
        <v>0.35</v>
      </c>
      <c r="I43" s="48">
        <f t="shared" si="1"/>
        <v>8.9420000000000019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49">
        <v>114</v>
      </c>
      <c r="B44" s="59">
        <v>424.56</v>
      </c>
      <c r="C44" s="59">
        <v>9</v>
      </c>
      <c r="D44" s="59">
        <v>61.860000000000014</v>
      </c>
      <c r="E44" s="50">
        <v>0.35</v>
      </c>
      <c r="F44" s="50">
        <v>0.2</v>
      </c>
      <c r="G44" s="50">
        <v>0.1</v>
      </c>
      <c r="H44" s="50">
        <v>0.35</v>
      </c>
      <c r="I44" s="48">
        <f t="shared" si="1"/>
        <v>8.8449999999999989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49">
        <v>124</v>
      </c>
      <c r="B45" s="59">
        <v>451.86</v>
      </c>
      <c r="C45" s="59">
        <v>10</v>
      </c>
      <c r="D45" s="59">
        <v>57.81</v>
      </c>
      <c r="E45" s="50">
        <v>0.35</v>
      </c>
      <c r="F45" s="50">
        <v>0.2</v>
      </c>
      <c r="G45" s="50">
        <v>0.1</v>
      </c>
      <c r="H45" s="50">
        <v>0.35</v>
      </c>
      <c r="I45" s="48">
        <f t="shared" si="1"/>
        <v>8.9160000000000021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49">
        <v>134</v>
      </c>
      <c r="B46" s="59">
        <v>484.28</v>
      </c>
      <c r="C46" s="59">
        <v>11</v>
      </c>
      <c r="D46" s="59">
        <v>60.779999999999973</v>
      </c>
      <c r="E46" s="50">
        <v>0.5</v>
      </c>
      <c r="F46" s="50">
        <v>0.2</v>
      </c>
      <c r="G46" s="50">
        <v>0</v>
      </c>
      <c r="H46" s="50">
        <v>0.3</v>
      </c>
      <c r="I46" s="48">
        <f t="shared" si="1"/>
        <v>9.0229999999999961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49">
        <v>144</v>
      </c>
      <c r="B47" s="59">
        <v>514.94000000000005</v>
      </c>
      <c r="C47" s="59">
        <v>12</v>
      </c>
      <c r="D47" s="59">
        <v>61.800000000000068</v>
      </c>
      <c r="E47" s="50">
        <v>0.5</v>
      </c>
      <c r="F47" s="50">
        <v>0.2</v>
      </c>
      <c r="G47" s="50">
        <v>0</v>
      </c>
      <c r="H47" s="50">
        <v>0.3</v>
      </c>
      <c r="I47" s="48">
        <f t="shared" si="1"/>
        <v>9.1440000000000055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49">
        <v>154</v>
      </c>
      <c r="B48" s="59">
        <v>546.49</v>
      </c>
      <c r="C48" s="59">
        <v>13</v>
      </c>
      <c r="D48" s="59">
        <v>61.050000000000011</v>
      </c>
      <c r="E48" s="50">
        <v>0.5</v>
      </c>
      <c r="F48" s="50">
        <v>0.2</v>
      </c>
      <c r="G48" s="50">
        <v>0</v>
      </c>
      <c r="H48" s="50">
        <v>0.3</v>
      </c>
      <c r="I48" s="48">
        <f t="shared" si="1"/>
        <v>9.3350000000000026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49">
        <v>164</v>
      </c>
      <c r="B49" s="59">
        <v>580.32000000000005</v>
      </c>
      <c r="C49" s="59">
        <v>14</v>
      </c>
      <c r="D49" s="59">
        <v>66.020000000000095</v>
      </c>
      <c r="E49" s="50">
        <v>0.5</v>
      </c>
      <c r="F49" s="50">
        <v>0.2</v>
      </c>
      <c r="G49" s="50">
        <v>0</v>
      </c>
      <c r="H49" s="50">
        <v>0.3</v>
      </c>
      <c r="I49" s="48">
        <f t="shared" si="1"/>
        <v>9.4880000000000049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49">
        <v>174</v>
      </c>
      <c r="B50" s="49">
        <v>610.52</v>
      </c>
      <c r="C50" s="49">
        <v>15</v>
      </c>
      <c r="D50" s="49">
        <v>240</v>
      </c>
      <c r="E50" s="50">
        <v>0.45</v>
      </c>
      <c r="F50" s="50">
        <v>0.05</v>
      </c>
      <c r="G50" s="50">
        <v>0.05</v>
      </c>
      <c r="H50" s="50">
        <v>0.45</v>
      </c>
      <c r="I50" s="48">
        <f t="shared" si="1"/>
        <v>9.6220000000000034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49">
        <v>177</v>
      </c>
      <c r="B51" s="49">
        <v>388.94</v>
      </c>
      <c r="C51" s="49">
        <v>16</v>
      </c>
      <c r="D51" s="49">
        <v>128.66000000000003</v>
      </c>
      <c r="E51" s="50">
        <v>0.45</v>
      </c>
      <c r="F51" s="50">
        <v>0.05</v>
      </c>
      <c r="G51" s="50">
        <v>0.05</v>
      </c>
      <c r="H51" s="50">
        <v>0.45</v>
      </c>
      <c r="I51" s="48">
        <f t="shared" si="1"/>
        <v>6.140000000000005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49">
        <v>180</v>
      </c>
      <c r="B52" s="49">
        <v>271.56</v>
      </c>
      <c r="C52" s="49">
        <v>17</v>
      </c>
      <c r="D52" s="49">
        <v>86.97</v>
      </c>
      <c r="E52" s="50">
        <v>0.45</v>
      </c>
      <c r="F52" s="50">
        <v>0.05</v>
      </c>
      <c r="G52" s="50">
        <v>0.05</v>
      </c>
      <c r="H52" s="50">
        <v>0.45</v>
      </c>
      <c r="I52" s="48">
        <f t="shared" si="1"/>
        <v>3.76000000000001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49">
        <v>183</v>
      </c>
      <c r="B53" s="49">
        <v>191.47</v>
      </c>
      <c r="C53" s="49">
        <v>18</v>
      </c>
      <c r="D53" s="49">
        <v>191.47</v>
      </c>
      <c r="E53" s="50">
        <v>0.45</v>
      </c>
      <c r="F53" s="50">
        <v>0.05</v>
      </c>
      <c r="G53" s="50">
        <v>0.05</v>
      </c>
      <c r="H53" s="50">
        <v>0.45</v>
      </c>
      <c r="I53" s="48">
        <f t="shared" si="1"/>
        <v>2.2933333333333317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49"/>
      <c r="B54" s="49"/>
      <c r="C54" s="49"/>
      <c r="D54" s="49"/>
      <c r="E54" s="50"/>
      <c r="F54" s="50"/>
      <c r="G54" s="50"/>
      <c r="H54" s="50"/>
      <c r="I54" s="48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49"/>
      <c r="B55" s="49"/>
      <c r="C55" s="49"/>
      <c r="D55" s="49"/>
      <c r="E55" s="50"/>
      <c r="F55" s="50"/>
      <c r="G55" s="50"/>
      <c r="H55" s="50"/>
      <c r="I55" s="48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C57" s="23" t="s">
        <v>326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5" t="s">
        <v>166</v>
      </c>
      <c r="B58" s="51" t="str">
        <f>IF(B10="","",B10)</f>
        <v>Pin laricio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5"/>
      <c r="B59" s="95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4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4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5" t="s">
        <v>180</v>
      </c>
      <c r="B61" s="35" t="s">
        <v>189</v>
      </c>
      <c r="C61" s="47" t="s">
        <v>188</v>
      </c>
      <c r="D61" s="47" t="s">
        <v>251</v>
      </c>
      <c r="E61" s="35" t="s">
        <v>183</v>
      </c>
      <c r="F61" s="35" t="s">
        <v>181</v>
      </c>
      <c r="G61" s="35" t="s">
        <v>184</v>
      </c>
      <c r="H61" s="35" t="s">
        <v>182</v>
      </c>
      <c r="I61" s="47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49">
        <v>19</v>
      </c>
      <c r="B62" s="59">
        <v>128.19</v>
      </c>
      <c r="C62" s="59">
        <v>1</v>
      </c>
      <c r="D62" s="59">
        <v>46.44</v>
      </c>
      <c r="E62" s="50">
        <v>0.25</v>
      </c>
      <c r="F62" s="50">
        <v>0.37</v>
      </c>
      <c r="G62" s="50">
        <v>0.38</v>
      </c>
      <c r="H62" s="50">
        <v>0</v>
      </c>
      <c r="I62" s="52">
        <f>IFERROR(B62/A62,"")</f>
        <v>6.7468421052631582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49">
        <v>24</v>
      </c>
      <c r="B63" s="59">
        <v>180.2</v>
      </c>
      <c r="C63" s="59">
        <v>2</v>
      </c>
      <c r="D63" s="59">
        <v>44.889999999999986</v>
      </c>
      <c r="E63" s="50">
        <v>0.25</v>
      </c>
      <c r="F63" s="50">
        <v>0.37</v>
      </c>
      <c r="G63" s="50">
        <v>0.38</v>
      </c>
      <c r="H63" s="50">
        <v>0</v>
      </c>
      <c r="I63" s="48">
        <f>IF(A63&lt;&gt;0,(B63-(B62-D62))/(A63-A62),"")</f>
        <v>19.689999999999998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49">
        <v>30</v>
      </c>
      <c r="B64" s="59">
        <v>260.3</v>
      </c>
      <c r="C64" s="59">
        <v>3</v>
      </c>
      <c r="D64" s="59">
        <v>67.04000000000002</v>
      </c>
      <c r="E64" s="50">
        <v>0.25</v>
      </c>
      <c r="F64" s="50">
        <v>0.37</v>
      </c>
      <c r="G64" s="50">
        <v>0.38</v>
      </c>
      <c r="H64" s="50">
        <v>0</v>
      </c>
      <c r="I64" s="48">
        <f>IF(A64&lt;&gt;0,(B64-(B63-D63))/(A64-A63),"")</f>
        <v>20.831666666666667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49">
        <v>37</v>
      </c>
      <c r="B65" s="59">
        <v>337.17</v>
      </c>
      <c r="C65" s="59">
        <v>4</v>
      </c>
      <c r="D65" s="59">
        <v>54.640000000000043</v>
      </c>
      <c r="E65" s="50">
        <v>0.6</v>
      </c>
      <c r="F65" s="50">
        <v>0.2</v>
      </c>
      <c r="G65" s="50">
        <v>0.2</v>
      </c>
      <c r="H65" s="50">
        <v>0</v>
      </c>
      <c r="I65" s="48">
        <f>IF(A65&lt;&gt;0,(B65-(B64-D64))/(A65-A64),"")</f>
        <v>20.558571428571433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49">
        <v>46</v>
      </c>
      <c r="B66" s="59">
        <v>466.26</v>
      </c>
      <c r="C66" s="59">
        <v>5</v>
      </c>
      <c r="D66" s="59">
        <v>93.13</v>
      </c>
      <c r="E66" s="50">
        <v>0.6</v>
      </c>
      <c r="F66" s="50">
        <v>0.2</v>
      </c>
      <c r="G66" s="50">
        <v>0.2</v>
      </c>
      <c r="H66" s="50">
        <v>0</v>
      </c>
      <c r="I66" s="48">
        <f t="shared" ref="I66:I81" si="2">IF(A66&lt;&gt;0,(B66-(B65-D65))/(A66-A65),"")</f>
        <v>20.414444444444445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49">
        <v>56</v>
      </c>
      <c r="B67" s="59">
        <v>551.70000000000005</v>
      </c>
      <c r="C67" s="59">
        <v>6</v>
      </c>
      <c r="D67" s="59">
        <v>77.36000000000007</v>
      </c>
      <c r="E67" s="50">
        <v>0.6</v>
      </c>
      <c r="F67" s="50">
        <v>0.2</v>
      </c>
      <c r="G67" s="50">
        <v>0.2</v>
      </c>
      <c r="H67" s="50">
        <v>0</v>
      </c>
      <c r="I67" s="48">
        <f t="shared" si="2"/>
        <v>17.857000000000006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49">
        <v>66</v>
      </c>
      <c r="B68" s="59">
        <v>630.38</v>
      </c>
      <c r="C68" s="59">
        <v>7</v>
      </c>
      <c r="D68" s="59">
        <v>87.850000000000023</v>
      </c>
      <c r="E68" s="50">
        <v>0.6</v>
      </c>
      <c r="F68" s="50">
        <v>0.2</v>
      </c>
      <c r="G68" s="50">
        <v>0.2</v>
      </c>
      <c r="H68" s="50">
        <v>0</v>
      </c>
      <c r="I68" s="48">
        <f t="shared" si="2"/>
        <v>15.604000000000003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49">
        <v>76</v>
      </c>
      <c r="B69" s="49">
        <v>671.61</v>
      </c>
      <c r="C69" s="49">
        <v>8</v>
      </c>
      <c r="D69" s="49">
        <v>671.61</v>
      </c>
      <c r="E69" s="50">
        <v>0.6</v>
      </c>
      <c r="F69" s="50">
        <v>0.2</v>
      </c>
      <c r="G69" s="50">
        <v>0.2</v>
      </c>
      <c r="H69" s="50">
        <v>0</v>
      </c>
      <c r="I69" s="48">
        <f t="shared" si="2"/>
        <v>12.908000000000005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49"/>
      <c r="B70" s="49"/>
      <c r="C70" s="49"/>
      <c r="D70" s="49"/>
      <c r="E70" s="50"/>
      <c r="F70" s="50"/>
      <c r="G70" s="50"/>
      <c r="H70" s="50"/>
      <c r="I70" s="48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49"/>
      <c r="B71" s="49"/>
      <c r="C71" s="49"/>
      <c r="D71" s="49"/>
      <c r="E71" s="50"/>
      <c r="F71" s="50"/>
      <c r="G71" s="50"/>
      <c r="H71" s="50"/>
      <c r="I71" s="48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49"/>
      <c r="B72" s="49"/>
      <c r="C72" s="49"/>
      <c r="D72" s="49"/>
      <c r="E72" s="50"/>
      <c r="F72" s="50"/>
      <c r="G72" s="50"/>
      <c r="H72" s="50"/>
      <c r="I72" s="48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49"/>
      <c r="B73" s="49"/>
      <c r="C73" s="49"/>
      <c r="D73" s="49"/>
      <c r="E73" s="50"/>
      <c r="F73" s="50"/>
      <c r="G73" s="50"/>
      <c r="H73" s="50"/>
      <c r="I73" s="48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49"/>
      <c r="B74" s="49"/>
      <c r="C74" s="49"/>
      <c r="D74" s="49"/>
      <c r="E74" s="50"/>
      <c r="F74" s="50"/>
      <c r="G74" s="50"/>
      <c r="H74" s="50"/>
      <c r="I74" s="48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49"/>
      <c r="B75" s="49"/>
      <c r="C75" s="49"/>
      <c r="D75" s="49"/>
      <c r="E75" s="50"/>
      <c r="F75" s="50"/>
      <c r="G75" s="50"/>
      <c r="H75" s="50"/>
      <c r="I75" s="48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49"/>
      <c r="B76" s="49"/>
      <c r="C76" s="49"/>
      <c r="D76" s="49"/>
      <c r="E76" s="50"/>
      <c r="F76" s="50"/>
      <c r="G76" s="50"/>
      <c r="H76" s="50"/>
      <c r="I76" s="48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49"/>
      <c r="B77" s="49"/>
      <c r="C77" s="49"/>
      <c r="D77" s="49"/>
      <c r="E77" s="50"/>
      <c r="F77" s="50"/>
      <c r="G77" s="50"/>
      <c r="H77" s="50"/>
      <c r="I77" s="48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49"/>
      <c r="B78" s="49"/>
      <c r="C78" s="49"/>
      <c r="D78" s="49"/>
      <c r="E78" s="50"/>
      <c r="F78" s="50"/>
      <c r="G78" s="50"/>
      <c r="H78" s="50"/>
      <c r="I78" s="48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49"/>
      <c r="B79" s="49"/>
      <c r="C79" s="49"/>
      <c r="D79" s="49"/>
      <c r="E79" s="50"/>
      <c r="F79" s="50"/>
      <c r="G79" s="50"/>
      <c r="H79" s="50"/>
      <c r="I79" s="48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49"/>
      <c r="B80" s="49"/>
      <c r="C80" s="49"/>
      <c r="D80" s="49"/>
      <c r="E80" s="50"/>
      <c r="F80" s="50"/>
      <c r="G80" s="50"/>
      <c r="H80" s="50"/>
      <c r="I80" s="48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49"/>
      <c r="B81" s="49"/>
      <c r="C81" s="49"/>
      <c r="D81" s="49"/>
      <c r="E81" s="50"/>
      <c r="F81" s="50"/>
      <c r="G81" s="50"/>
      <c r="H81" s="50"/>
      <c r="I81" s="48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5" t="s">
        <v>167</v>
      </c>
      <c r="B84" s="51" t="str">
        <f>IF(B11="","",B11)</f>
        <v>Chêne pubescent</v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5"/>
      <c r="B85" s="95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4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5" t="s">
        <v>180</v>
      </c>
      <c r="B87" s="35" t="s">
        <v>189</v>
      </c>
      <c r="C87" s="47" t="s">
        <v>188</v>
      </c>
      <c r="D87" s="47" t="s">
        <v>251</v>
      </c>
      <c r="E87" s="35" t="s">
        <v>183</v>
      </c>
      <c r="F87" s="35" t="s">
        <v>181</v>
      </c>
      <c r="G87" s="35" t="s">
        <v>184</v>
      </c>
      <c r="H87" s="35" t="s">
        <v>182</v>
      </c>
      <c r="I87" s="47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49">
        <v>42</v>
      </c>
      <c r="B88" s="59">
        <v>171.96</v>
      </c>
      <c r="C88" s="59">
        <v>1</v>
      </c>
      <c r="D88" s="59">
        <v>44.510000000000005</v>
      </c>
      <c r="E88" s="50">
        <v>0</v>
      </c>
      <c r="F88" s="50">
        <v>0.8</v>
      </c>
      <c r="G88" s="50">
        <v>0.2</v>
      </c>
      <c r="H88" s="86">
        <v>0</v>
      </c>
      <c r="I88" s="52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49">
        <v>50</v>
      </c>
      <c r="B89" s="59">
        <v>208.33</v>
      </c>
      <c r="C89" s="59">
        <v>2</v>
      </c>
      <c r="D89" s="59">
        <v>37.54000000000002</v>
      </c>
      <c r="E89" s="50">
        <v>0</v>
      </c>
      <c r="F89" s="50">
        <v>0.8</v>
      </c>
      <c r="G89" s="50">
        <v>0.2</v>
      </c>
      <c r="H89" s="86">
        <v>0</v>
      </c>
      <c r="I89" s="52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49">
        <v>58</v>
      </c>
      <c r="B90" s="59">
        <v>253.7</v>
      </c>
      <c r="C90" s="59">
        <v>3</v>
      </c>
      <c r="D90" s="59">
        <v>47.789999999999992</v>
      </c>
      <c r="E90" s="86">
        <v>0</v>
      </c>
      <c r="F90" s="86">
        <v>0.8</v>
      </c>
      <c r="G90" s="86">
        <v>0.2</v>
      </c>
      <c r="H90" s="86">
        <v>0</v>
      </c>
      <c r="I90" s="52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49">
        <v>66</v>
      </c>
      <c r="B91" s="59">
        <v>286.77</v>
      </c>
      <c r="C91" s="59">
        <v>4</v>
      </c>
      <c r="D91" s="59">
        <v>53.679999999999978</v>
      </c>
      <c r="E91" s="86">
        <v>0.35</v>
      </c>
      <c r="F91" s="86">
        <v>0.2</v>
      </c>
      <c r="G91" s="86">
        <v>0.1</v>
      </c>
      <c r="H91" s="86">
        <v>0.35</v>
      </c>
      <c r="I91" s="52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49">
        <v>74</v>
      </c>
      <c r="B92" s="59">
        <v>310.95999999999998</v>
      </c>
      <c r="C92" s="59">
        <v>5</v>
      </c>
      <c r="D92" s="59">
        <v>51.339999999999975</v>
      </c>
      <c r="E92" s="86">
        <v>0.35</v>
      </c>
      <c r="F92" s="86">
        <v>0.2</v>
      </c>
      <c r="G92" s="86">
        <v>0.1</v>
      </c>
      <c r="H92" s="86">
        <v>0.35</v>
      </c>
      <c r="I92" s="52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49">
        <v>84</v>
      </c>
      <c r="B93" s="59">
        <v>355.09</v>
      </c>
      <c r="C93" s="59">
        <v>6</v>
      </c>
      <c r="D93" s="59">
        <v>66.69</v>
      </c>
      <c r="E93" s="86">
        <v>0.35</v>
      </c>
      <c r="F93" s="86">
        <v>0.2</v>
      </c>
      <c r="G93" s="86">
        <v>0.1</v>
      </c>
      <c r="H93" s="86">
        <v>0.35</v>
      </c>
      <c r="I93" s="52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49">
        <v>94</v>
      </c>
      <c r="B94" s="59">
        <v>380.13</v>
      </c>
      <c r="C94" s="59">
        <v>7</v>
      </c>
      <c r="D94" s="59">
        <v>67.350000000000023</v>
      </c>
      <c r="E94" s="86">
        <v>0.35</v>
      </c>
      <c r="F94" s="86">
        <v>0.2</v>
      </c>
      <c r="G94" s="86">
        <v>0.1</v>
      </c>
      <c r="H94" s="86">
        <v>0.35</v>
      </c>
      <c r="I94" s="52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59">
        <v>104</v>
      </c>
      <c r="B95" s="59">
        <v>402.2</v>
      </c>
      <c r="C95" s="59">
        <v>8</v>
      </c>
      <c r="D95" s="59">
        <v>66.089999999999975</v>
      </c>
      <c r="E95" s="86">
        <v>0.35</v>
      </c>
      <c r="F95" s="86">
        <v>0.2</v>
      </c>
      <c r="G95" s="86">
        <v>0.1</v>
      </c>
      <c r="H95" s="86">
        <v>0.35</v>
      </c>
      <c r="I95" s="52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59">
        <v>114</v>
      </c>
      <c r="B96" s="59">
        <v>424.56</v>
      </c>
      <c r="C96" s="59">
        <v>9</v>
      </c>
      <c r="D96" s="59">
        <v>61.860000000000014</v>
      </c>
      <c r="E96" s="86">
        <v>0.35</v>
      </c>
      <c r="F96" s="86">
        <v>0.2</v>
      </c>
      <c r="G96" s="86">
        <v>0.1</v>
      </c>
      <c r="H96" s="86">
        <v>0.35</v>
      </c>
      <c r="I96" s="52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59">
        <v>124</v>
      </c>
      <c r="B97" s="59">
        <v>451.86</v>
      </c>
      <c r="C97" s="59">
        <v>10</v>
      </c>
      <c r="D97" s="59">
        <v>57.81</v>
      </c>
      <c r="E97" s="86">
        <v>0.35</v>
      </c>
      <c r="F97" s="86">
        <v>0.2</v>
      </c>
      <c r="G97" s="86">
        <v>0.1</v>
      </c>
      <c r="H97" s="86">
        <v>0.35</v>
      </c>
      <c r="I97" s="52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59">
        <v>134</v>
      </c>
      <c r="B98" s="59">
        <v>484.28</v>
      </c>
      <c r="C98" s="59">
        <v>11</v>
      </c>
      <c r="D98" s="59">
        <v>60.779999999999973</v>
      </c>
      <c r="E98" s="86">
        <v>0.5</v>
      </c>
      <c r="F98" s="86">
        <v>0.2</v>
      </c>
      <c r="G98" s="86">
        <v>0</v>
      </c>
      <c r="H98" s="86">
        <v>0.3</v>
      </c>
      <c r="I98" s="52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59">
        <v>144</v>
      </c>
      <c r="B99" s="59">
        <v>514.94000000000005</v>
      </c>
      <c r="C99" s="59">
        <v>12</v>
      </c>
      <c r="D99" s="59">
        <v>61.800000000000068</v>
      </c>
      <c r="E99" s="86">
        <v>0.5</v>
      </c>
      <c r="F99" s="86">
        <v>0.2</v>
      </c>
      <c r="G99" s="86">
        <v>0</v>
      </c>
      <c r="H99" s="86">
        <v>0.3</v>
      </c>
      <c r="I99" s="52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59">
        <v>154</v>
      </c>
      <c r="B100" s="59">
        <v>546.49</v>
      </c>
      <c r="C100" s="59">
        <v>13</v>
      </c>
      <c r="D100" s="59">
        <v>61.050000000000011</v>
      </c>
      <c r="E100" s="64">
        <v>0.5</v>
      </c>
      <c r="F100" s="64">
        <v>0.2</v>
      </c>
      <c r="G100" s="64">
        <v>0</v>
      </c>
      <c r="H100" s="64">
        <v>0.3</v>
      </c>
      <c r="I100" s="52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59">
        <v>164</v>
      </c>
      <c r="B101" s="59">
        <v>580.32000000000005</v>
      </c>
      <c r="C101" s="59">
        <v>14</v>
      </c>
      <c r="D101" s="59">
        <v>66.020000000000095</v>
      </c>
      <c r="E101" s="64">
        <v>0.5</v>
      </c>
      <c r="F101" s="64">
        <v>0.2</v>
      </c>
      <c r="G101" s="64">
        <v>0</v>
      </c>
      <c r="H101" s="64">
        <v>0.3</v>
      </c>
      <c r="I101" s="52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59">
        <v>174</v>
      </c>
      <c r="B102" s="49">
        <v>610.52</v>
      </c>
      <c r="C102" s="59">
        <v>15</v>
      </c>
      <c r="D102" s="49">
        <v>240</v>
      </c>
      <c r="E102" s="53">
        <v>0.45</v>
      </c>
      <c r="F102" s="53">
        <v>0.05</v>
      </c>
      <c r="G102" s="53">
        <v>0.05</v>
      </c>
      <c r="H102" s="53">
        <v>0.45</v>
      </c>
      <c r="I102" s="52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59">
        <v>177</v>
      </c>
      <c r="B103" s="49">
        <v>388.94</v>
      </c>
      <c r="C103" s="59">
        <v>16</v>
      </c>
      <c r="D103" s="49">
        <v>128.66000000000003</v>
      </c>
      <c r="E103" s="53">
        <v>0.45</v>
      </c>
      <c r="F103" s="53">
        <v>0.05</v>
      </c>
      <c r="G103" s="53">
        <v>0.05</v>
      </c>
      <c r="H103" s="53">
        <v>0.45</v>
      </c>
      <c r="I103" s="52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59">
        <v>180</v>
      </c>
      <c r="B104" s="49">
        <v>271.56</v>
      </c>
      <c r="C104" s="59">
        <v>17</v>
      </c>
      <c r="D104" s="49">
        <v>86.97</v>
      </c>
      <c r="E104" s="53">
        <v>0.45</v>
      </c>
      <c r="F104" s="53">
        <v>0.05</v>
      </c>
      <c r="G104" s="53">
        <v>0.05</v>
      </c>
      <c r="H104" s="53">
        <v>0.45</v>
      </c>
      <c r="I104" s="52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49">
        <v>183</v>
      </c>
      <c r="B105" s="49">
        <v>191.47</v>
      </c>
      <c r="C105" s="49">
        <v>18</v>
      </c>
      <c r="D105" s="49">
        <v>191.47</v>
      </c>
      <c r="E105" s="53">
        <v>0.45</v>
      </c>
      <c r="F105" s="53">
        <v>0.05</v>
      </c>
      <c r="G105" s="53">
        <v>0.05</v>
      </c>
      <c r="H105" s="53">
        <v>0.45</v>
      </c>
      <c r="I105" s="52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49"/>
      <c r="B106" s="49"/>
      <c r="C106" s="49"/>
      <c r="D106" s="49"/>
      <c r="E106" s="53"/>
      <c r="F106" s="53"/>
      <c r="G106" s="53"/>
      <c r="H106" s="53"/>
      <c r="I106" s="52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49"/>
      <c r="B107" s="49"/>
      <c r="C107" s="49"/>
      <c r="D107" s="49"/>
      <c r="E107" s="53"/>
      <c r="F107" s="53"/>
      <c r="G107" s="53"/>
      <c r="H107" s="53"/>
      <c r="I107" s="52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C109" s="23" t="s">
        <v>324</v>
      </c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5" t="s">
        <v>168</v>
      </c>
      <c r="B110" s="51" t="str">
        <f>IF(B12="","",B12)</f>
        <v>Charme</v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5"/>
      <c r="B111" s="95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4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5" t="s">
        <v>180</v>
      </c>
      <c r="B113" s="35" t="s">
        <v>189</v>
      </c>
      <c r="C113" s="47" t="s">
        <v>188</v>
      </c>
      <c r="D113" s="47" t="s">
        <v>251</v>
      </c>
      <c r="E113" s="35" t="s">
        <v>183</v>
      </c>
      <c r="F113" s="35" t="s">
        <v>181</v>
      </c>
      <c r="G113" s="35" t="s">
        <v>184</v>
      </c>
      <c r="H113" s="35" t="s">
        <v>182</v>
      </c>
      <c r="I113" s="47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49">
        <v>42</v>
      </c>
      <c r="B114" s="59">
        <v>171.96</v>
      </c>
      <c r="C114" s="49">
        <v>1</v>
      </c>
      <c r="D114" s="59">
        <v>44.510000000000005</v>
      </c>
      <c r="E114" s="50">
        <v>0</v>
      </c>
      <c r="F114" s="50">
        <v>0.8</v>
      </c>
      <c r="G114" s="50">
        <v>0.2</v>
      </c>
      <c r="H114" s="50">
        <v>0</v>
      </c>
      <c r="I114" s="52">
        <f>IFERROR(B114/A114,"")</f>
        <v>4.0942857142857143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49">
        <v>50</v>
      </c>
      <c r="B115" s="59">
        <v>208.33</v>
      </c>
      <c r="C115" s="49">
        <v>2</v>
      </c>
      <c r="D115" s="59">
        <v>37.54000000000002</v>
      </c>
      <c r="E115" s="50">
        <v>0</v>
      </c>
      <c r="F115" s="50">
        <v>0.8</v>
      </c>
      <c r="G115" s="50">
        <v>0.2</v>
      </c>
      <c r="H115" s="50">
        <v>0</v>
      </c>
      <c r="I115" s="52">
        <f t="shared" ref="I115:I133" si="4">IF(A115&lt;&gt;0,(B115-(B114-D114))/(A115-A114),"")</f>
        <v>10.110000000000001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49">
        <v>58</v>
      </c>
      <c r="B116" s="59">
        <v>253.7</v>
      </c>
      <c r="C116" s="49">
        <v>3</v>
      </c>
      <c r="D116" s="59">
        <v>47.789999999999992</v>
      </c>
      <c r="E116" s="50">
        <v>0</v>
      </c>
      <c r="F116" s="50">
        <v>0.8</v>
      </c>
      <c r="G116" s="50">
        <v>0.2</v>
      </c>
      <c r="H116" s="50">
        <v>0</v>
      </c>
      <c r="I116" s="52">
        <f t="shared" si="4"/>
        <v>10.36375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49">
        <v>66</v>
      </c>
      <c r="B117" s="59">
        <v>286.77</v>
      </c>
      <c r="C117" s="49">
        <v>4</v>
      </c>
      <c r="D117" s="59">
        <v>53.679999999999978</v>
      </c>
      <c r="E117" s="50">
        <v>0.35</v>
      </c>
      <c r="F117" s="50">
        <v>0.2</v>
      </c>
      <c r="G117" s="50">
        <v>0.1</v>
      </c>
      <c r="H117" s="50">
        <v>0.35</v>
      </c>
      <c r="I117" s="52">
        <f t="shared" si="4"/>
        <v>10.107499999999998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49">
        <v>74</v>
      </c>
      <c r="B118" s="59">
        <v>310.95999999999998</v>
      </c>
      <c r="C118" s="49">
        <v>5</v>
      </c>
      <c r="D118" s="59">
        <v>51.339999999999975</v>
      </c>
      <c r="E118" s="50">
        <v>0.35</v>
      </c>
      <c r="F118" s="50">
        <v>0.2</v>
      </c>
      <c r="G118" s="50">
        <v>0.1</v>
      </c>
      <c r="H118" s="50">
        <v>0.35</v>
      </c>
      <c r="I118" s="52">
        <f t="shared" si="4"/>
        <v>9.733749999999997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49">
        <v>84</v>
      </c>
      <c r="B119" s="59">
        <v>355.09</v>
      </c>
      <c r="C119" s="49">
        <v>6</v>
      </c>
      <c r="D119" s="59">
        <v>66.69</v>
      </c>
      <c r="E119" s="50">
        <v>0.35</v>
      </c>
      <c r="F119" s="50">
        <v>0.2</v>
      </c>
      <c r="G119" s="50">
        <v>0.1</v>
      </c>
      <c r="H119" s="50">
        <v>0.35</v>
      </c>
      <c r="I119" s="52">
        <f t="shared" si="4"/>
        <v>9.546999999999997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59">
        <v>94</v>
      </c>
      <c r="B120" s="59">
        <v>380.13</v>
      </c>
      <c r="C120" s="59">
        <v>7</v>
      </c>
      <c r="D120" s="59">
        <v>67.350000000000023</v>
      </c>
      <c r="E120" s="86">
        <v>0.35</v>
      </c>
      <c r="F120" s="86">
        <v>0.2</v>
      </c>
      <c r="G120" s="86">
        <v>0.1</v>
      </c>
      <c r="H120" s="86">
        <v>0.35</v>
      </c>
      <c r="I120" s="52">
        <f t="shared" si="4"/>
        <v>9.1730000000000018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59">
        <v>104</v>
      </c>
      <c r="B121" s="59">
        <v>402.2</v>
      </c>
      <c r="C121" s="59">
        <v>8</v>
      </c>
      <c r="D121" s="59">
        <v>66.089999999999975</v>
      </c>
      <c r="E121" s="86">
        <v>0.35</v>
      </c>
      <c r="F121" s="86">
        <v>0.2</v>
      </c>
      <c r="G121" s="86">
        <v>0.1</v>
      </c>
      <c r="H121" s="86">
        <v>0.35</v>
      </c>
      <c r="I121" s="52">
        <f t="shared" si="4"/>
        <v>8.9420000000000019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59">
        <v>114</v>
      </c>
      <c r="B122" s="59">
        <v>424.56</v>
      </c>
      <c r="C122" s="59">
        <v>9</v>
      </c>
      <c r="D122" s="59">
        <v>61.860000000000014</v>
      </c>
      <c r="E122" s="86">
        <v>0.35</v>
      </c>
      <c r="F122" s="86">
        <v>0.2</v>
      </c>
      <c r="G122" s="86">
        <v>0.1</v>
      </c>
      <c r="H122" s="86">
        <v>0.35</v>
      </c>
      <c r="I122" s="52">
        <f t="shared" si="4"/>
        <v>8.8449999999999989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59">
        <v>124</v>
      </c>
      <c r="B123" s="59">
        <v>451.86</v>
      </c>
      <c r="C123" s="59">
        <v>10</v>
      </c>
      <c r="D123" s="59">
        <v>57.81</v>
      </c>
      <c r="E123" s="86">
        <v>0.35</v>
      </c>
      <c r="F123" s="86">
        <v>0.2</v>
      </c>
      <c r="G123" s="86">
        <v>0.1</v>
      </c>
      <c r="H123" s="86">
        <v>0.35</v>
      </c>
      <c r="I123" s="52">
        <f t="shared" si="4"/>
        <v>8.9160000000000021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59">
        <v>134</v>
      </c>
      <c r="B124" s="59">
        <v>484.28</v>
      </c>
      <c r="C124" s="59">
        <v>11</v>
      </c>
      <c r="D124" s="59">
        <v>60.779999999999973</v>
      </c>
      <c r="E124" s="86">
        <v>0.5</v>
      </c>
      <c r="F124" s="86">
        <v>0.2</v>
      </c>
      <c r="G124" s="86">
        <v>0</v>
      </c>
      <c r="H124" s="86">
        <v>0.3</v>
      </c>
      <c r="I124" s="52">
        <f t="shared" si="4"/>
        <v>9.0229999999999961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59">
        <v>144</v>
      </c>
      <c r="B125" s="59">
        <v>514.94000000000005</v>
      </c>
      <c r="C125" s="59">
        <v>12</v>
      </c>
      <c r="D125" s="59">
        <v>61.800000000000068</v>
      </c>
      <c r="E125" s="86">
        <v>0.5</v>
      </c>
      <c r="F125" s="86">
        <v>0.2</v>
      </c>
      <c r="G125" s="86">
        <v>0</v>
      </c>
      <c r="H125" s="86">
        <v>0.3</v>
      </c>
      <c r="I125" s="52">
        <f t="shared" si="4"/>
        <v>9.1440000000000055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59">
        <v>154</v>
      </c>
      <c r="B126" s="59">
        <v>546.49</v>
      </c>
      <c r="C126" s="59">
        <v>13</v>
      </c>
      <c r="D126" s="59">
        <v>61.050000000000011</v>
      </c>
      <c r="E126" s="64">
        <v>0.5</v>
      </c>
      <c r="F126" s="64">
        <v>0.2</v>
      </c>
      <c r="G126" s="64">
        <v>0</v>
      </c>
      <c r="H126" s="64">
        <v>0.3</v>
      </c>
      <c r="I126" s="52">
        <f t="shared" si="4"/>
        <v>9.3350000000000026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59">
        <v>164</v>
      </c>
      <c r="B127" s="59">
        <v>580.32000000000005</v>
      </c>
      <c r="C127" s="59">
        <v>14</v>
      </c>
      <c r="D127" s="59">
        <v>66.020000000000095</v>
      </c>
      <c r="E127" s="64">
        <v>0.5</v>
      </c>
      <c r="F127" s="64">
        <v>0.2</v>
      </c>
      <c r="G127" s="64">
        <v>0</v>
      </c>
      <c r="H127" s="64">
        <v>0.3</v>
      </c>
      <c r="I127" s="52">
        <f t="shared" si="4"/>
        <v>9.4880000000000049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49">
        <v>174</v>
      </c>
      <c r="B128" s="49">
        <v>610.52</v>
      </c>
      <c r="C128" s="49">
        <v>15</v>
      </c>
      <c r="D128" s="49">
        <v>240</v>
      </c>
      <c r="E128" s="53">
        <v>0.45</v>
      </c>
      <c r="F128" s="53">
        <v>0.05</v>
      </c>
      <c r="G128" s="53">
        <v>0.05</v>
      </c>
      <c r="H128" s="53">
        <v>0.45</v>
      </c>
      <c r="I128" s="52">
        <f t="shared" si="4"/>
        <v>9.6220000000000034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49">
        <v>177</v>
      </c>
      <c r="B129" s="49">
        <v>388.94</v>
      </c>
      <c r="C129" s="49">
        <v>16</v>
      </c>
      <c r="D129" s="49">
        <v>128.66000000000003</v>
      </c>
      <c r="E129" s="53">
        <v>0.45</v>
      </c>
      <c r="F129" s="53">
        <v>0.05</v>
      </c>
      <c r="G129" s="53">
        <v>0.05</v>
      </c>
      <c r="H129" s="53">
        <v>0.45</v>
      </c>
      <c r="I129" s="52">
        <f t="shared" si="4"/>
        <v>6.140000000000005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49">
        <v>180</v>
      </c>
      <c r="B130" s="49">
        <v>271.56</v>
      </c>
      <c r="C130" s="49">
        <v>17</v>
      </c>
      <c r="D130" s="49">
        <v>86.97</v>
      </c>
      <c r="E130" s="53">
        <v>0.45</v>
      </c>
      <c r="F130" s="53">
        <v>0.05</v>
      </c>
      <c r="G130" s="53">
        <v>0.05</v>
      </c>
      <c r="H130" s="53">
        <v>0.45</v>
      </c>
      <c r="I130" s="52">
        <f t="shared" si="4"/>
        <v>3.76000000000001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49">
        <v>183</v>
      </c>
      <c r="B131" s="49">
        <v>191.47</v>
      </c>
      <c r="C131" s="49">
        <v>18</v>
      </c>
      <c r="D131" s="49">
        <v>191.47</v>
      </c>
      <c r="E131" s="53">
        <v>0.45</v>
      </c>
      <c r="F131" s="53">
        <v>0.05</v>
      </c>
      <c r="G131" s="53">
        <v>0.05</v>
      </c>
      <c r="H131" s="53">
        <v>0.45</v>
      </c>
      <c r="I131" s="52">
        <f t="shared" si="4"/>
        <v>2.2933333333333317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49"/>
      <c r="B132" s="49"/>
      <c r="C132" s="49"/>
      <c r="D132" s="49"/>
      <c r="E132" s="53"/>
      <c r="F132" s="53"/>
      <c r="G132" s="53"/>
      <c r="H132" s="53"/>
      <c r="I132" s="52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49"/>
      <c r="B133" s="49"/>
      <c r="C133" s="49"/>
      <c r="D133" s="49"/>
      <c r="E133" s="53"/>
      <c r="F133" s="53"/>
      <c r="G133" s="53"/>
      <c r="H133" s="53"/>
      <c r="I133" s="52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5" t="s">
        <v>169</v>
      </c>
      <c r="B136" s="51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5"/>
      <c r="B137" s="95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4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5" t="s">
        <v>180</v>
      </c>
      <c r="B139" s="35" t="s">
        <v>189</v>
      </c>
      <c r="C139" s="47" t="s">
        <v>188</v>
      </c>
      <c r="D139" s="47" t="s">
        <v>251</v>
      </c>
      <c r="E139" s="35" t="s">
        <v>183</v>
      </c>
      <c r="F139" s="35" t="s">
        <v>181</v>
      </c>
      <c r="G139" s="35" t="s">
        <v>184</v>
      </c>
      <c r="H139" s="35" t="s">
        <v>182</v>
      </c>
      <c r="I139" s="47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49"/>
      <c r="B140" s="59"/>
      <c r="C140" s="49"/>
      <c r="D140" s="59"/>
      <c r="E140" s="50"/>
      <c r="F140" s="50"/>
      <c r="G140" s="50"/>
      <c r="H140" s="50"/>
      <c r="I140" s="56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49"/>
      <c r="B141" s="59"/>
      <c r="C141" s="49"/>
      <c r="D141" s="59"/>
      <c r="E141" s="50"/>
      <c r="F141" s="50"/>
      <c r="G141" s="50"/>
      <c r="H141" s="50"/>
      <c r="I141" s="56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49"/>
      <c r="B142" s="59"/>
      <c r="C142" s="49"/>
      <c r="D142" s="59"/>
      <c r="E142" s="50"/>
      <c r="F142" s="50"/>
      <c r="G142" s="50"/>
      <c r="H142" s="50"/>
      <c r="I142" s="56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49"/>
      <c r="B143" s="59"/>
      <c r="C143" s="49"/>
      <c r="D143" s="59"/>
      <c r="E143" s="50"/>
      <c r="F143" s="50"/>
      <c r="G143" s="50"/>
      <c r="H143" s="50"/>
      <c r="I143" s="56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49"/>
      <c r="B144" s="59"/>
      <c r="C144" s="49"/>
      <c r="D144" s="59"/>
      <c r="E144" s="50"/>
      <c r="F144" s="50"/>
      <c r="G144" s="50"/>
      <c r="H144" s="50"/>
      <c r="I144" s="56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49"/>
      <c r="B145" s="59"/>
      <c r="C145" s="49"/>
      <c r="D145" s="59"/>
      <c r="E145" s="50"/>
      <c r="F145" s="50"/>
      <c r="G145" s="50"/>
      <c r="H145" s="50"/>
      <c r="I145" s="56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49"/>
      <c r="B146" s="59"/>
      <c r="C146" s="49"/>
      <c r="D146" s="59"/>
      <c r="E146" s="50"/>
      <c r="F146" s="50"/>
      <c r="G146" s="50"/>
      <c r="H146" s="50"/>
      <c r="I146" s="56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49"/>
      <c r="B147" s="59"/>
      <c r="C147" s="49"/>
      <c r="D147" s="59"/>
      <c r="E147" s="50"/>
      <c r="F147" s="50"/>
      <c r="G147" s="50"/>
      <c r="H147" s="50"/>
      <c r="I147" s="56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49"/>
      <c r="B148" s="59"/>
      <c r="C148" s="49"/>
      <c r="D148" s="59"/>
      <c r="E148" s="50"/>
      <c r="F148" s="50"/>
      <c r="G148" s="50"/>
      <c r="H148" s="50"/>
      <c r="I148" s="56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49"/>
      <c r="B149" s="59"/>
      <c r="C149" s="49"/>
      <c r="D149" s="59"/>
      <c r="E149" s="50"/>
      <c r="F149" s="50"/>
      <c r="G149" s="50"/>
      <c r="H149" s="50"/>
      <c r="I149" s="56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49"/>
      <c r="B150" s="59"/>
      <c r="C150" s="49"/>
      <c r="D150" s="59"/>
      <c r="E150" s="50"/>
      <c r="F150" s="50"/>
      <c r="G150" s="50"/>
      <c r="H150" s="50"/>
      <c r="I150" s="56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49"/>
      <c r="B151" s="59"/>
      <c r="C151" s="49"/>
      <c r="D151" s="59"/>
      <c r="E151" s="50"/>
      <c r="F151" s="50"/>
      <c r="G151" s="50"/>
      <c r="H151" s="50"/>
      <c r="I151" s="56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49"/>
      <c r="B152" s="59"/>
      <c r="C152" s="49"/>
      <c r="D152" s="59"/>
      <c r="E152" s="53"/>
      <c r="F152" s="53"/>
      <c r="G152" s="53"/>
      <c r="H152" s="53"/>
      <c r="I152" s="56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49"/>
      <c r="B153" s="59"/>
      <c r="C153" s="49"/>
      <c r="D153" s="59"/>
      <c r="E153" s="53"/>
      <c r="F153" s="53"/>
      <c r="G153" s="53"/>
      <c r="H153" s="53"/>
      <c r="I153" s="56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4"/>
      <c r="B154" s="55"/>
      <c r="C154" s="49"/>
      <c r="D154" s="49"/>
      <c r="E154" s="53"/>
      <c r="F154" s="53"/>
      <c r="G154" s="53"/>
      <c r="H154" s="53"/>
      <c r="I154" s="56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4"/>
      <c r="B155" s="55"/>
      <c r="C155" s="49"/>
      <c r="D155" s="49"/>
      <c r="E155" s="53"/>
      <c r="F155" s="53"/>
      <c r="G155" s="53"/>
      <c r="H155" s="53"/>
      <c r="I155" s="56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4"/>
      <c r="B156" s="55"/>
      <c r="C156" s="49"/>
      <c r="D156" s="49"/>
      <c r="E156" s="53"/>
      <c r="F156" s="53"/>
      <c r="G156" s="53"/>
      <c r="H156" s="53"/>
      <c r="I156" s="56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4"/>
      <c r="B157" s="55"/>
      <c r="C157" s="49"/>
      <c r="D157" s="49"/>
      <c r="E157" s="53"/>
      <c r="F157" s="53"/>
      <c r="G157" s="53"/>
      <c r="H157" s="53"/>
      <c r="I157" s="56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4"/>
      <c r="B158" s="55"/>
      <c r="C158" s="49"/>
      <c r="D158" s="49"/>
      <c r="E158" s="53"/>
      <c r="F158" s="53"/>
      <c r="G158" s="53"/>
      <c r="H158" s="53"/>
      <c r="I158" s="56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4"/>
      <c r="B159" s="55"/>
      <c r="C159" s="49"/>
      <c r="D159" s="57"/>
      <c r="E159" s="53"/>
      <c r="F159" s="53"/>
      <c r="G159" s="53"/>
      <c r="H159" s="53"/>
      <c r="I159" s="56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5" t="s">
        <v>170</v>
      </c>
      <c r="B162" s="51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5"/>
      <c r="B163" s="95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4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5" t="s">
        <v>180</v>
      </c>
      <c r="B165" s="35" t="s">
        <v>189</v>
      </c>
      <c r="C165" s="47" t="s">
        <v>188</v>
      </c>
      <c r="D165" s="47" t="s">
        <v>251</v>
      </c>
      <c r="E165" s="35" t="s">
        <v>183</v>
      </c>
      <c r="F165" s="35" t="s">
        <v>181</v>
      </c>
      <c r="G165" s="35" t="s">
        <v>184</v>
      </c>
      <c r="H165" s="35" t="s">
        <v>182</v>
      </c>
      <c r="I165" s="47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49"/>
      <c r="B166" s="59"/>
      <c r="C166" s="59"/>
      <c r="D166" s="59"/>
      <c r="E166" s="50"/>
      <c r="F166" s="50"/>
      <c r="G166" s="50"/>
      <c r="H166" s="50"/>
      <c r="I166" s="48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49"/>
      <c r="B167" s="59"/>
      <c r="C167" s="59"/>
      <c r="D167" s="59"/>
      <c r="E167" s="50"/>
      <c r="F167" s="50"/>
      <c r="G167" s="50"/>
      <c r="H167" s="50"/>
      <c r="I167" s="48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49"/>
      <c r="B168" s="59"/>
      <c r="C168" s="59"/>
      <c r="D168" s="59"/>
      <c r="E168" s="50"/>
      <c r="F168" s="50"/>
      <c r="G168" s="50"/>
      <c r="H168" s="50"/>
      <c r="I168" s="48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49"/>
      <c r="B169" s="59"/>
      <c r="C169" s="59"/>
      <c r="D169" s="59"/>
      <c r="E169" s="50"/>
      <c r="F169" s="50"/>
      <c r="G169" s="50"/>
      <c r="H169" s="50"/>
      <c r="I169" s="48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49"/>
      <c r="B170" s="59"/>
      <c r="C170" s="59"/>
      <c r="D170" s="59"/>
      <c r="E170" s="50"/>
      <c r="F170" s="50"/>
      <c r="G170" s="50"/>
      <c r="H170" s="50"/>
      <c r="I170" s="48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49"/>
      <c r="B171" s="59"/>
      <c r="C171" s="59"/>
      <c r="D171" s="59"/>
      <c r="E171" s="50"/>
      <c r="F171" s="50"/>
      <c r="G171" s="50"/>
      <c r="H171" s="50"/>
      <c r="I171" s="48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49"/>
      <c r="B172" s="59"/>
      <c r="C172" s="59"/>
      <c r="D172" s="59"/>
      <c r="E172" s="50"/>
      <c r="F172" s="50"/>
      <c r="G172" s="50"/>
      <c r="H172" s="50"/>
      <c r="I172" s="48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49"/>
      <c r="B173" s="49"/>
      <c r="C173" s="49"/>
      <c r="D173" s="49"/>
      <c r="E173" s="50"/>
      <c r="F173" s="50"/>
      <c r="G173" s="50"/>
      <c r="H173" s="50"/>
      <c r="I173" s="48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49"/>
      <c r="B174" s="49"/>
      <c r="C174" s="49"/>
      <c r="D174" s="49"/>
      <c r="E174" s="50"/>
      <c r="F174" s="50"/>
      <c r="G174" s="50"/>
      <c r="H174" s="50"/>
      <c r="I174" s="48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49"/>
      <c r="B175" s="49"/>
      <c r="C175" s="49"/>
      <c r="D175" s="49"/>
      <c r="E175" s="50"/>
      <c r="F175" s="50"/>
      <c r="G175" s="50"/>
      <c r="H175" s="50"/>
      <c r="I175" s="48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49"/>
      <c r="B176" s="49"/>
      <c r="C176" s="49"/>
      <c r="D176" s="49"/>
      <c r="E176" s="50"/>
      <c r="F176" s="50"/>
      <c r="G176" s="50"/>
      <c r="H176" s="50"/>
      <c r="I176" s="48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49"/>
      <c r="B177" s="49"/>
      <c r="C177" s="49"/>
      <c r="D177" s="49"/>
      <c r="E177" s="50"/>
      <c r="F177" s="50"/>
      <c r="G177" s="50"/>
      <c r="H177" s="50"/>
      <c r="I177" s="48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49"/>
      <c r="B178" s="49"/>
      <c r="C178" s="49"/>
      <c r="D178" s="49"/>
      <c r="E178" s="50"/>
      <c r="F178" s="50"/>
      <c r="G178" s="50"/>
      <c r="H178" s="50"/>
      <c r="I178" s="48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49"/>
      <c r="B179" s="49"/>
      <c r="C179" s="49"/>
      <c r="D179" s="49"/>
      <c r="E179" s="50"/>
      <c r="F179" s="50"/>
      <c r="G179" s="50"/>
      <c r="H179" s="50"/>
      <c r="I179" s="48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49"/>
      <c r="B180" s="49"/>
      <c r="C180" s="49"/>
      <c r="D180" s="49"/>
      <c r="E180" s="50"/>
      <c r="F180" s="50"/>
      <c r="G180" s="50"/>
      <c r="H180" s="50"/>
      <c r="I180" s="48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49"/>
      <c r="B181" s="49"/>
      <c r="C181" s="49"/>
      <c r="D181" s="49"/>
      <c r="E181" s="50"/>
      <c r="F181" s="50"/>
      <c r="G181" s="50"/>
      <c r="H181" s="50"/>
      <c r="I181" s="48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49"/>
      <c r="B182" s="49"/>
      <c r="C182" s="49"/>
      <c r="D182" s="49"/>
      <c r="E182" s="50"/>
      <c r="F182" s="50"/>
      <c r="G182" s="50"/>
      <c r="H182" s="50"/>
      <c r="I182" s="48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49"/>
      <c r="B183" s="49"/>
      <c r="C183" s="49"/>
      <c r="D183" s="49"/>
      <c r="E183" s="50"/>
      <c r="F183" s="50"/>
      <c r="G183" s="50"/>
      <c r="H183" s="50"/>
      <c r="I183" s="48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49"/>
      <c r="B184" s="49"/>
      <c r="C184" s="49"/>
      <c r="D184" s="49"/>
      <c r="E184" s="50"/>
      <c r="F184" s="50"/>
      <c r="G184" s="50"/>
      <c r="H184" s="50"/>
      <c r="I184" s="48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49"/>
      <c r="B185" s="49"/>
      <c r="C185" s="49"/>
      <c r="D185" s="49"/>
      <c r="E185" s="50"/>
      <c r="F185" s="50"/>
      <c r="G185" s="50"/>
      <c r="H185" s="50"/>
      <c r="I185" s="48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5" t="s">
        <v>171</v>
      </c>
      <c r="B188" s="51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5"/>
      <c r="B189" s="95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4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5" t="s">
        <v>180</v>
      </c>
      <c r="B191" s="35" t="s">
        <v>189</v>
      </c>
      <c r="C191" s="47" t="s">
        <v>188</v>
      </c>
      <c r="D191" s="47" t="s">
        <v>251</v>
      </c>
      <c r="E191" s="35" t="s">
        <v>183</v>
      </c>
      <c r="F191" s="35" t="s">
        <v>181</v>
      </c>
      <c r="G191" s="35" t="s">
        <v>184</v>
      </c>
      <c r="H191" s="35" t="s">
        <v>182</v>
      </c>
      <c r="I191" s="47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49"/>
      <c r="B192" s="59"/>
      <c r="C192" s="59"/>
      <c r="D192" s="59"/>
      <c r="E192" s="50"/>
      <c r="F192" s="50"/>
      <c r="G192" s="50"/>
      <c r="H192" s="50"/>
      <c r="I192" s="48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49"/>
      <c r="B193" s="59"/>
      <c r="C193" s="59"/>
      <c r="D193" s="59"/>
      <c r="E193" s="50"/>
      <c r="F193" s="50"/>
      <c r="G193" s="50"/>
      <c r="H193" s="50"/>
      <c r="I193" s="48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49"/>
      <c r="B194" s="59"/>
      <c r="C194" s="59"/>
      <c r="D194" s="59"/>
      <c r="E194" s="50"/>
      <c r="F194" s="50"/>
      <c r="G194" s="50"/>
      <c r="H194" s="50"/>
      <c r="I194" s="48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49"/>
      <c r="B195" s="59"/>
      <c r="C195" s="59"/>
      <c r="D195" s="59"/>
      <c r="E195" s="50"/>
      <c r="F195" s="50"/>
      <c r="G195" s="50"/>
      <c r="H195" s="50"/>
      <c r="I195" s="48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49"/>
      <c r="B196" s="59"/>
      <c r="C196" s="59"/>
      <c r="D196" s="59"/>
      <c r="E196" s="50"/>
      <c r="F196" s="50"/>
      <c r="G196" s="50"/>
      <c r="H196" s="50"/>
      <c r="I196" s="48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49"/>
      <c r="B197" s="59"/>
      <c r="C197" s="59"/>
      <c r="D197" s="59"/>
      <c r="E197" s="50"/>
      <c r="F197" s="50"/>
      <c r="G197" s="50"/>
      <c r="H197" s="50"/>
      <c r="I197" s="48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49"/>
      <c r="B198" s="59"/>
      <c r="C198" s="59"/>
      <c r="D198" s="59"/>
      <c r="E198" s="50"/>
      <c r="F198" s="50"/>
      <c r="G198" s="50"/>
      <c r="H198" s="50"/>
      <c r="I198" s="48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49"/>
      <c r="B199" s="49"/>
      <c r="C199" s="49"/>
      <c r="D199" s="49"/>
      <c r="E199" s="50"/>
      <c r="F199" s="50"/>
      <c r="G199" s="50"/>
      <c r="H199" s="50"/>
      <c r="I199" s="48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49"/>
      <c r="B200" s="49"/>
      <c r="C200" s="49"/>
      <c r="D200" s="49"/>
      <c r="E200" s="50"/>
      <c r="F200" s="50"/>
      <c r="G200" s="50"/>
      <c r="H200" s="50"/>
      <c r="I200" s="48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49"/>
      <c r="B201" s="49"/>
      <c r="C201" s="49"/>
      <c r="D201" s="49"/>
      <c r="E201" s="50"/>
      <c r="F201" s="50"/>
      <c r="G201" s="50"/>
      <c r="H201" s="50"/>
      <c r="I201" s="48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49"/>
      <c r="B202" s="49"/>
      <c r="C202" s="49"/>
      <c r="D202" s="49"/>
      <c r="E202" s="50"/>
      <c r="F202" s="50"/>
      <c r="G202" s="50"/>
      <c r="H202" s="50"/>
      <c r="I202" s="48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49"/>
      <c r="B203" s="49"/>
      <c r="C203" s="49"/>
      <c r="D203" s="49"/>
      <c r="E203" s="50"/>
      <c r="F203" s="50"/>
      <c r="G203" s="50"/>
      <c r="H203" s="50"/>
      <c r="I203" s="48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49"/>
      <c r="B204" s="49"/>
      <c r="C204" s="49"/>
      <c r="D204" s="49"/>
      <c r="E204" s="50"/>
      <c r="F204" s="50"/>
      <c r="G204" s="50"/>
      <c r="H204" s="50"/>
      <c r="I204" s="48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49"/>
      <c r="B205" s="49"/>
      <c r="C205" s="49"/>
      <c r="D205" s="49"/>
      <c r="E205" s="50"/>
      <c r="F205" s="50"/>
      <c r="G205" s="50"/>
      <c r="H205" s="50"/>
      <c r="I205" s="48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49"/>
      <c r="B206" s="49"/>
      <c r="C206" s="49"/>
      <c r="D206" s="49"/>
      <c r="E206" s="50"/>
      <c r="F206" s="50"/>
      <c r="G206" s="50"/>
      <c r="H206" s="50"/>
      <c r="I206" s="48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49"/>
      <c r="B207" s="49"/>
      <c r="C207" s="49"/>
      <c r="D207" s="49"/>
      <c r="E207" s="50"/>
      <c r="F207" s="50"/>
      <c r="G207" s="50"/>
      <c r="H207" s="50"/>
      <c r="I207" s="48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49"/>
      <c r="B208" s="49"/>
      <c r="C208" s="49"/>
      <c r="D208" s="49"/>
      <c r="E208" s="50"/>
      <c r="F208" s="50"/>
      <c r="G208" s="50"/>
      <c r="H208" s="50"/>
      <c r="I208" s="48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49"/>
      <c r="B209" s="49"/>
      <c r="C209" s="49"/>
      <c r="D209" s="49"/>
      <c r="E209" s="50"/>
      <c r="F209" s="50"/>
      <c r="G209" s="50"/>
      <c r="H209" s="50"/>
      <c r="I209" s="48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49"/>
      <c r="B210" s="49"/>
      <c r="C210" s="49"/>
      <c r="D210" s="49"/>
      <c r="E210" s="50"/>
      <c r="F210" s="50"/>
      <c r="G210" s="50"/>
      <c r="H210" s="50"/>
      <c r="I210" s="48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49"/>
      <c r="B211" s="49"/>
      <c r="C211" s="49"/>
      <c r="D211" s="49"/>
      <c r="E211" s="50"/>
      <c r="F211" s="50"/>
      <c r="G211" s="50"/>
      <c r="H211" s="50"/>
      <c r="I211" s="48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5" t="s">
        <v>172</v>
      </c>
      <c r="B214" s="51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5"/>
      <c r="B215" s="95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4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5" t="s">
        <v>180</v>
      </c>
      <c r="B217" s="35" t="s">
        <v>189</v>
      </c>
      <c r="C217" s="47" t="s">
        <v>188</v>
      </c>
      <c r="D217" s="47" t="s">
        <v>251</v>
      </c>
      <c r="E217" s="35" t="s">
        <v>183</v>
      </c>
      <c r="F217" s="35" t="s">
        <v>181</v>
      </c>
      <c r="G217" s="35" t="s">
        <v>184</v>
      </c>
      <c r="H217" s="35" t="s">
        <v>182</v>
      </c>
      <c r="I217" s="47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49"/>
      <c r="B218" s="59"/>
      <c r="C218" s="49"/>
      <c r="D218" s="59"/>
      <c r="E218" s="62"/>
      <c r="F218" s="62"/>
      <c r="G218" s="62"/>
      <c r="H218" s="62"/>
      <c r="I218" s="52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49"/>
      <c r="B219" s="59"/>
      <c r="C219" s="49"/>
      <c r="D219" s="59"/>
      <c r="E219" s="62"/>
      <c r="F219" s="62"/>
      <c r="G219" s="62"/>
      <c r="H219" s="62"/>
      <c r="I219" s="52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49"/>
      <c r="B220" s="59"/>
      <c r="C220" s="49"/>
      <c r="D220" s="59"/>
      <c r="E220" s="62"/>
      <c r="F220" s="62"/>
      <c r="G220" s="62"/>
      <c r="H220" s="62"/>
      <c r="I220" s="52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4"/>
      <c r="B221" s="54"/>
      <c r="C221" s="54"/>
      <c r="D221" s="54"/>
      <c r="E221" s="62"/>
      <c r="F221" s="62"/>
      <c r="G221" s="62"/>
      <c r="H221" s="62"/>
      <c r="I221" s="52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4"/>
      <c r="B222" s="54"/>
      <c r="C222" s="54"/>
      <c r="D222" s="54"/>
      <c r="E222" s="62"/>
      <c r="F222" s="62"/>
      <c r="G222" s="62"/>
      <c r="H222" s="62"/>
      <c r="I222" s="52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4"/>
      <c r="B223" s="54"/>
      <c r="C223" s="54"/>
      <c r="D223" s="54"/>
      <c r="E223" s="62"/>
      <c r="F223" s="62"/>
      <c r="G223" s="62"/>
      <c r="H223" s="62"/>
      <c r="I223" s="52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4"/>
      <c r="B224" s="54"/>
      <c r="C224" s="54"/>
      <c r="D224" s="54"/>
      <c r="E224" s="62"/>
      <c r="F224" s="62"/>
      <c r="G224" s="62"/>
      <c r="H224" s="62"/>
      <c r="I224" s="52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4"/>
      <c r="B225" s="54"/>
      <c r="C225" s="54"/>
      <c r="D225" s="54"/>
      <c r="E225" s="62"/>
      <c r="F225" s="62"/>
      <c r="G225" s="62"/>
      <c r="H225" s="62"/>
      <c r="I225" s="52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4"/>
      <c r="B226" s="54"/>
      <c r="C226" s="54"/>
      <c r="D226" s="54"/>
      <c r="E226" s="62"/>
      <c r="F226" s="62"/>
      <c r="G226" s="62"/>
      <c r="H226" s="62"/>
      <c r="I226" s="52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4"/>
      <c r="B227" s="54"/>
      <c r="C227" s="54"/>
      <c r="D227" s="54"/>
      <c r="E227" s="62"/>
      <c r="F227" s="62"/>
      <c r="G227" s="62"/>
      <c r="H227" s="62"/>
      <c r="I227" s="52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4"/>
      <c r="B228" s="54"/>
      <c r="C228" s="54"/>
      <c r="D228" s="54"/>
      <c r="E228" s="62"/>
      <c r="F228" s="62"/>
      <c r="G228" s="62"/>
      <c r="H228" s="62"/>
      <c r="I228" s="52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4"/>
      <c r="B229" s="54"/>
      <c r="C229" s="54"/>
      <c r="D229" s="54"/>
      <c r="E229" s="62"/>
      <c r="F229" s="62"/>
      <c r="G229" s="62"/>
      <c r="H229" s="62"/>
      <c r="I229" s="52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4"/>
      <c r="B230" s="54"/>
      <c r="C230" s="54"/>
      <c r="D230" s="54"/>
      <c r="E230" s="63"/>
      <c r="F230" s="63"/>
      <c r="G230" s="63"/>
      <c r="H230" s="63"/>
      <c r="I230" s="52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7"/>
      <c r="B231" s="59"/>
      <c r="C231" s="87"/>
      <c r="D231" s="59"/>
      <c r="E231" s="53"/>
      <c r="F231" s="53"/>
      <c r="G231" s="53"/>
      <c r="H231" s="53"/>
      <c r="I231" s="52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49"/>
      <c r="B232" s="49"/>
      <c r="C232" s="49"/>
      <c r="D232" s="49"/>
      <c r="E232" s="53"/>
      <c r="F232" s="53"/>
      <c r="G232" s="53"/>
      <c r="H232" s="53"/>
      <c r="I232" s="52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49"/>
      <c r="B233" s="49"/>
      <c r="C233" s="49"/>
      <c r="D233" s="49"/>
      <c r="E233" s="53"/>
      <c r="F233" s="53"/>
      <c r="G233" s="53"/>
      <c r="H233" s="53"/>
      <c r="I233" s="52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49"/>
      <c r="B234" s="49"/>
      <c r="C234" s="49"/>
      <c r="D234" s="49"/>
      <c r="E234" s="53"/>
      <c r="F234" s="53"/>
      <c r="G234" s="53"/>
      <c r="H234" s="53"/>
      <c r="I234" s="52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49"/>
      <c r="B235" s="49"/>
      <c r="C235" s="49"/>
      <c r="D235" s="49"/>
      <c r="E235" s="53"/>
      <c r="F235" s="53"/>
      <c r="G235" s="53"/>
      <c r="H235" s="53"/>
      <c r="I235" s="52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49"/>
      <c r="B236" s="49"/>
      <c r="C236" s="49"/>
      <c r="D236" s="49"/>
      <c r="E236" s="53"/>
      <c r="F236" s="53"/>
      <c r="G236" s="53"/>
      <c r="H236" s="53"/>
      <c r="I236" s="52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49"/>
      <c r="B237" s="49"/>
      <c r="C237" s="49"/>
      <c r="D237" s="49"/>
      <c r="E237" s="53"/>
      <c r="F237" s="53"/>
      <c r="G237" s="53"/>
      <c r="H237" s="53"/>
      <c r="I237" s="52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5" t="s">
        <v>173</v>
      </c>
      <c r="B240" s="51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5"/>
      <c r="B241" s="95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4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5" t="s">
        <v>180</v>
      </c>
      <c r="B243" s="35" t="s">
        <v>189</v>
      </c>
      <c r="C243" s="47" t="s">
        <v>188</v>
      </c>
      <c r="D243" s="47" t="s">
        <v>251</v>
      </c>
      <c r="E243" s="35" t="s">
        <v>183</v>
      </c>
      <c r="F243" s="35" t="s">
        <v>181</v>
      </c>
      <c r="G243" s="35" t="s">
        <v>184</v>
      </c>
      <c r="H243" s="35" t="s">
        <v>182</v>
      </c>
      <c r="I243" s="47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49"/>
      <c r="B244" s="59"/>
      <c r="C244" s="59"/>
      <c r="D244" s="59"/>
      <c r="E244" s="50"/>
      <c r="F244" s="50"/>
      <c r="G244" s="50"/>
      <c r="H244" s="62"/>
      <c r="I244" s="52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49"/>
      <c r="B245" s="59"/>
      <c r="C245" s="59"/>
      <c r="D245" s="59"/>
      <c r="E245" s="62"/>
      <c r="F245" s="62"/>
      <c r="G245" s="62"/>
      <c r="H245" s="62"/>
      <c r="I245" s="52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49"/>
      <c r="B246" s="59"/>
      <c r="C246" s="59"/>
      <c r="D246" s="59"/>
      <c r="E246" s="62"/>
      <c r="F246" s="62"/>
      <c r="G246" s="62"/>
      <c r="H246" s="62"/>
      <c r="I246" s="52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49"/>
      <c r="B247" s="59"/>
      <c r="C247" s="59"/>
      <c r="D247" s="59"/>
      <c r="E247" s="62"/>
      <c r="F247" s="62"/>
      <c r="G247" s="62"/>
      <c r="H247" s="62"/>
      <c r="I247" s="52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49"/>
      <c r="B248" s="59"/>
      <c r="C248" s="59"/>
      <c r="D248" s="59"/>
      <c r="E248" s="62"/>
      <c r="F248" s="62"/>
      <c r="G248" s="62"/>
      <c r="H248" s="62"/>
      <c r="I248" s="52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49"/>
      <c r="B249" s="59"/>
      <c r="C249" s="59"/>
      <c r="D249" s="59"/>
      <c r="E249" s="62"/>
      <c r="F249" s="62"/>
      <c r="G249" s="62"/>
      <c r="H249" s="62"/>
      <c r="I249" s="52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49"/>
      <c r="B250" s="59"/>
      <c r="C250" s="59"/>
      <c r="D250" s="59"/>
      <c r="E250" s="62"/>
      <c r="F250" s="62"/>
      <c r="G250" s="62"/>
      <c r="H250" s="62"/>
      <c r="I250" s="52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4"/>
      <c r="B251" s="54"/>
      <c r="C251" s="54"/>
      <c r="D251" s="54"/>
      <c r="E251" s="62"/>
      <c r="F251" s="62"/>
      <c r="G251" s="62"/>
      <c r="H251" s="62"/>
      <c r="I251" s="52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4"/>
      <c r="B252" s="54"/>
      <c r="C252" s="54"/>
      <c r="D252" s="54"/>
      <c r="E252" s="62"/>
      <c r="F252" s="62"/>
      <c r="G252" s="62"/>
      <c r="H252" s="62"/>
      <c r="I252" s="52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4"/>
      <c r="B253" s="54"/>
      <c r="C253" s="54"/>
      <c r="D253" s="54"/>
      <c r="E253" s="62"/>
      <c r="F253" s="62"/>
      <c r="G253" s="62"/>
      <c r="H253" s="62"/>
      <c r="I253" s="52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4"/>
      <c r="B254" s="54"/>
      <c r="C254" s="54"/>
      <c r="D254" s="54"/>
      <c r="E254" s="62"/>
      <c r="F254" s="62"/>
      <c r="G254" s="62"/>
      <c r="H254" s="62"/>
      <c r="I254" s="52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4"/>
      <c r="B255" s="54"/>
      <c r="C255" s="54"/>
      <c r="D255" s="54"/>
      <c r="E255" s="62"/>
      <c r="F255" s="62"/>
      <c r="G255" s="62"/>
      <c r="H255" s="62"/>
      <c r="I255" s="52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4"/>
      <c r="B256" s="54"/>
      <c r="C256" s="54"/>
      <c r="D256" s="54"/>
      <c r="E256" s="63"/>
      <c r="F256" s="63"/>
      <c r="G256" s="63"/>
      <c r="H256" s="63"/>
      <c r="I256" s="52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7"/>
      <c r="B257" s="59"/>
      <c r="C257" s="87"/>
      <c r="D257" s="59"/>
      <c r="E257" s="53"/>
      <c r="F257" s="53"/>
      <c r="G257" s="53"/>
      <c r="H257" s="53"/>
      <c r="I257" s="52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49"/>
      <c r="B258" s="49"/>
      <c r="C258" s="49"/>
      <c r="D258" s="49"/>
      <c r="E258" s="53"/>
      <c r="F258" s="53"/>
      <c r="G258" s="53"/>
      <c r="H258" s="53"/>
      <c r="I258" s="52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49"/>
      <c r="B259" s="49"/>
      <c r="C259" s="49"/>
      <c r="D259" s="49"/>
      <c r="E259" s="53"/>
      <c r="F259" s="53"/>
      <c r="G259" s="53"/>
      <c r="H259" s="53"/>
      <c r="I259" s="52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49"/>
      <c r="B260" s="49"/>
      <c r="C260" s="49"/>
      <c r="D260" s="49"/>
      <c r="E260" s="53"/>
      <c r="F260" s="53"/>
      <c r="G260" s="53"/>
      <c r="H260" s="53"/>
      <c r="I260" s="52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49"/>
      <c r="B261" s="49"/>
      <c r="C261" s="49"/>
      <c r="D261" s="49"/>
      <c r="E261" s="53"/>
      <c r="F261" s="53"/>
      <c r="G261" s="53"/>
      <c r="H261" s="53"/>
      <c r="I261" s="52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49"/>
      <c r="B262" s="49"/>
      <c r="C262" s="49"/>
      <c r="D262" s="49"/>
      <c r="E262" s="53"/>
      <c r="F262" s="53"/>
      <c r="G262" s="53"/>
      <c r="H262" s="53"/>
      <c r="I262" s="52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49"/>
      <c r="B263" s="49"/>
      <c r="C263" s="49"/>
      <c r="D263" s="49"/>
      <c r="E263" s="53"/>
      <c r="F263" s="53"/>
      <c r="G263" s="53"/>
      <c r="H263" s="53"/>
      <c r="I263" s="52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5" t="s">
        <v>174</v>
      </c>
      <c r="B266" s="51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5"/>
      <c r="B267" s="95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4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5" t="s">
        <v>180</v>
      </c>
      <c r="B269" s="35" t="s">
        <v>189</v>
      </c>
      <c r="C269" s="47" t="s">
        <v>188</v>
      </c>
      <c r="D269" s="47" t="s">
        <v>251</v>
      </c>
      <c r="E269" s="35" t="s">
        <v>183</v>
      </c>
      <c r="F269" s="35" t="s">
        <v>181</v>
      </c>
      <c r="G269" s="35" t="s">
        <v>184</v>
      </c>
      <c r="H269" s="35" t="s">
        <v>182</v>
      </c>
      <c r="I269" s="47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49"/>
      <c r="B270" s="59"/>
      <c r="C270" s="49"/>
      <c r="D270" s="59"/>
      <c r="E270" s="50"/>
      <c r="F270" s="50"/>
      <c r="G270" s="50"/>
      <c r="H270" s="50"/>
      <c r="I270" s="52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49"/>
      <c r="B271" s="59"/>
      <c r="C271" s="49"/>
      <c r="D271" s="59"/>
      <c r="E271" s="50"/>
      <c r="F271" s="50"/>
      <c r="G271" s="50"/>
      <c r="H271" s="50"/>
      <c r="I271" s="52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49"/>
      <c r="B272" s="59"/>
      <c r="C272" s="49"/>
      <c r="D272" s="59"/>
      <c r="E272" s="50"/>
      <c r="F272" s="50"/>
      <c r="G272" s="50"/>
      <c r="H272" s="50"/>
      <c r="I272" s="52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49"/>
      <c r="B273" s="59"/>
      <c r="C273" s="49"/>
      <c r="D273" s="59"/>
      <c r="E273" s="50"/>
      <c r="F273" s="50"/>
      <c r="G273" s="50"/>
      <c r="H273" s="50"/>
      <c r="I273" s="52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49"/>
      <c r="B274" s="59"/>
      <c r="C274" s="49"/>
      <c r="D274" s="59"/>
      <c r="E274" s="50"/>
      <c r="F274" s="50"/>
      <c r="G274" s="50"/>
      <c r="H274" s="50"/>
      <c r="I274" s="52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49"/>
      <c r="B275" s="59"/>
      <c r="C275" s="49"/>
      <c r="D275" s="59"/>
      <c r="E275" s="62"/>
      <c r="F275" s="62"/>
      <c r="G275" s="62"/>
      <c r="H275" s="62"/>
      <c r="I275" s="52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49"/>
      <c r="B276" s="59"/>
      <c r="C276" s="49"/>
      <c r="D276" s="59"/>
      <c r="E276" s="62"/>
      <c r="F276" s="62"/>
      <c r="G276" s="62"/>
      <c r="H276" s="62"/>
      <c r="I276" s="52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4"/>
      <c r="B277" s="54"/>
      <c r="C277" s="54"/>
      <c r="D277" s="54"/>
      <c r="E277" s="62"/>
      <c r="F277" s="62"/>
      <c r="G277" s="62"/>
      <c r="H277" s="62"/>
      <c r="I277" s="52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4"/>
      <c r="B278" s="54"/>
      <c r="C278" s="54"/>
      <c r="D278" s="54"/>
      <c r="E278" s="62"/>
      <c r="F278" s="62"/>
      <c r="G278" s="62"/>
      <c r="H278" s="62"/>
      <c r="I278" s="52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4"/>
      <c r="B279" s="54"/>
      <c r="C279" s="54"/>
      <c r="D279" s="54"/>
      <c r="E279" s="62"/>
      <c r="F279" s="62"/>
      <c r="G279" s="62"/>
      <c r="H279" s="62"/>
      <c r="I279" s="52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4"/>
      <c r="B280" s="54"/>
      <c r="C280" s="54"/>
      <c r="D280" s="54"/>
      <c r="E280" s="62"/>
      <c r="F280" s="62"/>
      <c r="G280" s="62"/>
      <c r="H280" s="62"/>
      <c r="I280" s="52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4"/>
      <c r="B281" s="54"/>
      <c r="C281" s="54"/>
      <c r="D281" s="54"/>
      <c r="E281" s="62"/>
      <c r="F281" s="62"/>
      <c r="G281" s="62"/>
      <c r="H281" s="62"/>
      <c r="I281" s="52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4"/>
      <c r="B282" s="54"/>
      <c r="C282" s="54"/>
      <c r="D282" s="54"/>
      <c r="E282" s="63"/>
      <c r="F282" s="63"/>
      <c r="G282" s="63"/>
      <c r="H282" s="63"/>
      <c r="I282" s="52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7"/>
      <c r="B283" s="59"/>
      <c r="C283" s="87"/>
      <c r="D283" s="59"/>
      <c r="E283" s="53"/>
      <c r="F283" s="53"/>
      <c r="G283" s="53"/>
      <c r="H283" s="53"/>
      <c r="I283" s="52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49"/>
      <c r="B284" s="49"/>
      <c r="C284" s="49"/>
      <c r="D284" s="49"/>
      <c r="E284" s="50"/>
      <c r="F284" s="50"/>
      <c r="G284" s="50"/>
      <c r="H284" s="50"/>
      <c r="I284" s="52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49"/>
      <c r="B285" s="49"/>
      <c r="C285" s="49"/>
      <c r="D285" s="49"/>
      <c r="E285" s="50"/>
      <c r="F285" s="50"/>
      <c r="G285" s="50"/>
      <c r="H285" s="50"/>
      <c r="I285" s="52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49"/>
      <c r="B286" s="49"/>
      <c r="C286" s="49"/>
      <c r="D286" s="49"/>
      <c r="E286" s="50"/>
      <c r="F286" s="50"/>
      <c r="G286" s="50"/>
      <c r="H286" s="50"/>
      <c r="I286" s="52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49"/>
      <c r="B287" s="49"/>
      <c r="C287" s="49"/>
      <c r="D287" s="49"/>
      <c r="E287" s="50"/>
      <c r="F287" s="50"/>
      <c r="G287" s="50"/>
      <c r="H287" s="50"/>
      <c r="I287" s="52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49"/>
      <c r="B288" s="49"/>
      <c r="C288" s="49"/>
      <c r="D288" s="49"/>
      <c r="E288" s="50"/>
      <c r="F288" s="50"/>
      <c r="G288" s="50"/>
      <c r="H288" s="50"/>
      <c r="I288" s="52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49"/>
      <c r="B289" s="49"/>
      <c r="C289" s="49"/>
      <c r="D289" s="49"/>
      <c r="E289" s="50"/>
      <c r="F289" s="50"/>
      <c r="G289" s="50"/>
      <c r="H289" s="50"/>
      <c r="I289" s="52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Normal="100" workbookViewId="0">
      <selection activeCell="B17" sqref="B17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6"/>
      <c r="K1" s="9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7" t="s">
        <v>296</v>
      </c>
      <c r="C5" s="97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8"/>
      <c r="B7" s="25" t="s">
        <v>295</v>
      </c>
      <c r="C7" s="99" t="s">
        <v>214</v>
      </c>
      <c r="D7" s="214"/>
      <c r="E7" s="100"/>
      <c r="F7" s="25" t="s">
        <v>295</v>
      </c>
      <c r="G7" s="99" t="s">
        <v>215</v>
      </c>
      <c r="H7" s="215"/>
      <c r="I7" s="215"/>
      <c r="J7" s="215"/>
      <c r="K7" s="215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</row>
    <row r="8" spans="1:38" ht="17.25" customHeight="1" x14ac:dyDescent="0.4">
      <c r="A8" s="104">
        <v>1</v>
      </c>
      <c r="B8" s="60">
        <v>1</v>
      </c>
      <c r="C8" s="48" t="s">
        <v>177</v>
      </c>
      <c r="D8" s="23"/>
      <c r="E8" s="104">
        <v>4</v>
      </c>
      <c r="F8" s="60">
        <v>0</v>
      </c>
      <c r="G8" s="101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4">
        <v>2</v>
      </c>
      <c r="B9" s="60">
        <v>0</v>
      </c>
      <c r="C9" s="107" t="s">
        <v>216</v>
      </c>
      <c r="D9" s="23"/>
      <c r="E9" s="104">
        <v>5</v>
      </c>
      <c r="F9" s="60">
        <v>0</v>
      </c>
      <c r="G9" s="102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4">
        <v>3</v>
      </c>
      <c r="B10" s="60">
        <v>0</v>
      </c>
      <c r="C10" s="108" t="s">
        <v>217</v>
      </c>
      <c r="D10" s="23"/>
      <c r="E10" s="4"/>
      <c r="F10" s="105">
        <f>SUM(F7:F9)</f>
        <v>0</v>
      </c>
      <c r="G10" s="103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5">
        <v>0</v>
      </c>
      <c r="C11" s="103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5"/>
      <c r="B13" s="106"/>
      <c r="C13" s="97" t="s">
        <v>273</v>
      </c>
      <c r="D13" s="215"/>
      <c r="E13" s="98"/>
      <c r="F13" s="106"/>
      <c r="G13" s="97" t="s">
        <v>301</v>
      </c>
      <c r="H13" s="215"/>
      <c r="I13" s="215"/>
      <c r="J13" s="215"/>
      <c r="K13" s="215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</row>
    <row r="14" spans="1:38" s="3" customFormat="1" ht="21" customHeight="1" x14ac:dyDescent="0.4">
      <c r="A14" s="215"/>
      <c r="B14" s="106"/>
      <c r="C14" s="97" t="s">
        <v>309</v>
      </c>
      <c r="D14" s="215"/>
      <c r="E14" s="98"/>
      <c r="F14" s="106"/>
      <c r="G14" s="97" t="s">
        <v>294</v>
      </c>
      <c r="H14" s="215"/>
      <c r="I14" s="215"/>
      <c r="J14" s="215"/>
      <c r="K14" s="215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</row>
    <row r="15" spans="1:38" x14ac:dyDescent="0.4">
      <c r="A15" s="23"/>
      <c r="B15" s="25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0">
        <v>0.4</v>
      </c>
      <c r="C16" s="109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0">
        <v>0.6</v>
      </c>
      <c r="C17" s="109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0">
        <v>0</v>
      </c>
      <c r="C18" s="109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5">
        <f>SUM(B16:B18)</f>
        <v>1</v>
      </c>
      <c r="C19" s="103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535156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53515625" style="4" bestFit="1" customWidth="1"/>
    <col min="25" max="25" width="14.53515625" style="4" bestFit="1" customWidth="1"/>
    <col min="26" max="26" width="12.4609375" style="4" bestFit="1" customWidth="1"/>
    <col min="27" max="27" width="9.535156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53515625" style="4" bestFit="1" customWidth="1"/>
    <col min="46" max="46" width="8.4609375" style="4" bestFit="1" customWidth="1"/>
    <col min="47" max="47" width="9.4609375" style="4" bestFit="1" customWidth="1"/>
    <col min="48" max="48" width="9.535156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53515625" style="4" bestFit="1" customWidth="1"/>
    <col min="67" max="67" width="8.4609375" style="4" bestFit="1" customWidth="1"/>
    <col min="68" max="68" width="9.4609375" style="4" bestFit="1" customWidth="1"/>
    <col min="69" max="69" width="9.535156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53515625" style="4" bestFit="1" customWidth="1"/>
    <col min="88" max="88" width="8.4609375" style="4" bestFit="1" customWidth="1"/>
    <col min="89" max="89" width="9.4609375" style="4" bestFit="1" customWidth="1"/>
    <col min="90" max="90" width="9.535156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53515625" style="4" bestFit="1" customWidth="1"/>
    <col min="109" max="109" width="8.4609375" style="4" bestFit="1" customWidth="1"/>
    <col min="110" max="110" width="9.4609375" style="4" bestFit="1" customWidth="1"/>
    <col min="111" max="111" width="9.535156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53515625" style="4" bestFit="1" customWidth="1"/>
    <col min="130" max="130" width="8.4609375" style="4" bestFit="1" customWidth="1"/>
    <col min="131" max="131" width="9.4609375" style="4" bestFit="1" customWidth="1"/>
    <col min="132" max="132" width="9.535156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53515625" style="4" bestFit="1" customWidth="1"/>
    <col min="151" max="151" width="8.4609375" style="4" bestFit="1" customWidth="1"/>
    <col min="152" max="152" width="9.4609375" style="4" bestFit="1" customWidth="1"/>
    <col min="153" max="153" width="9.535156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53515625" style="4" bestFit="1" customWidth="1"/>
    <col min="172" max="172" width="8.07421875" style="4" bestFit="1" customWidth="1"/>
    <col min="173" max="173" width="9.4609375" style="4" bestFit="1" customWidth="1"/>
    <col min="174" max="174" width="9.535156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535156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53515625" style="4" bestFit="1" customWidth="1"/>
    <col min="214" max="214" width="8.4609375" style="4" bestFit="1" customWidth="1"/>
    <col min="215" max="215" width="9.4609375" style="4" bestFit="1" customWidth="1"/>
    <col min="216" max="216" width="9.535156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2">
        <f>'Scénario référence'!$B$16*5+'Scénario référence'!$B$17*0+'Scénario référence'!$B$18*5</f>
        <v>2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7.333333333333333</v>
      </c>
      <c r="H3" s="66">
        <f>(B3+E3+F3)*44/12+(C3+D3)*0.475*44/12</f>
        <v>227.33333333333334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8">
        <f t="shared" ref="R3:R66" si="0">Q3+(I3+J3)*44/12</f>
        <v>220</v>
      </c>
      <c r="S3" s="58">
        <f ca="1">AVERAGE(OFFSET($R$3,0,0,'Données projet'!$E$9+1,1))-AVERAGE(OFFSET($H$3,0,0,'Données projet'!$E$9+1,1))</f>
        <v>654.0179680178212</v>
      </c>
      <c r="T3" s="58">
        <f>IF('Données projet'!E9&gt;30,$R$33-$H$33,LOOKUP('Données projet'!$E$9,$A$3:$A$203,R3:R203)-LOOKUP('Données projet'!$E$9,$A$3:$A$203,$H$3:$H$203))</f>
        <v>289.42065570013369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8">
        <f>AL3+(AD3+AE3)*44/12</f>
        <v>220</v>
      </c>
      <c r="AN3" s="58">
        <f ca="1">AVERAGE(OFFSET($AM$3,0,0,'Données projet'!$E$10+1,1))-AVERAGE(OFFSET($H$3,0,0,'Données projet'!$E$10+1,1))</f>
        <v>447.44638185108147</v>
      </c>
      <c r="AO3" s="58">
        <f>IF('Données projet'!E10&gt;30,$AM$33-$H$33,LOOKUP('Données projet'!$E$10,$A$3:$A$203,AM3:AM203)-LOOKUP('Données projet'!$E$10,$A$3:$A$203,$H$3:$H$203))</f>
        <v>384.84260115068605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8">
        <f>BG3+(AY3+AZ3)*44/12</f>
        <v>220</v>
      </c>
      <c r="BI3" s="58">
        <f ca="1">AVERAGE(OFFSET($BH$3,0,0,'Données projet'!$E$11+1,1))-AVERAGE(OFFSET($H$3,0,0,'Données projet'!$E$11+1,1))</f>
        <v>724.99760740673071</v>
      </c>
      <c r="BJ3" s="58">
        <f>IF('Données projet'!E11&gt;30,$BH$33-$H$33,LOOKUP('Données projet'!$E$11,$A$3:$A$203,BH3:BH203)-LOOKUP('Données projet'!$E$11,$A$3:$A$203,$H$3:$H$203))</f>
        <v>318.24184272438208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8">
        <f>CB3+(BT3+BU3)*44/12</f>
        <v>220</v>
      </c>
      <c r="CD3" s="58">
        <f ca="1">AVERAGE(OFFSET($CC$3,0,0,'Données projet'!$E$12+1,1))-AVERAGE(OFFSET($H$3,0,0,'Données projet'!$E$12+1,1))</f>
        <v>684.45757350513315</v>
      </c>
      <c r="CE3" s="58">
        <f>IF('Données projet'!E12&gt;30,$CC$33-$H$33,LOOKUP('Données projet'!$E$12,$A$3:$A$203,CC3:CC203)-LOOKUP('Données projet'!$E$12,$A$3:$A$203,$H$3:$H$203))</f>
        <v>301.78148341369194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8" t="e">
        <f>CW3+(CO3+CP3)*44/12</f>
        <v>#N/A</v>
      </c>
      <c r="CY3" s="58" t="e">
        <f ca="1">AVERAGE(OFFSET($CX$3,0,0,'Données projet'!$E$13+1,1))-AVERAGE(OFFSET($H$3,0,0,'Données projet'!$E$13+1,1))</f>
        <v>#N/A</v>
      </c>
      <c r="CZ3" s="58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8" t="e">
        <f>DR3+(DJ3+DK3)*44/12</f>
        <v>#N/A</v>
      </c>
      <c r="DT3" s="58" t="e">
        <f ca="1">AVERAGE(OFFSET($DS$3,0,0,'Données projet'!$E$14+1,1))-AVERAGE(OFFSET($H$3,0,0,'Données projet'!$E$14+1,1))</f>
        <v>#N/A</v>
      </c>
      <c r="DU3" s="58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8" t="e">
        <f>EM3+(EE3+EF3)*44/12</f>
        <v>#N/A</v>
      </c>
      <c r="EO3" s="58" t="e">
        <f ca="1">AVERAGE(OFFSET($EN$3,0,0,'Données projet'!$E$15+1,1))-AVERAGE(OFFSET($H$3,0,0,'Données projet'!$E$15+1,1))</f>
        <v>#N/A</v>
      </c>
      <c r="EP3" s="58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8" t="e">
        <f>FH3+(EZ3+FA3)*44/12</f>
        <v>#N/A</v>
      </c>
      <c r="FJ3" s="58" t="e">
        <f ca="1">AVERAGE(OFFSET($FI$3,0,0,'Données projet'!$E$16+1,1))-AVERAGE(OFFSET($H$3,0,0,'Données projet'!$E$16+1,1))</f>
        <v>#N/A</v>
      </c>
      <c r="FK3" s="58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8" t="e">
        <f>GC3+(FU3+FV3)*44/12</f>
        <v>#N/A</v>
      </c>
      <c r="GE3" s="58" t="e">
        <f ca="1">AVERAGE(OFFSET($GD$3,0,0,'Données projet'!$E$17+1,1))-AVERAGE(OFFSET($H$3,0,0,'Données projet'!$E$17+1,1))</f>
        <v>#N/A</v>
      </c>
      <c r="GF3" s="58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8" t="e">
        <f>GX3+(GP3+GQ3)*44/12</f>
        <v>#N/A</v>
      </c>
      <c r="GZ3" s="58" t="e">
        <f ca="1">AVERAGE(OFFSET($GY$3,0,0,'Données projet'!$E$18+1,1))-AVERAGE(OFFSET($H$3,0,0,'Données projet'!$E$18+1,1))</f>
        <v>#N/A</v>
      </c>
      <c r="HA3" s="58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2">
        <f>'Scénario référence'!$B$16*5+'Scénario référence'!$B$17*0+'Scénario référence'!$B$18*5</f>
        <v>2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7.333333333333333</v>
      </c>
      <c r="H4" s="66">
        <f t="shared" ref="H4:H67" si="1">(B4+E4+F4)*44/12+(C4+D4)*0.475*44/12</f>
        <v>227.33333333333334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4.0942857142857143</v>
      </c>
      <c r="N4" s="13">
        <f>IF('Données projet'!$A$36&gt;35,N3+M4-V3,IF(A4&lt;'Données projet'!$A$36,$K$205^A4,IF(A4='Données projet'!$A$36,'Données projet'!$B$36,N3+M4-V3)))</f>
        <v>4.0942857142857143</v>
      </c>
      <c r="O4" s="13">
        <f>N4*VLOOKUP('Données projet'!$B$9,Paramètres!$A$1:$I$89,3,0)*VLOOKUP('Données projet'!$B$9,Paramètres!$A$1:$I$89,5,0)</f>
        <v>3.704509714285714</v>
      </c>
      <c r="P4" s="13">
        <f>EXP(-1.0587+0.8836*LN(O4)+0.284)</f>
        <v>1.4658264193249637</v>
      </c>
      <c r="Q4" s="20">
        <f t="shared" ref="Q4:Q34" si="2">(O4+P4)*0.475*44/12</f>
        <v>9.0050020993719304</v>
      </c>
      <c r="R4" s="58">
        <f t="shared" si="0"/>
        <v>230.86330901387481</v>
      </c>
      <c r="S4" s="58">
        <f ca="1">AVERAGE(OFFSET($R$3,0,0,'Données projet'!$E$9+1,1))-AVERAGE(OFFSET($H$3,0,0,'Données projet'!$E$9+1,1))</f>
        <v>654.0179680178212</v>
      </c>
      <c r="T4" s="58">
        <f>$T$3</f>
        <v>289.42065570013369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6.7468421052631582</v>
      </c>
      <c r="AI4" s="13">
        <f>IF('Données projet'!$A$62&gt;35,AI3+AH4-AQ3,IF(A4&lt;'Données projet'!$A$62,$AF$205^A4,IF(A4='Données projet'!$A$62,'Données projet'!$B$62,AI3+AH4-AQ3)))</f>
        <v>1.2910399817270899</v>
      </c>
      <c r="AJ4" s="13">
        <f>AI4*VLOOKUP('Données projet'!$B$10,Paramètres!$A$1:$I$89,3,0)*VLOOKUP('Données projet'!$B$10,Paramètres!$A$1:$I$89,5,0)</f>
        <v>0.7720419090727999</v>
      </c>
      <c r="AK4" s="13">
        <f>EXP(-1.0587+0.8836*LN(AJ4)+0.284)</f>
        <v>0.36666676159158651</v>
      </c>
      <c r="AL4" s="20">
        <f t="shared" ref="AL4:AL67" si="4">(AJ4+AK4)*0.475*44/12</f>
        <v>1.9832509347404734</v>
      </c>
      <c r="AM4" s="58">
        <f t="shared" ref="AM4:AM67" si="5">AL4+(AD4+AE4)*44/12</f>
        <v>223.84155784924337</v>
      </c>
      <c r="AN4" s="58">
        <f ca="1">AVERAGE(OFFSET($AM$3,0,0,'Données projet'!$E$10+1,1))-AVERAGE(OFFSET($H$3,0,0,'Données projet'!$E$10+1,1))</f>
        <v>447.44638185108147</v>
      </c>
      <c r="AO4" s="58">
        <f>$AO$3</f>
        <v>384.84260115068605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4.151605714285715</v>
      </c>
      <c r="BF4" s="13">
        <f>EXP(-1.0587+0.8836*LN(BE4)+0.284)</f>
        <v>1.6210925568488095</v>
      </c>
      <c r="BG4" s="20">
        <f t="shared" ref="BG4:BG67" si="7">(BE4+BF4)*0.475*44/12</f>
        <v>10.054116155559297</v>
      </c>
      <c r="BH4" s="58">
        <f t="shared" ref="BH4:BH67" si="8">BG4+(AY4+AZ4)*44/12</f>
        <v>231.91242307006218</v>
      </c>
      <c r="BI4" s="58">
        <f ca="1">AVERAGE(OFFSET($BH$3,0,0,'Données projet'!$E$11+1,1))-AVERAGE(OFFSET($H$3,0,0,'Données projet'!$E$11+1,1))</f>
        <v>724.99760740673071</v>
      </c>
      <c r="BJ4" s="58">
        <f>$BJ$3</f>
        <v>318.24184272438208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4.0942857142857143</v>
      </c>
      <c r="BY4" s="12">
        <f>IF('Données projet'!$A$114&gt;35,BY3+BX4-CG3,IF(A4&lt;'Données projet'!$A$114,$BV$205^A4,IF(A4='Données projet'!$A$114,'Données projet'!$B$114,BY3+BX4-CG3)))</f>
        <v>4.0942857142857143</v>
      </c>
      <c r="BZ4" s="13">
        <f>BY4*VLOOKUP('Données projet'!$B$12,Paramètres!$A$1:$I$89,3,0)*VLOOKUP('Données projet'!$B$12,Paramètres!$A$1:$I$89,5,0)</f>
        <v>3.8961222857142861</v>
      </c>
      <c r="CA4" s="13">
        <f>EXP(-1.0587+0.8836*LN(BZ4)+0.284)</f>
        <v>1.5326218471913844</v>
      </c>
      <c r="CB4" s="20">
        <f t="shared" ref="CB4:CB67" si="10">(BZ4+CA4)*0.475*44/12</f>
        <v>9.455062698144042</v>
      </c>
      <c r="CC4" s="58">
        <f t="shared" ref="CC4:CC67" si="11">CB4+(BT4+BU4)*44/12</f>
        <v>231.31336961264694</v>
      </c>
      <c r="CD4" s="58">
        <f ca="1">AVERAGE(OFFSET($CC$3,0,0,'Données projet'!$E$12+1,1))-AVERAGE(OFFSET($H$3,0,0,'Données projet'!$E$12+1,1))</f>
        <v>684.45757350513315</v>
      </c>
      <c r="CE4" s="58">
        <f>$CE$3</f>
        <v>301.78148341369194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8" t="e">
        <f t="shared" ref="CX4:CX67" si="14">CW4+(CO4+CP4)*44/12</f>
        <v>#N/A</v>
      </c>
      <c r="CY4" s="58" t="e">
        <f ca="1">AVERAGE(OFFSET($CX$3,0,0,'Données projet'!$E$13+1,1))-AVERAGE(OFFSET($H$3,0,0,'Données projet'!$E$13+1,1))</f>
        <v>#N/A</v>
      </c>
      <c r="CZ4" s="58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8" t="e">
        <f t="shared" ref="DS4:DS67" si="17">DR4+(DJ4+DK4)*44/12</f>
        <v>#N/A</v>
      </c>
      <c r="DT4" s="58" t="e">
        <f ca="1">AVERAGE(OFFSET($DS$3,0,0,'Données projet'!$E$14+1,1))-AVERAGE(OFFSET($H$3,0,0,'Données projet'!$E$14+1,1))</f>
        <v>#N/A</v>
      </c>
      <c r="DU4" s="58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8" t="e">
        <f t="shared" ref="EN4:EN67" si="20">EM4+(EE4+EF4)*44/12</f>
        <v>#N/A</v>
      </c>
      <c r="EO4" s="58" t="e">
        <f ca="1">AVERAGE(OFFSET($EN$3,0,0,'Données projet'!$E$15+1,1))-AVERAGE(OFFSET($H$3,0,0,'Données projet'!$E$15+1,1))</f>
        <v>#N/A</v>
      </c>
      <c r="EP4" s="58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8" t="e">
        <f t="shared" ref="FI4:FI67" si="23">FH4+(EZ4+FA4)*44/12</f>
        <v>#N/A</v>
      </c>
      <c r="FJ4" s="58" t="e">
        <f ca="1">AVERAGE(OFFSET($FI$3,0,0,'Données projet'!$E$16+1,1))-AVERAGE(OFFSET($H$3,0,0,'Données projet'!$E$16+1,1))</f>
        <v>#N/A</v>
      </c>
      <c r="FK4" s="58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8" t="e">
        <f t="shared" ref="GD4:GD67" si="26">GC4+(FU4+FV4)*44/12</f>
        <v>#N/A</v>
      </c>
      <c r="GE4" s="58" t="e">
        <f ca="1">AVERAGE(OFFSET($GD$3,0,0,'Données projet'!$E$17+1,1))-AVERAGE(OFFSET($H$3,0,0,'Données projet'!$E$17+1,1))</f>
        <v>#N/A</v>
      </c>
      <c r="GF4" s="58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60.173477643349273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8" t="e">
        <f t="shared" ref="GY4:GY67" si="29">GX4+(GP4+GQ4)*44/12</f>
        <v>#N/A</v>
      </c>
      <c r="GZ4" s="58" t="e">
        <f ca="1">AVERAGE(OFFSET($GY$3,0,0,'Données projet'!$E$18+1,1))-AVERAGE(OFFSET($H$3,0,0,'Données projet'!$E$18+1,1))</f>
        <v>#N/A</v>
      </c>
      <c r="HA4" s="58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2">
        <f>'Scénario référence'!$B$16*5+'Scénario référence'!$B$17*0+'Scénario référence'!$B$18*5</f>
        <v>2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7.333333333333333</v>
      </c>
      <c r="H5" s="66">
        <f t="shared" si="1"/>
        <v>227.33333333333334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4.0942857142857143</v>
      </c>
      <c r="N5" s="13">
        <f>IF('Données projet'!$A$36&gt;35,N4+M5-V4,IF(A5&lt;'Données projet'!$A$36,$K$205^A5,IF(A5='Données projet'!$A$36,'Données projet'!$B$36,N4+M5-V4)))</f>
        <v>8.1885714285714286</v>
      </c>
      <c r="O5" s="13">
        <f>N5*VLOOKUP('Données projet'!$B$9,Paramètres!$A$1:$I$89,3,0)*VLOOKUP('Données projet'!$B$9,Paramètres!$A$1:$I$89,5,0)</f>
        <v>7.4090194285714279</v>
      </c>
      <c r="P5" s="13">
        <f t="shared" ref="P5:P68" si="33">EXP(-1.0587+0.8836*LN(O5)+0.284)</f>
        <v>2.7044107221075859</v>
      </c>
      <c r="Q5" s="20">
        <f t="shared" si="2"/>
        <v>17.614224179099281</v>
      </c>
      <c r="R5" s="58">
        <f t="shared" si="0"/>
        <v>241.31980336076629</v>
      </c>
      <c r="S5" s="58">
        <f ca="1">AVERAGE(OFFSET($R$3,0,0,'Données projet'!$E$9+1,1))-AVERAGE(OFFSET($H$3,0,0,'Données projet'!$E$9+1,1))</f>
        <v>654.0179680178212</v>
      </c>
      <c r="T5" s="58">
        <f t="shared" ref="T5:T68" si="34">$T$3</f>
        <v>289.42065570013369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6.7468421052631582</v>
      </c>
      <c r="AI5" s="13">
        <f>IF('Données projet'!$A$62&gt;35,AI4+AH5-AQ4,IF(A5&lt;'Données projet'!$A$62,$AF$205^A5,IF(A5='Données projet'!$A$62,'Données projet'!$B$62,AI4+AH5-AQ4)))</f>
        <v>1.6667842344178847</v>
      </c>
      <c r="AJ5" s="13">
        <f>AI5*VLOOKUP('Données projet'!$B$10,Paramètres!$A$1:$I$89,3,0)*VLOOKUP('Données projet'!$B$10,Paramètres!$A$1:$I$89,5,0)</f>
        <v>0.99673697218189516</v>
      </c>
      <c r="AK5" s="13">
        <f t="shared" ref="AK5:AK68" si="35">EXP(-1.0587+0.8836*LN(AJ5)+0.284)</f>
        <v>0.45951305529217296</v>
      </c>
      <c r="AL5" s="20">
        <f t="shared" si="4"/>
        <v>2.5363021311840019</v>
      </c>
      <c r="AM5" s="58">
        <f t="shared" si="5"/>
        <v>226.24188131285101</v>
      </c>
      <c r="AN5" s="58">
        <f ca="1">AVERAGE(OFFSET($AM$3,0,0,'Données projet'!$E$10+1,1))-AVERAGE(OFFSET($H$3,0,0,'Données projet'!$E$10+1,1))</f>
        <v>447.44638185108147</v>
      </c>
      <c r="AO5" s="58">
        <f t="shared" ref="AO5:AO68" si="36">$AO$3</f>
        <v>384.84260115068605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8.30321142857143</v>
      </c>
      <c r="BF5" s="13">
        <f t="shared" ref="BF5:BF68" si="37">EXP(-1.0587+0.8836*LN(BE5)+0.284)</f>
        <v>2.9908726125223399</v>
      </c>
      <c r="BG5" s="20">
        <f t="shared" si="7"/>
        <v>19.670529704904983</v>
      </c>
      <c r="BH5" s="58">
        <f t="shared" si="8"/>
        <v>243.37610888657198</v>
      </c>
      <c r="BI5" s="58">
        <f ca="1">AVERAGE(OFFSET($BH$3,0,0,'Données projet'!$E$11+1,1))-AVERAGE(OFFSET($H$3,0,0,'Données projet'!$E$11+1,1))</f>
        <v>724.99760740673071</v>
      </c>
      <c r="BJ5" s="58">
        <f t="shared" ref="BJ5:BJ68" si="38">$BJ$3</f>
        <v>318.24184272438208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4.0942857142857143</v>
      </c>
      <c r="BY5" s="12">
        <f>IF('Données projet'!$A$114&gt;35,BY4+BX5-CG4,IF(A5&lt;'Données projet'!$A$114,$BV$205^A5,IF(A5='Données projet'!$A$114,'Données projet'!$B$114,BY4+BX5-CG4)))</f>
        <v>8.1885714285714286</v>
      </c>
      <c r="BZ5" s="13">
        <f>BY5*VLOOKUP('Données projet'!$B$12,Paramètres!$A$1:$I$89,3,0)*VLOOKUP('Données projet'!$B$12,Paramètres!$A$1:$I$89,5,0)</f>
        <v>7.7922445714285722</v>
      </c>
      <c r="CA5" s="13">
        <f t="shared" ref="CA5:CA68" si="39">EXP(-1.0587+0.8836*LN(BZ5)+0.284)</f>
        <v>2.8276465083699871</v>
      </c>
      <c r="CB5" s="20">
        <f t="shared" si="10"/>
        <v>18.496310297315823</v>
      </c>
      <c r="CC5" s="58">
        <f t="shared" si="11"/>
        <v>242.20188947898282</v>
      </c>
      <c r="CD5" s="58">
        <f ca="1">AVERAGE(OFFSET($CC$3,0,0,'Données projet'!$E$12+1,1))-AVERAGE(OFFSET($H$3,0,0,'Données projet'!$E$12+1,1))</f>
        <v>684.45757350513315</v>
      </c>
      <c r="CE5" s="58">
        <f t="shared" ref="CE5:CE68" si="40">$CE$3</f>
        <v>301.78148341369194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8" t="e">
        <f t="shared" si="14"/>
        <v>#N/A</v>
      </c>
      <c r="CY5" s="58" t="e">
        <f ca="1">AVERAGE(OFFSET($CX$3,0,0,'Données projet'!$E$13+1,1))-AVERAGE(OFFSET($H$3,0,0,'Données projet'!$E$13+1,1))</f>
        <v>#N/A</v>
      </c>
      <c r="CZ5" s="58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8" t="e">
        <f t="shared" si="17"/>
        <v>#N/A</v>
      </c>
      <c r="DT5" s="58" t="e">
        <f ca="1">AVERAGE(OFFSET($DS$3,0,0,'Données projet'!$E$14+1,1))-AVERAGE(OFFSET($H$3,0,0,'Données projet'!$E$14+1,1))</f>
        <v>#N/A</v>
      </c>
      <c r="DU5" s="58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8" t="e">
        <f t="shared" si="20"/>
        <v>#N/A</v>
      </c>
      <c r="EO5" s="58" t="e">
        <f ca="1">AVERAGE(OFFSET($EN$3,0,0,'Données projet'!$E$15+1,1))-AVERAGE(OFFSET($H$3,0,0,'Données projet'!$E$15+1,1))</f>
        <v>#N/A</v>
      </c>
      <c r="EP5" s="58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8" t="e">
        <f t="shared" si="23"/>
        <v>#N/A</v>
      </c>
      <c r="FJ5" s="58" t="e">
        <f ca="1">AVERAGE(OFFSET($FI$3,0,0,'Données projet'!$E$16+1,1))-AVERAGE(OFFSET($H$3,0,0,'Données projet'!$E$16+1,1))</f>
        <v>#N/A</v>
      </c>
      <c r="FK5" s="58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8" t="e">
        <f t="shared" si="26"/>
        <v>#N/A</v>
      </c>
      <c r="GE5" s="58" t="e">
        <f ca="1">AVERAGE(OFFSET($GD$3,0,0,'Données projet'!$E$17+1,1))-AVERAGE(OFFSET($H$3,0,0,'Données projet'!$E$17+1,1))</f>
        <v>#N/A</v>
      </c>
      <c r="GF5" s="58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60.343945837424336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8" t="e">
        <f t="shared" si="29"/>
        <v>#N/A</v>
      </c>
      <c r="GZ5" s="58" t="e">
        <f ca="1">AVERAGE(OFFSET($GY$3,0,0,'Données projet'!$E$18+1,1))-AVERAGE(OFFSET($H$3,0,0,'Données projet'!$E$18+1,1))</f>
        <v>#N/A</v>
      </c>
      <c r="HA5" s="58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2">
        <f>'Scénario référence'!$B$16*5+'Scénario référence'!$B$17*0+'Scénario référence'!$B$18*5</f>
        <v>2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7.333333333333333</v>
      </c>
      <c r="H6" s="66">
        <f t="shared" si="1"/>
        <v>227.33333333333334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4.0942857142857143</v>
      </c>
      <c r="N6" s="13">
        <f>IF('Données projet'!$A$36&gt;35,N5+M6-V5,IF(A6&lt;'Données projet'!$A$36,$K$205^A6,IF(A6='Données projet'!$A$36,'Données projet'!$B$36,N5+M6-V5)))</f>
        <v>12.282857142857143</v>
      </c>
      <c r="O6" s="13">
        <f>N6*VLOOKUP('Données projet'!$B$9,Paramètres!$A$1:$I$89,3,0)*VLOOKUP('Données projet'!$B$9,Paramètres!$A$1:$I$89,5,0)</f>
        <v>11.113529142857143</v>
      </c>
      <c r="P6" s="13">
        <f t="shared" si="33"/>
        <v>3.8696072280877138</v>
      </c>
      <c r="Q6" s="20">
        <f t="shared" si="2"/>
        <v>26.095629179395626</v>
      </c>
      <c r="R6" s="58">
        <f t="shared" si="0"/>
        <v>251.63763740734959</v>
      </c>
      <c r="S6" s="58">
        <f ca="1">AVERAGE(OFFSET($R$3,0,0,'Données projet'!$E$9+1,1))-AVERAGE(OFFSET($H$3,0,0,'Données projet'!$E$9+1,1))</f>
        <v>654.0179680178212</v>
      </c>
      <c r="T6" s="58">
        <f t="shared" si="34"/>
        <v>289.42065570013369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6.7468421052631582</v>
      </c>
      <c r="AI6" s="13">
        <f>IF('Données projet'!$A$62&gt;35,AI5+AH6-AQ5,IF(A6&lt;'Données projet'!$A$62,$AF$205^A6,IF(A6='Données projet'!$A$62,'Données projet'!$B$62,AI5+AH6-AQ5)))</f>
        <v>2.1518850875458675</v>
      </c>
      <c r="AJ6" s="13">
        <f>AI6*VLOOKUP('Données projet'!$B$10,Paramètres!$A$1:$I$89,3,0)*VLOOKUP('Données projet'!$B$10,Paramètres!$A$1:$I$89,5,0)</f>
        <v>1.2868272823524289</v>
      </c>
      <c r="AK6" s="13">
        <f t="shared" si="35"/>
        <v>0.57586961814428261</v>
      </c>
      <c r="AL6" s="20">
        <f t="shared" si="4"/>
        <v>3.2441971016984392</v>
      </c>
      <c r="AM6" s="58">
        <f t="shared" si="5"/>
        <v>228.7862053296524</v>
      </c>
      <c r="AN6" s="58">
        <f ca="1">AVERAGE(OFFSET($AM$3,0,0,'Données projet'!$E$10+1,1))-AVERAGE(OFFSET($H$3,0,0,'Données projet'!$E$10+1,1))</f>
        <v>447.44638185108147</v>
      </c>
      <c r="AO6" s="58">
        <f t="shared" si="36"/>
        <v>384.84260115068605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12.454817142857145</v>
      </c>
      <c r="BF6" s="13">
        <f t="shared" si="37"/>
        <v>4.279491345414665</v>
      </c>
      <c r="BG6" s="20">
        <f t="shared" si="7"/>
        <v>29.145587283740067</v>
      </c>
      <c r="BH6" s="58">
        <f t="shared" si="8"/>
        <v>254.68759551169404</v>
      </c>
      <c r="BI6" s="58">
        <f ca="1">AVERAGE(OFFSET($BH$3,0,0,'Données projet'!$E$11+1,1))-AVERAGE(OFFSET($H$3,0,0,'Données projet'!$E$11+1,1))</f>
        <v>724.99760740673071</v>
      </c>
      <c r="BJ6" s="58">
        <f t="shared" si="38"/>
        <v>318.24184272438208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4.0942857142857143</v>
      </c>
      <c r="BY6" s="12">
        <f>IF('Données projet'!$A$114&gt;35,BY5+BX6-CG5,IF(A6&lt;'Données projet'!$A$114,$BV$205^A6,IF(A6='Données projet'!$A$114,'Données projet'!$B$114,BY5+BX6-CG5)))</f>
        <v>12.282857142857143</v>
      </c>
      <c r="BZ6" s="13">
        <f>BY6*VLOOKUP('Données projet'!$B$12,Paramètres!$A$1:$I$89,3,0)*VLOOKUP('Données projet'!$B$12,Paramètres!$A$1:$I$89,5,0)</f>
        <v>11.688366857142858</v>
      </c>
      <c r="CA6" s="13">
        <f t="shared" si="39"/>
        <v>4.0459392050991161</v>
      </c>
      <c r="CB6" s="20">
        <f t="shared" si="10"/>
        <v>27.403916391738104</v>
      </c>
      <c r="CC6" s="58">
        <f t="shared" si="11"/>
        <v>252.94592461969208</v>
      </c>
      <c r="CD6" s="58">
        <f ca="1">AVERAGE(OFFSET($CC$3,0,0,'Données projet'!$E$12+1,1))-AVERAGE(OFFSET($H$3,0,0,'Données projet'!$E$12+1,1))</f>
        <v>684.45757350513315</v>
      </c>
      <c r="CE6" s="58">
        <f t="shared" si="40"/>
        <v>301.78148341369194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8" t="e">
        <f t="shared" si="14"/>
        <v>#N/A</v>
      </c>
      <c r="CY6" s="58" t="e">
        <f ca="1">AVERAGE(OFFSET($CX$3,0,0,'Données projet'!$E$13+1,1))-AVERAGE(OFFSET($H$3,0,0,'Données projet'!$E$13+1,1))</f>
        <v>#N/A</v>
      </c>
      <c r="CZ6" s="58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8" t="e">
        <f t="shared" si="17"/>
        <v>#N/A</v>
      </c>
      <c r="DT6" s="58" t="e">
        <f ca="1">AVERAGE(OFFSET($DS$3,0,0,'Données projet'!$E$14+1,1))-AVERAGE(OFFSET($H$3,0,0,'Données projet'!$E$14+1,1))</f>
        <v>#N/A</v>
      </c>
      <c r="DU6" s="58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8" t="e">
        <f t="shared" si="20"/>
        <v>#N/A</v>
      </c>
      <c r="EO6" s="58" t="e">
        <f ca="1">AVERAGE(OFFSET($EN$3,0,0,'Données projet'!$E$15+1,1))-AVERAGE(OFFSET($H$3,0,0,'Données projet'!$E$15+1,1))</f>
        <v>#N/A</v>
      </c>
      <c r="EP6" s="58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8" t="e">
        <f t="shared" si="23"/>
        <v>#N/A</v>
      </c>
      <c r="FJ6" s="58" t="e">
        <f ca="1">AVERAGE(OFFSET($FI$3,0,0,'Données projet'!$E$16+1,1))-AVERAGE(OFFSET($H$3,0,0,'Données projet'!$E$16+1,1))</f>
        <v>#N/A</v>
      </c>
      <c r="FK6" s="58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8" t="e">
        <f t="shared" si="26"/>
        <v>#N/A</v>
      </c>
      <c r="GE6" s="58" t="e">
        <f ca="1">AVERAGE(OFFSET($GD$3,0,0,'Données projet'!$E$17+1,1))-AVERAGE(OFFSET($H$3,0,0,'Données projet'!$E$17+1,1))</f>
        <v>#N/A</v>
      </c>
      <c r="GF6" s="58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60.511456789441993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8" t="e">
        <f t="shared" si="29"/>
        <v>#N/A</v>
      </c>
      <c r="GZ6" s="58" t="e">
        <f ca="1">AVERAGE(OFFSET($GY$3,0,0,'Données projet'!$E$18+1,1))-AVERAGE(OFFSET($H$3,0,0,'Données projet'!$E$18+1,1))</f>
        <v>#N/A</v>
      </c>
      <c r="HA6" s="58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2">
        <f>'Scénario référence'!$B$16*5+'Scénario référence'!$B$17*0+'Scénario référence'!$B$18*5</f>
        <v>2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7.333333333333333</v>
      </c>
      <c r="H7" s="66">
        <f t="shared" si="1"/>
        <v>227.33333333333334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4.0942857142857143</v>
      </c>
      <c r="N7" s="13">
        <f>IF('Données projet'!$A$36&gt;35,N6+M7-V6,IF(A7&lt;'Données projet'!$A$36,$K$205^A7,IF(A7='Données projet'!$A$36,'Données projet'!$B$36,N6+M7-V6)))</f>
        <v>16.377142857142857</v>
      </c>
      <c r="O7" s="13">
        <f>N7*VLOOKUP('Données projet'!$B$9,Paramètres!$A$1:$I$89,3,0)*VLOOKUP('Données projet'!$B$9,Paramètres!$A$1:$I$89,5,0)</f>
        <v>14.818038857142856</v>
      </c>
      <c r="P7" s="13">
        <f t="shared" si="33"/>
        <v>4.9895657885731195</v>
      </c>
      <c r="Q7" s="20">
        <f t="shared" si="2"/>
        <v>34.49824475795532</v>
      </c>
      <c r="R7" s="58">
        <f t="shared" si="0"/>
        <v>261.86602691695941</v>
      </c>
      <c r="S7" s="58">
        <f ca="1">AVERAGE(OFFSET($R$3,0,0,'Données projet'!$E$9+1,1))-AVERAGE(OFFSET($H$3,0,0,'Données projet'!$E$9+1,1))</f>
        <v>654.0179680178212</v>
      </c>
      <c r="T7" s="58">
        <f t="shared" si="34"/>
        <v>289.42065570013369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6.7468421052631582</v>
      </c>
      <c r="AI7" s="13">
        <f>IF('Données projet'!$A$62&gt;35,AI6+AH7-AQ6,IF(A7&lt;'Données projet'!$A$62,$AF$205^A7,IF(A7='Données projet'!$A$62,'Données projet'!$B$62,AI6+AH7-AQ6)))</f>
        <v>2.778169684104014</v>
      </c>
      <c r="AJ7" s="13">
        <f>AI7*VLOOKUP('Données projet'!$B$10,Paramètres!$A$1:$I$89,3,0)*VLOOKUP('Données projet'!$B$10,Paramètres!$A$1:$I$89,5,0)</f>
        <v>1.6613454710942004</v>
      </c>
      <c r="AK7" s="13">
        <f t="shared" si="35"/>
        <v>0.7216896523011378</v>
      </c>
      <c r="AL7" s="20">
        <f t="shared" si="4"/>
        <v>4.1504528399135472</v>
      </c>
      <c r="AM7" s="58">
        <f t="shared" si="5"/>
        <v>231.51823499891768</v>
      </c>
      <c r="AN7" s="58">
        <f ca="1">AVERAGE(OFFSET($AM$3,0,0,'Données projet'!$E$10+1,1))-AVERAGE(OFFSET($H$3,0,0,'Données projet'!$E$10+1,1))</f>
        <v>447.44638185108147</v>
      </c>
      <c r="AO7" s="58">
        <f t="shared" si="36"/>
        <v>384.84260115068605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16.60642285714286</v>
      </c>
      <c r="BF7" s="13">
        <f t="shared" si="37"/>
        <v>5.5180803505289857</v>
      </c>
      <c r="BG7" s="20">
        <f t="shared" si="7"/>
        <v>38.533509753361791</v>
      </c>
      <c r="BH7" s="58">
        <f t="shared" si="8"/>
        <v>265.90129191236593</v>
      </c>
      <c r="BI7" s="58">
        <f ca="1">AVERAGE(OFFSET($BH$3,0,0,'Données projet'!$E$11+1,1))-AVERAGE(OFFSET($H$3,0,0,'Données projet'!$E$11+1,1))</f>
        <v>724.99760740673071</v>
      </c>
      <c r="BJ7" s="58">
        <f t="shared" si="38"/>
        <v>318.24184272438208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4.0942857142857143</v>
      </c>
      <c r="BY7" s="12">
        <f>IF('Données projet'!$A$114&gt;35,BY6+BX7-CG6,IF(A7&lt;'Données projet'!$A$114,$BV$205^A7,IF(A7='Données projet'!$A$114,'Données projet'!$B$114,BY6+BX7-CG6)))</f>
        <v>16.377142857142857</v>
      </c>
      <c r="BZ7" s="13">
        <f>BY7*VLOOKUP('Données projet'!$B$12,Paramètres!$A$1:$I$89,3,0)*VLOOKUP('Données projet'!$B$12,Paramètres!$A$1:$I$89,5,0)</f>
        <v>15.584489142857144</v>
      </c>
      <c r="CA7" s="13">
        <f t="shared" si="39"/>
        <v>5.2169325335857213</v>
      </c>
      <c r="CB7" s="20">
        <f t="shared" si="10"/>
        <v>36.229142753137985</v>
      </c>
      <c r="CC7" s="58">
        <f t="shared" si="11"/>
        <v>263.59692491214213</v>
      </c>
      <c r="CD7" s="58">
        <f ca="1">AVERAGE(OFFSET($CC$3,0,0,'Données projet'!$E$12+1,1))-AVERAGE(OFFSET($H$3,0,0,'Données projet'!$E$12+1,1))</f>
        <v>684.45757350513315</v>
      </c>
      <c r="CE7" s="58">
        <f t="shared" si="40"/>
        <v>301.78148341369194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8" t="e">
        <f t="shared" si="14"/>
        <v>#N/A</v>
      </c>
      <c r="CY7" s="58" t="e">
        <f ca="1">AVERAGE(OFFSET($CX$3,0,0,'Données projet'!$E$13+1,1))-AVERAGE(OFFSET($H$3,0,0,'Données projet'!$E$13+1,1))</f>
        <v>#N/A</v>
      </c>
      <c r="CZ7" s="58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8" t="e">
        <f t="shared" si="17"/>
        <v>#N/A</v>
      </c>
      <c r="DT7" s="58" t="e">
        <f ca="1">AVERAGE(OFFSET($DS$3,0,0,'Données projet'!$E$14+1,1))-AVERAGE(OFFSET($H$3,0,0,'Données projet'!$E$14+1,1))</f>
        <v>#N/A</v>
      </c>
      <c r="DU7" s="58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8" t="e">
        <f t="shared" si="20"/>
        <v>#N/A</v>
      </c>
      <c r="EO7" s="58" t="e">
        <f ca="1">AVERAGE(OFFSET($EN$3,0,0,'Données projet'!$E$15+1,1))-AVERAGE(OFFSET($H$3,0,0,'Données projet'!$E$15+1,1))</f>
        <v>#N/A</v>
      </c>
      <c r="EP7" s="58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8" t="e">
        <f t="shared" si="23"/>
        <v>#N/A</v>
      </c>
      <c r="FJ7" s="58" t="e">
        <f ca="1">AVERAGE(OFFSET($FI$3,0,0,'Données projet'!$E$16+1,1))-AVERAGE(OFFSET($H$3,0,0,'Données projet'!$E$16+1,1))</f>
        <v>#N/A</v>
      </c>
      <c r="FK7" s="58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8" t="e">
        <f t="shared" si="26"/>
        <v>#N/A</v>
      </c>
      <c r="GE7" s="58" t="e">
        <f ca="1">AVERAGE(OFFSET($GD$3,0,0,'Données projet'!$E$17+1,1))-AVERAGE(OFFSET($H$3,0,0,'Données projet'!$E$17+1,1))</f>
        <v>#N/A</v>
      </c>
      <c r="GF7" s="58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60.676061800940516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8" t="e">
        <f t="shared" si="29"/>
        <v>#N/A</v>
      </c>
      <c r="GZ7" s="58" t="e">
        <f ca="1">AVERAGE(OFFSET($GY$3,0,0,'Données projet'!$E$18+1,1))-AVERAGE(OFFSET($H$3,0,0,'Données projet'!$E$18+1,1))</f>
        <v>#N/A</v>
      </c>
      <c r="HA7" s="58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2">
        <f>'Scénario référence'!$B$16*5+'Scénario référence'!$B$17*0+'Scénario référence'!$B$18*5</f>
        <v>2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7.333333333333333</v>
      </c>
      <c r="H8" s="66">
        <f t="shared" si="1"/>
        <v>227.33333333333334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4.0942857142857143</v>
      </c>
      <c r="N8" s="13">
        <f>IF('Données projet'!$A$36&gt;35,N7+M8-V7,IF(A8&lt;'Données projet'!$A$36,$K$205^A8,IF(A8='Données projet'!$A$36,'Données projet'!$B$36,N7+M8-V7)))</f>
        <v>20.471428571428572</v>
      </c>
      <c r="O8" s="13">
        <f>N8*VLOOKUP('Données projet'!$B$9,Paramètres!$A$1:$I$89,3,0)*VLOOKUP('Données projet'!$B$9,Paramètres!$A$1:$I$89,5,0)</f>
        <v>18.522548571428572</v>
      </c>
      <c r="P8" s="13">
        <f t="shared" si="33"/>
        <v>6.0770448389896208</v>
      </c>
      <c r="Q8" s="20">
        <f t="shared" si="2"/>
        <v>42.84429185647835</v>
      </c>
      <c r="R8" s="58">
        <f t="shared" si="0"/>
        <v>272.02737767372395</v>
      </c>
      <c r="S8" s="58">
        <f ca="1">AVERAGE(OFFSET($R$3,0,0,'Données projet'!$E$9+1,1))-AVERAGE(OFFSET($H$3,0,0,'Données projet'!$E$9+1,1))</f>
        <v>654.0179680178212</v>
      </c>
      <c r="T8" s="58">
        <f t="shared" si="34"/>
        <v>289.42065570013369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6.7468421052631582</v>
      </c>
      <c r="AI8" s="13">
        <f>IF('Données projet'!$A$62&gt;35,AI7+AH8-AQ7,IF(A8&lt;'Données projet'!$A$62,$AF$205^A8,IF(A8='Données projet'!$A$62,'Données projet'!$B$62,AI7+AH8-AQ7)))</f>
        <v>3.5867281382004013</v>
      </c>
      <c r="AJ8" s="13">
        <f>AI8*VLOOKUP('Données projet'!$B$10,Paramètres!$A$1:$I$89,3,0)*VLOOKUP('Données projet'!$B$10,Paramètres!$A$1:$I$89,5,0)</f>
        <v>2.1448634266438402</v>
      </c>
      <c r="AK8" s="13">
        <f t="shared" si="35"/>
        <v>0.90443381249545829</v>
      </c>
      <c r="AL8" s="20">
        <f t="shared" si="4"/>
        <v>5.3108593581676118</v>
      </c>
      <c r="AM8" s="58">
        <f t="shared" si="5"/>
        <v>234.49394517541322</v>
      </c>
      <c r="AN8" s="58">
        <f ca="1">AVERAGE(OFFSET($AM$3,0,0,'Données projet'!$E$10+1,1))-AVERAGE(OFFSET($H$3,0,0,'Données projet'!$E$10+1,1))</f>
        <v>447.44638185108147</v>
      </c>
      <c r="AO8" s="58">
        <f t="shared" si="36"/>
        <v>384.84260115068605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20.758028571428575</v>
      </c>
      <c r="BF8" s="13">
        <f t="shared" si="37"/>
        <v>6.7207494872819238</v>
      </c>
      <c r="BG8" s="20">
        <f t="shared" si="7"/>
        <v>47.858871785587461</v>
      </c>
      <c r="BH8" s="58">
        <f t="shared" si="8"/>
        <v>277.04195760283307</v>
      </c>
      <c r="BI8" s="58">
        <f ca="1">AVERAGE(OFFSET($BH$3,0,0,'Données projet'!$E$11+1,1))-AVERAGE(OFFSET($H$3,0,0,'Données projet'!$E$11+1,1))</f>
        <v>724.99760740673071</v>
      </c>
      <c r="BJ8" s="58">
        <f t="shared" si="38"/>
        <v>318.24184272438208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4.0942857142857143</v>
      </c>
      <c r="BY8" s="12">
        <f>IF('Données projet'!$A$114&gt;35,BY7+BX8-CG7,IF(A8&lt;'Données projet'!$A$114,$BV$205^A8,IF(A8='Données projet'!$A$114,'Données projet'!$B$114,BY7+BX8-CG7)))</f>
        <v>20.471428571428572</v>
      </c>
      <c r="BZ8" s="13">
        <f>BY8*VLOOKUP('Données projet'!$B$12,Paramètres!$A$1:$I$89,3,0)*VLOOKUP('Données projet'!$B$12,Paramètres!$A$1:$I$89,5,0)</f>
        <v>19.480611428571429</v>
      </c>
      <c r="CA8" s="13">
        <f t="shared" si="39"/>
        <v>6.3539663112950988</v>
      </c>
      <c r="CB8" s="20">
        <f t="shared" si="10"/>
        <v>44.995222896934202</v>
      </c>
      <c r="CC8" s="58">
        <f t="shared" si="11"/>
        <v>274.17830871417982</v>
      </c>
      <c r="CD8" s="58">
        <f ca="1">AVERAGE(OFFSET($CC$3,0,0,'Données projet'!$E$12+1,1))-AVERAGE(OFFSET($H$3,0,0,'Données projet'!$E$12+1,1))</f>
        <v>684.45757350513315</v>
      </c>
      <c r="CE8" s="58">
        <f t="shared" si="40"/>
        <v>301.78148341369194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8" t="e">
        <f t="shared" si="14"/>
        <v>#N/A</v>
      </c>
      <c r="CY8" s="58" t="e">
        <f ca="1">AVERAGE(OFFSET($CX$3,0,0,'Données projet'!$E$13+1,1))-AVERAGE(OFFSET($H$3,0,0,'Données projet'!$E$13+1,1))</f>
        <v>#N/A</v>
      </c>
      <c r="CZ8" s="58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8" t="e">
        <f t="shared" si="17"/>
        <v>#N/A</v>
      </c>
      <c r="DT8" s="58" t="e">
        <f ca="1">AVERAGE(OFFSET($DS$3,0,0,'Données projet'!$E$14+1,1))-AVERAGE(OFFSET($H$3,0,0,'Données projet'!$E$14+1,1))</f>
        <v>#N/A</v>
      </c>
      <c r="DU8" s="58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8" t="e">
        <f t="shared" si="20"/>
        <v>#N/A</v>
      </c>
      <c r="EO8" s="58" t="e">
        <f ca="1">AVERAGE(OFFSET($EN$3,0,0,'Données projet'!$E$15+1,1))-AVERAGE(OFFSET($H$3,0,0,'Données projet'!$E$15+1,1))</f>
        <v>#N/A</v>
      </c>
      <c r="EP8" s="58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8" t="e">
        <f t="shared" si="23"/>
        <v>#N/A</v>
      </c>
      <c r="FJ8" s="58" t="e">
        <f ca="1">AVERAGE(OFFSET($FI$3,0,0,'Données projet'!$E$16+1,1))-AVERAGE(OFFSET($H$3,0,0,'Données projet'!$E$16+1,1))</f>
        <v>#N/A</v>
      </c>
      <c r="FK8" s="58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8" t="e">
        <f t="shared" si="26"/>
        <v>#N/A</v>
      </c>
      <c r="GE8" s="58" t="e">
        <f ca="1">AVERAGE(OFFSET($GD$3,0,0,'Données projet'!$E$17+1,1))-AVERAGE(OFFSET($H$3,0,0,'Données projet'!$E$17+1,1))</f>
        <v>#N/A</v>
      </c>
      <c r="GF8" s="58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60.837811283491227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8" t="e">
        <f t="shared" si="29"/>
        <v>#N/A</v>
      </c>
      <c r="GZ8" s="58" t="e">
        <f ca="1">AVERAGE(OFFSET($GY$3,0,0,'Données projet'!$E$18+1,1))-AVERAGE(OFFSET($H$3,0,0,'Données projet'!$E$18+1,1))</f>
        <v>#N/A</v>
      </c>
      <c r="HA8" s="58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2">
        <f>'Scénario référence'!$B$16*5+'Scénario référence'!$B$17*0+'Scénario référence'!$B$18*5</f>
        <v>2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7.333333333333333</v>
      </c>
      <c r="H9" s="66">
        <f t="shared" si="1"/>
        <v>227.33333333333334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4.0942857142857143</v>
      </c>
      <c r="N9" s="13">
        <f>IF('Données projet'!$A$36&gt;35,N8+M9-V8,IF(A9&lt;'Données projet'!$A$36,$K$205^A9,IF(A9='Données projet'!$A$36,'Données projet'!$B$36,N8+M9-V8)))</f>
        <v>24.565714285714286</v>
      </c>
      <c r="O9" s="13">
        <f>N9*VLOOKUP('Données projet'!$B$9,Paramètres!$A$1:$I$89,3,0)*VLOOKUP('Données projet'!$B$9,Paramètres!$A$1:$I$89,5,0)</f>
        <v>22.227058285714286</v>
      </c>
      <c r="P9" s="13">
        <f t="shared" si="33"/>
        <v>7.1393223235836674</v>
      </c>
      <c r="Q9" s="20">
        <f t="shared" si="2"/>
        <v>51.146446227860601</v>
      </c>
      <c r="R9" s="58">
        <f t="shared" si="0"/>
        <v>282.13454706636418</v>
      </c>
      <c r="S9" s="58">
        <f ca="1">AVERAGE(OFFSET($R$3,0,0,'Données projet'!$E$9+1,1))-AVERAGE(OFFSET($H$3,0,0,'Données projet'!$E$9+1,1))</f>
        <v>654.0179680178212</v>
      </c>
      <c r="T9" s="58">
        <f t="shared" si="34"/>
        <v>289.42065570013369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6.7468421052631582</v>
      </c>
      <c r="AI9" s="13">
        <f>IF('Données projet'!$A$62&gt;35,AI8+AH9-AQ8,IF(A9&lt;'Données projet'!$A$62,$AF$205^A9,IF(A9='Données projet'!$A$62,'Données projet'!$B$62,AI8+AH9-AQ8)))</f>
        <v>4.630609430002286</v>
      </c>
      <c r="AJ9" s="13">
        <f>AI9*VLOOKUP('Données projet'!$B$10,Paramètres!$A$1:$I$89,3,0)*VLOOKUP('Données projet'!$B$10,Paramètres!$A$1:$I$89,5,0)</f>
        <v>2.7691044391413673</v>
      </c>
      <c r="AK9" s="13">
        <f t="shared" si="35"/>
        <v>1.1334519188086469</v>
      </c>
      <c r="AL9" s="20">
        <f t="shared" si="4"/>
        <v>6.7969523234296076</v>
      </c>
      <c r="AM9" s="58">
        <f t="shared" si="5"/>
        <v>237.78505316193321</v>
      </c>
      <c r="AN9" s="58">
        <f ca="1">AVERAGE(OFFSET($AM$3,0,0,'Données projet'!$E$10+1,1))-AVERAGE(OFFSET($H$3,0,0,'Données projet'!$E$10+1,1))</f>
        <v>447.44638185108147</v>
      </c>
      <c r="AO9" s="58">
        <f t="shared" si="36"/>
        <v>384.84260115068605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24.90963428571429</v>
      </c>
      <c r="BF9" s="13">
        <f t="shared" si="37"/>
        <v>7.8955476085878011</v>
      </c>
      <c r="BG9" s="20">
        <f t="shared" si="7"/>
        <v>57.135691799242814</v>
      </c>
      <c r="BH9" s="58">
        <f t="shared" si="8"/>
        <v>288.12379263774642</v>
      </c>
      <c r="BI9" s="58">
        <f ca="1">AVERAGE(OFFSET($BH$3,0,0,'Données projet'!$E$11+1,1))-AVERAGE(OFFSET($H$3,0,0,'Données projet'!$E$11+1,1))</f>
        <v>724.99760740673071</v>
      </c>
      <c r="BJ9" s="58">
        <f t="shared" si="38"/>
        <v>318.24184272438208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4.0942857142857143</v>
      </c>
      <c r="BY9" s="12">
        <f>IF('Données projet'!$A$114&gt;35,BY8+BX9-CG8,IF(A9&lt;'Données projet'!$A$114,$BV$205^A9,IF(A9='Données projet'!$A$114,'Données projet'!$B$114,BY8+BX9-CG8)))</f>
        <v>24.565714285714286</v>
      </c>
      <c r="BZ9" s="13">
        <f>BY9*VLOOKUP('Données projet'!$B$12,Paramètres!$A$1:$I$89,3,0)*VLOOKUP('Données projet'!$B$12,Paramètres!$A$1:$I$89,5,0)</f>
        <v>23.376733714285717</v>
      </c>
      <c r="CA9" s="13">
        <f t="shared" si="39"/>
        <v>7.4646501270623844</v>
      </c>
      <c r="CB9" s="20">
        <f t="shared" si="10"/>
        <v>53.715410190347939</v>
      </c>
      <c r="CC9" s="58">
        <f t="shared" si="11"/>
        <v>284.70351102885149</v>
      </c>
      <c r="CD9" s="58">
        <f ca="1">AVERAGE(OFFSET($CC$3,0,0,'Données projet'!$E$12+1,1))-AVERAGE(OFFSET($H$3,0,0,'Données projet'!$E$12+1,1))</f>
        <v>684.45757350513315</v>
      </c>
      <c r="CE9" s="58">
        <f t="shared" si="40"/>
        <v>301.78148341369194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8" t="e">
        <f t="shared" si="14"/>
        <v>#N/A</v>
      </c>
      <c r="CY9" s="58" t="e">
        <f ca="1">AVERAGE(OFFSET($CX$3,0,0,'Données projet'!$E$13+1,1))-AVERAGE(OFFSET($H$3,0,0,'Données projet'!$E$13+1,1))</f>
        <v>#N/A</v>
      </c>
      <c r="CZ9" s="58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8" t="e">
        <f t="shared" si="17"/>
        <v>#N/A</v>
      </c>
      <c r="DT9" s="58" t="e">
        <f ca="1">AVERAGE(OFFSET($DS$3,0,0,'Données projet'!$E$14+1,1))-AVERAGE(OFFSET($H$3,0,0,'Données projet'!$E$14+1,1))</f>
        <v>#N/A</v>
      </c>
      <c r="DU9" s="58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8" t="e">
        <f t="shared" si="20"/>
        <v>#N/A</v>
      </c>
      <c r="EO9" s="58" t="e">
        <f ca="1">AVERAGE(OFFSET($EN$3,0,0,'Données projet'!$E$15+1,1))-AVERAGE(OFFSET($H$3,0,0,'Données projet'!$E$15+1,1))</f>
        <v>#N/A</v>
      </c>
      <c r="EP9" s="58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8" t="e">
        <f t="shared" si="23"/>
        <v>#N/A</v>
      </c>
      <c r="FJ9" s="58" t="e">
        <f ca="1">AVERAGE(OFFSET($FI$3,0,0,'Données projet'!$E$16+1,1))-AVERAGE(OFFSET($H$3,0,0,'Données projet'!$E$16+1,1))</f>
        <v>#N/A</v>
      </c>
      <c r="FK9" s="58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8" t="e">
        <f t="shared" si="26"/>
        <v>#N/A</v>
      </c>
      <c r="GE9" s="58" t="e">
        <f ca="1">AVERAGE(OFFSET($GD$3,0,0,'Données projet'!$E$17+1,1))-AVERAGE(OFFSET($H$3,0,0,'Données projet'!$E$17+1,1))</f>
        <v>#N/A</v>
      </c>
      <c r="GF9" s="58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60.996754774137344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8" t="e">
        <f t="shared" si="29"/>
        <v>#N/A</v>
      </c>
      <c r="GZ9" s="58" t="e">
        <f ca="1">AVERAGE(OFFSET($GY$3,0,0,'Données projet'!$E$18+1,1))-AVERAGE(OFFSET($H$3,0,0,'Données projet'!$E$18+1,1))</f>
        <v>#N/A</v>
      </c>
      <c r="HA9" s="58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2">
        <f>'Scénario référence'!$B$16*5+'Scénario référence'!$B$17*0+'Scénario référence'!$B$18*5</f>
        <v>2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7.333333333333333</v>
      </c>
      <c r="H10" s="66">
        <f t="shared" si="1"/>
        <v>227.33333333333334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4.0942857142857143</v>
      </c>
      <c r="N10" s="13">
        <f>IF('Données projet'!$A$36&gt;35,N9+M10-V9,IF(A10&lt;'Données projet'!$A$36,$K$205^A10,IF(A10='Données projet'!$A$36,'Données projet'!$B$36,N9+M10-V9)))</f>
        <v>28.66</v>
      </c>
      <c r="O10" s="13">
        <f>N10*VLOOKUP('Données projet'!$B$9,Paramètres!$A$1:$I$89,3,0)*VLOOKUP('Données projet'!$B$9,Paramètres!$A$1:$I$89,5,0)</f>
        <v>25.931567999999999</v>
      </c>
      <c r="P10" s="13">
        <f t="shared" si="33"/>
        <v>8.1810900516051337</v>
      </c>
      <c r="Q10" s="20">
        <f t="shared" si="2"/>
        <v>59.412879439878935</v>
      </c>
      <c r="R10" s="58">
        <f t="shared" si="0"/>
        <v>292.19588514750677</v>
      </c>
      <c r="S10" s="58">
        <f ca="1">AVERAGE(OFFSET($R$3,0,0,'Données projet'!$E$9+1,1))-AVERAGE(OFFSET($H$3,0,0,'Données projet'!$E$9+1,1))</f>
        <v>654.0179680178212</v>
      </c>
      <c r="T10" s="58">
        <f t="shared" si="34"/>
        <v>289.42065570013369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6.7468421052631582</v>
      </c>
      <c r="AI10" s="13">
        <f>IF('Données projet'!$A$62&gt;35,AI9+AH10-AQ9,IF(A10&lt;'Données projet'!$A$62,$AF$205^A10,IF(A10='Données projet'!$A$62,'Données projet'!$B$62,AI9+AH10-AQ9)))</f>
        <v>5.9783019138954412</v>
      </c>
      <c r="AJ10" s="13">
        <f>AI10*VLOOKUP('Données projet'!$B$10,Paramètres!$A$1:$I$89,3,0)*VLOOKUP('Données projet'!$B$10,Paramètres!$A$1:$I$89,5,0)</f>
        <v>3.5750245445094744</v>
      </c>
      <c r="AK10" s="13">
        <f t="shared" si="35"/>
        <v>1.4204613256400727</v>
      </c>
      <c r="AL10" s="20">
        <f t="shared" si="4"/>
        <v>8.7004712238437953</v>
      </c>
      <c r="AM10" s="58">
        <f t="shared" si="5"/>
        <v>241.48347693147164</v>
      </c>
      <c r="AN10" s="58">
        <f ca="1">AVERAGE(OFFSET($AM$3,0,0,'Données projet'!$E$10+1,1))-AVERAGE(OFFSET($H$3,0,0,'Données projet'!$E$10+1,1))</f>
        <v>447.44638185108147</v>
      </c>
      <c r="AO10" s="58">
        <f t="shared" si="36"/>
        <v>384.84260115068605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29.061240000000002</v>
      </c>
      <c r="BF10" s="13">
        <f t="shared" si="37"/>
        <v>9.0476634987070454</v>
      </c>
      <c r="BG10" s="20">
        <f t="shared" si="7"/>
        <v>66.373006926914783</v>
      </c>
      <c r="BH10" s="58">
        <f t="shared" si="8"/>
        <v>299.15601263454261</v>
      </c>
      <c r="BI10" s="58">
        <f ca="1">AVERAGE(OFFSET($BH$3,0,0,'Données projet'!$E$11+1,1))-AVERAGE(OFFSET($H$3,0,0,'Données projet'!$E$11+1,1))</f>
        <v>724.99760740673071</v>
      </c>
      <c r="BJ10" s="58">
        <f t="shared" si="38"/>
        <v>318.24184272438208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4.0942857142857143</v>
      </c>
      <c r="BY10" s="12">
        <f>IF('Données projet'!$A$114&gt;35,BY9+BX10-CG9,IF(A10&lt;'Données projet'!$A$114,$BV$205^A10,IF(A10='Données projet'!$A$114,'Données projet'!$B$114,BY9+BX10-CG9)))</f>
        <v>28.66</v>
      </c>
      <c r="BZ10" s="13">
        <f>BY10*VLOOKUP('Données projet'!$B$12,Paramètres!$A$1:$I$89,3,0)*VLOOKUP('Données projet'!$B$12,Paramètres!$A$1:$I$89,5,0)</f>
        <v>27.272856000000004</v>
      </c>
      <c r="CA10" s="13">
        <f t="shared" si="39"/>
        <v>8.5538895885805495</v>
      </c>
      <c r="CB10" s="20">
        <f t="shared" si="10"/>
        <v>62.398248566777788</v>
      </c>
      <c r="CC10" s="58">
        <f t="shared" si="11"/>
        <v>295.1812542744056</v>
      </c>
      <c r="CD10" s="58">
        <f ca="1">AVERAGE(OFFSET($CC$3,0,0,'Données projet'!$E$12+1,1))-AVERAGE(OFFSET($H$3,0,0,'Données projet'!$E$12+1,1))</f>
        <v>684.45757350513315</v>
      </c>
      <c r="CE10" s="58">
        <f t="shared" si="40"/>
        <v>301.78148341369194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8" t="e">
        <f t="shared" si="14"/>
        <v>#N/A</v>
      </c>
      <c r="CY10" s="58" t="e">
        <f ca="1">AVERAGE(OFFSET($CX$3,0,0,'Données projet'!$E$13+1,1))-AVERAGE(OFFSET($H$3,0,0,'Données projet'!$E$13+1,1))</f>
        <v>#N/A</v>
      </c>
      <c r="CZ10" s="58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8" t="e">
        <f t="shared" si="17"/>
        <v>#N/A</v>
      </c>
      <c r="DT10" s="58" t="e">
        <f ca="1">AVERAGE(OFFSET($DS$3,0,0,'Données projet'!$E$14+1,1))-AVERAGE(OFFSET($H$3,0,0,'Données projet'!$E$14+1,1))</f>
        <v>#N/A</v>
      </c>
      <c r="DU10" s="58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8" t="e">
        <f t="shared" si="20"/>
        <v>#N/A</v>
      </c>
      <c r="EO10" s="58" t="e">
        <f ca="1">AVERAGE(OFFSET($EN$3,0,0,'Données projet'!$E$15+1,1))-AVERAGE(OFFSET($H$3,0,0,'Données projet'!$E$15+1,1))</f>
        <v>#N/A</v>
      </c>
      <c r="EP10" s="58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8" t="e">
        <f t="shared" si="23"/>
        <v>#N/A</v>
      </c>
      <c r="FJ10" s="58" t="e">
        <f ca="1">AVERAGE(OFFSET($FI$3,0,0,'Données projet'!$E$16+1,1))-AVERAGE(OFFSET($H$3,0,0,'Données projet'!$E$16+1,1))</f>
        <v>#N/A</v>
      </c>
      <c r="FK10" s="58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8" t="e">
        <f t="shared" si="26"/>
        <v>#N/A</v>
      </c>
      <c r="GE10" s="58" t="e">
        <f ca="1">AVERAGE(OFFSET($GD$3,0,0,'Données projet'!$E$17+1,1))-AVERAGE(OFFSET($H$3,0,0,'Données projet'!$E$17+1,1))</f>
        <v>#N/A</v>
      </c>
      <c r="GF10" s="58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61.152940950565167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8" t="e">
        <f t="shared" si="29"/>
        <v>#N/A</v>
      </c>
      <c r="GZ10" s="58" t="e">
        <f ca="1">AVERAGE(OFFSET($GY$3,0,0,'Données projet'!$E$18+1,1))-AVERAGE(OFFSET($H$3,0,0,'Données projet'!$E$18+1,1))</f>
        <v>#N/A</v>
      </c>
      <c r="HA10" s="58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2">
        <f>'Scénario référence'!$B$16*5+'Scénario référence'!$B$17*0+'Scénario référence'!$B$18*5</f>
        <v>2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7.333333333333333</v>
      </c>
      <c r="H11" s="66">
        <f t="shared" si="1"/>
        <v>227.33333333333334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4.0942857142857143</v>
      </c>
      <c r="N11" s="13">
        <f>IF('Données projet'!$A$36&gt;35,N10+M11-V10,IF(A11&lt;'Données projet'!$A$36,$K$205^A11,IF(A11='Données projet'!$A$36,'Données projet'!$B$36,N10+M11-V10)))</f>
        <v>32.754285714285714</v>
      </c>
      <c r="O11" s="13">
        <f>N11*VLOOKUP('Données projet'!$B$9,Paramètres!$A$1:$I$89,3,0)*VLOOKUP('Données projet'!$B$9,Paramètres!$A$1:$I$89,5,0)</f>
        <v>29.636077714285712</v>
      </c>
      <c r="P11" s="13">
        <f t="shared" si="33"/>
        <v>9.205616053429063</v>
      </c>
      <c r="Q11" s="20">
        <f t="shared" si="2"/>
        <v>67.649283312103222</v>
      </c>
      <c r="R11" s="58">
        <f t="shared" si="0"/>
        <v>302.21725912525812</v>
      </c>
      <c r="S11" s="58">
        <f ca="1">AVERAGE(OFFSET($R$3,0,0,'Données projet'!$E$9+1,1))-AVERAGE(OFFSET($H$3,0,0,'Données projet'!$E$9+1,1))</f>
        <v>654.0179680178212</v>
      </c>
      <c r="T11" s="58">
        <f t="shared" si="34"/>
        <v>289.42065570013369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6.7468421052631582</v>
      </c>
      <c r="AI11" s="13">
        <f>IF('Données projet'!$A$62&gt;35,AI10+AH11-AQ10,IF(A11&lt;'Données projet'!$A$62,$AF$205^A11,IF(A11='Données projet'!$A$62,'Données projet'!$B$62,AI10+AH11-AQ10)))</f>
        <v>7.7182267936745967</v>
      </c>
      <c r="AJ11" s="13">
        <f>AI11*VLOOKUP('Données projet'!$B$10,Paramètres!$A$1:$I$89,3,0)*VLOOKUP('Données projet'!$B$10,Paramètres!$A$1:$I$89,5,0)</f>
        <v>4.6154996226174099</v>
      </c>
      <c r="AK11" s="13">
        <f t="shared" si="35"/>
        <v>1.7801464218790464</v>
      </c>
      <c r="AL11" s="20">
        <f t="shared" si="4"/>
        <v>11.139083527497995</v>
      </c>
      <c r="AM11" s="58">
        <f t="shared" si="5"/>
        <v>245.7070593406529</v>
      </c>
      <c r="AN11" s="58">
        <f ca="1">AVERAGE(OFFSET($AM$3,0,0,'Données projet'!$E$10+1,1))-AVERAGE(OFFSET($H$3,0,0,'Données projet'!$E$10+1,1))</f>
        <v>447.44638185108147</v>
      </c>
      <c r="AO11" s="58">
        <f t="shared" si="36"/>
        <v>384.84260115068605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33.21284571428572</v>
      </c>
      <c r="BF11" s="13">
        <f t="shared" si="37"/>
        <v>10.180711350730137</v>
      </c>
      <c r="BG11" s="20">
        <f t="shared" si="7"/>
        <v>75.577111888235933</v>
      </c>
      <c r="BH11" s="58">
        <f t="shared" si="8"/>
        <v>310.14508770139082</v>
      </c>
      <c r="BI11" s="58">
        <f ca="1">AVERAGE(OFFSET($BH$3,0,0,'Données projet'!$E$11+1,1))-AVERAGE(OFFSET($H$3,0,0,'Données projet'!$E$11+1,1))</f>
        <v>724.99760740673071</v>
      </c>
      <c r="BJ11" s="58">
        <f t="shared" si="38"/>
        <v>318.24184272438208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4.0942857142857143</v>
      </c>
      <c r="BY11" s="12">
        <f>IF('Données projet'!$A$114&gt;35,BY10+BX11-CG10,IF(A11&lt;'Données projet'!$A$114,$BV$205^A11,IF(A11='Données projet'!$A$114,'Données projet'!$B$114,BY10+BX11-CG10)))</f>
        <v>32.754285714285714</v>
      </c>
      <c r="BZ11" s="13">
        <f>BY11*VLOOKUP('Données projet'!$B$12,Paramètres!$A$1:$I$89,3,0)*VLOOKUP('Données projet'!$B$12,Paramètres!$A$1:$I$89,5,0)</f>
        <v>31.168978285714289</v>
      </c>
      <c r="CA11" s="13">
        <f t="shared" si="39"/>
        <v>9.6251016452810383</v>
      </c>
      <c r="CB11" s="20">
        <f t="shared" si="10"/>
        <v>71.049689213150188</v>
      </c>
      <c r="CC11" s="58">
        <f t="shared" si="11"/>
        <v>305.61766502630508</v>
      </c>
      <c r="CD11" s="58">
        <f ca="1">AVERAGE(OFFSET($CC$3,0,0,'Données projet'!$E$12+1,1))-AVERAGE(OFFSET($H$3,0,0,'Données projet'!$E$12+1,1))</f>
        <v>684.45757350513315</v>
      </c>
      <c r="CE11" s="58">
        <f t="shared" si="40"/>
        <v>301.78148341369194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8" t="e">
        <f t="shared" si="14"/>
        <v>#N/A</v>
      </c>
      <c r="CY11" s="58" t="e">
        <f ca="1">AVERAGE(OFFSET($CX$3,0,0,'Données projet'!$E$13+1,1))-AVERAGE(OFFSET($H$3,0,0,'Données projet'!$E$13+1,1))</f>
        <v>#N/A</v>
      </c>
      <c r="CZ11" s="58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8" t="e">
        <f t="shared" si="17"/>
        <v>#N/A</v>
      </c>
      <c r="DT11" s="58" t="e">
        <f ca="1">AVERAGE(OFFSET($DS$3,0,0,'Données projet'!$E$14+1,1))-AVERAGE(OFFSET($H$3,0,0,'Données projet'!$E$14+1,1))</f>
        <v>#N/A</v>
      </c>
      <c r="DU11" s="58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8" t="e">
        <f t="shared" si="20"/>
        <v>#N/A</v>
      </c>
      <c r="EO11" s="58" t="e">
        <f ca="1">AVERAGE(OFFSET($EN$3,0,0,'Données projet'!$E$15+1,1))-AVERAGE(OFFSET($H$3,0,0,'Données projet'!$E$15+1,1))</f>
        <v>#N/A</v>
      </c>
      <c r="EP11" s="58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8" t="e">
        <f t="shared" si="23"/>
        <v>#N/A</v>
      </c>
      <c r="FJ11" s="58" t="e">
        <f ca="1">AVERAGE(OFFSET($FI$3,0,0,'Données projet'!$E$16+1,1))-AVERAGE(OFFSET($H$3,0,0,'Données projet'!$E$16+1,1))</f>
        <v>#N/A</v>
      </c>
      <c r="FK11" s="58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8" t="e">
        <f t="shared" si="26"/>
        <v>#N/A</v>
      </c>
      <c r="GE11" s="58" t="e">
        <f ca="1">AVERAGE(OFFSET($GD$3,0,0,'Données projet'!$E$17+1,1))-AVERAGE(OFFSET($H$3,0,0,'Données projet'!$E$17+1,1))</f>
        <v>#N/A</v>
      </c>
      <c r="GF11" s="58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61.306417646011944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8" t="e">
        <f t="shared" si="29"/>
        <v>#N/A</v>
      </c>
      <c r="GZ11" s="58" t="e">
        <f ca="1">AVERAGE(OFFSET($GY$3,0,0,'Données projet'!$E$18+1,1))-AVERAGE(OFFSET($H$3,0,0,'Données projet'!$E$18+1,1))</f>
        <v>#N/A</v>
      </c>
      <c r="HA11" s="58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2">
        <f>'Scénario référence'!$B$16*5+'Scénario référence'!$B$17*0+'Scénario référence'!$B$18*5</f>
        <v>2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7.333333333333333</v>
      </c>
      <c r="H12" s="66">
        <f t="shared" si="1"/>
        <v>227.33333333333334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4.0942857142857143</v>
      </c>
      <c r="N12" s="13">
        <f>IF('Données projet'!$A$36&gt;35,N11+M12-V11,IF(A12&lt;'Données projet'!$A$36,$K$205^A12,IF(A12='Données projet'!$A$36,'Données projet'!$B$36,N11+M12-V11)))</f>
        <v>36.848571428571432</v>
      </c>
      <c r="O12" s="13">
        <f>N12*VLOOKUP('Données projet'!$B$9,Paramètres!$A$1:$I$89,3,0)*VLOOKUP('Données projet'!$B$9,Paramètres!$A$1:$I$89,5,0)</f>
        <v>33.340587428571432</v>
      </c>
      <c r="P12" s="13">
        <f t="shared" si="33"/>
        <v>10.215302372953809</v>
      </c>
      <c r="Q12" s="20">
        <f t="shared" si="2"/>
        <v>75.85984140432312</v>
      </c>
      <c r="R12" s="58">
        <f t="shared" si="0"/>
        <v>312.20302490534556</v>
      </c>
      <c r="S12" s="58">
        <f ca="1">AVERAGE(OFFSET($R$3,0,0,'Données projet'!$E$9+1,1))-AVERAGE(OFFSET($H$3,0,0,'Données projet'!$E$9+1,1))</f>
        <v>654.0179680178212</v>
      </c>
      <c r="T12" s="58">
        <f t="shared" si="34"/>
        <v>289.42065570013369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6.7468421052631582</v>
      </c>
      <c r="AI12" s="13">
        <f>IF('Données projet'!$A$62&gt;35,AI11+AH12-AQ11,IF(A12&lt;'Données projet'!$A$62,$AF$205^A12,IF(A12='Données projet'!$A$62,'Données projet'!$B$62,AI11+AH12-AQ11)))</f>
        <v>9.9645393786711871</v>
      </c>
      <c r="AJ12" s="13">
        <f>AI12*VLOOKUP('Données projet'!$B$10,Paramètres!$A$1:$I$89,3,0)*VLOOKUP('Données projet'!$B$10,Paramètres!$A$1:$I$89,5,0)</f>
        <v>5.9587945484453702</v>
      </c>
      <c r="AK12" s="13">
        <f t="shared" si="35"/>
        <v>2.2309099347712449</v>
      </c>
      <c r="AL12" s="20">
        <f t="shared" si="4"/>
        <v>14.26373530826894</v>
      </c>
      <c r="AM12" s="58">
        <f t="shared" si="5"/>
        <v>250.60691880929136</v>
      </c>
      <c r="AN12" s="58">
        <f ca="1">AVERAGE(OFFSET($AM$3,0,0,'Données projet'!$E$10+1,1))-AVERAGE(OFFSET($H$3,0,0,'Données projet'!$E$10+1,1))</f>
        <v>447.44638185108147</v>
      </c>
      <c r="AO12" s="58">
        <f t="shared" si="36"/>
        <v>384.84260115068605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37.364451428571435</v>
      </c>
      <c r="BF12" s="13">
        <f t="shared" si="37"/>
        <v>11.297347642554788</v>
      </c>
      <c r="BG12" s="20">
        <f t="shared" si="7"/>
        <v>84.752633382211499</v>
      </c>
      <c r="BH12" s="58">
        <f t="shared" si="8"/>
        <v>321.09581688323391</v>
      </c>
      <c r="BI12" s="58">
        <f ca="1">AVERAGE(OFFSET($BH$3,0,0,'Données projet'!$E$11+1,1))-AVERAGE(OFFSET($H$3,0,0,'Données projet'!$E$11+1,1))</f>
        <v>724.99760740673071</v>
      </c>
      <c r="BJ12" s="58">
        <f t="shared" si="38"/>
        <v>318.24184272438208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4.0942857142857143</v>
      </c>
      <c r="BY12" s="12">
        <f>IF('Données projet'!$A$114&gt;35,BY11+BX12-CG11,IF(A12&lt;'Données projet'!$A$114,$BV$205^A12,IF(A12='Données projet'!$A$114,'Données projet'!$B$114,BY11+BX12-CG11)))</f>
        <v>36.848571428571432</v>
      </c>
      <c r="BZ12" s="13">
        <f>BY12*VLOOKUP('Données projet'!$B$12,Paramètres!$A$1:$I$89,3,0)*VLOOKUP('Données projet'!$B$12,Paramètres!$A$1:$I$89,5,0)</f>
        <v>35.06510057142858</v>
      </c>
      <c r="CA12" s="13">
        <f t="shared" si="39"/>
        <v>10.680797798463022</v>
      </c>
      <c r="CB12" s="20">
        <f t="shared" si="10"/>
        <v>79.674106327561205</v>
      </c>
      <c r="CC12" s="58">
        <f t="shared" si="11"/>
        <v>316.01728982858361</v>
      </c>
      <c r="CD12" s="58">
        <f ca="1">AVERAGE(OFFSET($CC$3,0,0,'Données projet'!$E$12+1,1))-AVERAGE(OFFSET($H$3,0,0,'Données projet'!$E$12+1,1))</f>
        <v>684.45757350513315</v>
      </c>
      <c r="CE12" s="58">
        <f t="shared" si="40"/>
        <v>301.78148341369194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8" t="e">
        <f t="shared" si="14"/>
        <v>#N/A</v>
      </c>
      <c r="CY12" s="58" t="e">
        <f ca="1">AVERAGE(OFFSET($CX$3,0,0,'Données projet'!$E$13+1,1))-AVERAGE(OFFSET($H$3,0,0,'Données projet'!$E$13+1,1))</f>
        <v>#N/A</v>
      </c>
      <c r="CZ12" s="58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8" t="e">
        <f t="shared" si="17"/>
        <v>#N/A</v>
      </c>
      <c r="DT12" s="58" t="e">
        <f ca="1">AVERAGE(OFFSET($DS$3,0,0,'Données projet'!$E$14+1,1))-AVERAGE(OFFSET($H$3,0,0,'Données projet'!$E$14+1,1))</f>
        <v>#N/A</v>
      </c>
      <c r="DU12" s="58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8" t="e">
        <f t="shared" si="20"/>
        <v>#N/A</v>
      </c>
      <c r="EO12" s="58" t="e">
        <f ca="1">AVERAGE(OFFSET($EN$3,0,0,'Données projet'!$E$15+1,1))-AVERAGE(OFFSET($H$3,0,0,'Données projet'!$E$15+1,1))</f>
        <v>#N/A</v>
      </c>
      <c r="EP12" s="58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8" t="e">
        <f t="shared" si="23"/>
        <v>#N/A</v>
      </c>
      <c r="FJ12" s="58" t="e">
        <f ca="1">AVERAGE(OFFSET($FI$3,0,0,'Données projet'!$E$16+1,1))-AVERAGE(OFFSET($H$3,0,0,'Données projet'!$E$16+1,1))</f>
        <v>#N/A</v>
      </c>
      <c r="FK12" s="58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8" t="e">
        <f t="shared" si="26"/>
        <v>#N/A</v>
      </c>
      <c r="GE12" s="58" t="e">
        <f ca="1">AVERAGE(OFFSET($GD$3,0,0,'Données projet'!$E$17+1,1))-AVERAGE(OFFSET($H$3,0,0,'Données projet'!$E$17+1,1))</f>
        <v>#N/A</v>
      </c>
      <c r="GF12" s="58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61.457231863915212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8" t="e">
        <f t="shared" si="29"/>
        <v>#N/A</v>
      </c>
      <c r="GZ12" s="58" t="e">
        <f ca="1">AVERAGE(OFFSET($GY$3,0,0,'Données projet'!$E$18+1,1))-AVERAGE(OFFSET($H$3,0,0,'Données projet'!$E$18+1,1))</f>
        <v>#N/A</v>
      </c>
      <c r="HA12" s="58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2">
        <f>'Scénario référence'!$B$16*5+'Scénario référence'!$B$17*0+'Scénario référence'!$B$18*5</f>
        <v>2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7.333333333333333</v>
      </c>
      <c r="H13" s="66">
        <f t="shared" si="1"/>
        <v>227.33333333333334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4.0942857142857143</v>
      </c>
      <c r="N13" s="13">
        <f>IF('Données projet'!$A$36&gt;35,N12+M13-V12,IF(A13&lt;'Données projet'!$A$36,$K$205^A13,IF(A13='Données projet'!$A$36,'Données projet'!$B$36,N12+M13-V12)))</f>
        <v>40.94285714285715</v>
      </c>
      <c r="O13" s="13">
        <f>N13*VLOOKUP('Données projet'!$B$9,Paramètres!$A$1:$I$89,3,0)*VLOOKUP('Données projet'!$B$9,Paramètres!$A$1:$I$89,5,0)</f>
        <v>37.045097142857145</v>
      </c>
      <c r="P13" s="13">
        <f t="shared" si="33"/>
        <v>11.211985951829543</v>
      </c>
      <c r="Q13" s="20">
        <f t="shared" si="2"/>
        <v>84.04775305657931</v>
      </c>
      <c r="R13" s="58">
        <f t="shared" si="0"/>
        <v>322.15655118393062</v>
      </c>
      <c r="S13" s="58">
        <f ca="1">AVERAGE(OFFSET($R$3,0,0,'Données projet'!$E$9+1,1))-AVERAGE(OFFSET($H$3,0,0,'Données projet'!$E$9+1,1))</f>
        <v>654.0179680178212</v>
      </c>
      <c r="T13" s="58">
        <f t="shared" si="34"/>
        <v>289.42065570013369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6.7468421052631582</v>
      </c>
      <c r="AI13" s="13">
        <f>IF('Données projet'!$A$62&gt;35,AI12+AH13-AQ12,IF(A13&lt;'Données projet'!$A$62,$AF$205^A13,IF(A13='Données projet'!$A$62,'Données projet'!$B$62,AI12+AH13-AQ12)))</f>
        <v>12.864618737358517</v>
      </c>
      <c r="AJ13" s="13">
        <f>AI13*VLOOKUP('Données projet'!$B$10,Paramètres!$A$1:$I$89,3,0)*VLOOKUP('Données projet'!$B$10,Paramètres!$A$1:$I$89,5,0)</f>
        <v>7.693042004940394</v>
      </c>
      <c r="AK13" s="13">
        <f t="shared" si="35"/>
        <v>2.7958144767707243</v>
      </c>
      <c r="AL13" s="20">
        <f t="shared" si="4"/>
        <v>18.268091705646864</v>
      </c>
      <c r="AM13" s="58">
        <f t="shared" si="5"/>
        <v>256.37688983299813</v>
      </c>
      <c r="AN13" s="58">
        <f ca="1">AVERAGE(OFFSET($AM$3,0,0,'Données projet'!$E$10+1,1))-AVERAGE(OFFSET($H$3,0,0,'Données projet'!$E$10+1,1))</f>
        <v>447.44638185108147</v>
      </c>
      <c r="AO13" s="58">
        <f t="shared" si="36"/>
        <v>384.84260115068605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41.51605714285715</v>
      </c>
      <c r="BF13" s="13">
        <f t="shared" si="37"/>
        <v>12.399603891963192</v>
      </c>
      <c r="BG13" s="20">
        <f t="shared" si="7"/>
        <v>93.903109635645436</v>
      </c>
      <c r="BH13" s="58">
        <f t="shared" si="8"/>
        <v>332.01190776299671</v>
      </c>
      <c r="BI13" s="58">
        <f ca="1">AVERAGE(OFFSET($BH$3,0,0,'Données projet'!$E$11+1,1))-AVERAGE(OFFSET($H$3,0,0,'Données projet'!$E$11+1,1))</f>
        <v>724.99760740673071</v>
      </c>
      <c r="BJ13" s="58">
        <f t="shared" si="38"/>
        <v>318.24184272438208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4.0942857142857143</v>
      </c>
      <c r="BY13" s="12">
        <f>IF('Données projet'!$A$114&gt;35,BY12+BX13-CG12,IF(A13&lt;'Données projet'!$A$114,$BV$205^A13,IF(A13='Données projet'!$A$114,'Données projet'!$B$114,BY12+BX13-CG12)))</f>
        <v>40.94285714285715</v>
      </c>
      <c r="BZ13" s="13">
        <f>BY13*VLOOKUP('Données projet'!$B$12,Paramètres!$A$1:$I$89,3,0)*VLOOKUP('Données projet'!$B$12,Paramètres!$A$1:$I$89,5,0)</f>
        <v>38.961222857142864</v>
      </c>
      <c r="CA13" s="13">
        <f t="shared" si="39"/>
        <v>11.722898696347846</v>
      </c>
      <c r="CB13" s="20">
        <f t="shared" si="10"/>
        <v>88.274845038996318</v>
      </c>
      <c r="CC13" s="58">
        <f t="shared" si="11"/>
        <v>326.38364316634761</v>
      </c>
      <c r="CD13" s="58">
        <f ca="1">AVERAGE(OFFSET($CC$3,0,0,'Données projet'!$E$12+1,1))-AVERAGE(OFFSET($H$3,0,0,'Données projet'!$E$12+1,1))</f>
        <v>684.45757350513315</v>
      </c>
      <c r="CE13" s="58">
        <f t="shared" si="40"/>
        <v>301.78148341369194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8" t="e">
        <f t="shared" si="14"/>
        <v>#N/A</v>
      </c>
      <c r="CY13" s="58" t="e">
        <f ca="1">AVERAGE(OFFSET($CX$3,0,0,'Données projet'!$E$13+1,1))-AVERAGE(OFFSET($H$3,0,0,'Données projet'!$E$13+1,1))</f>
        <v>#N/A</v>
      </c>
      <c r="CZ13" s="58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8" t="e">
        <f t="shared" si="17"/>
        <v>#N/A</v>
      </c>
      <c r="DT13" s="58" t="e">
        <f ca="1">AVERAGE(OFFSET($DS$3,0,0,'Données projet'!$E$14+1,1))-AVERAGE(OFFSET($H$3,0,0,'Données projet'!$E$14+1,1))</f>
        <v>#N/A</v>
      </c>
      <c r="DU13" s="58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8" t="e">
        <f t="shared" si="20"/>
        <v>#N/A</v>
      </c>
      <c r="EO13" s="58" t="e">
        <f ca="1">AVERAGE(OFFSET($EN$3,0,0,'Données projet'!$E$15+1,1))-AVERAGE(OFFSET($H$3,0,0,'Données projet'!$E$15+1,1))</f>
        <v>#N/A</v>
      </c>
      <c r="EP13" s="58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8" t="e">
        <f t="shared" si="23"/>
        <v>#N/A</v>
      </c>
      <c r="FJ13" s="58" t="e">
        <f ca="1">AVERAGE(OFFSET($FI$3,0,0,'Données projet'!$E$16+1,1))-AVERAGE(OFFSET($H$3,0,0,'Données projet'!$E$16+1,1))</f>
        <v>#N/A</v>
      </c>
      <c r="FK13" s="58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8" t="e">
        <f t="shared" si="26"/>
        <v>#N/A</v>
      </c>
      <c r="GE13" s="58" t="e">
        <f ca="1">AVERAGE(OFFSET($GD$3,0,0,'Données projet'!$E$17+1,1))-AVERAGE(OFFSET($H$3,0,0,'Données projet'!$E$17+1,1))</f>
        <v>#N/A</v>
      </c>
      <c r="GF13" s="58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61.60542979230793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8" t="e">
        <f t="shared" si="29"/>
        <v>#N/A</v>
      </c>
      <c r="GZ13" s="58" t="e">
        <f ca="1">AVERAGE(OFFSET($GY$3,0,0,'Données projet'!$E$18+1,1))-AVERAGE(OFFSET($H$3,0,0,'Données projet'!$E$18+1,1))</f>
        <v>#N/A</v>
      </c>
      <c r="HA13" s="58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2">
        <f>'Scénario référence'!$B$16*5+'Scénario référence'!$B$17*0+'Scénario référence'!$B$18*5</f>
        <v>2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7.333333333333333</v>
      </c>
      <c r="H14" s="66">
        <f t="shared" si="1"/>
        <v>227.33333333333334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4.0942857142857143</v>
      </c>
      <c r="N14" s="13">
        <f>IF('Données projet'!$A$36&gt;35,N13+M14-V13,IF(A14&lt;'Données projet'!$A$36,$K$205^A14,IF(A14='Données projet'!$A$36,'Données projet'!$B$36,N13+M14-V13)))</f>
        <v>45.037142857142868</v>
      </c>
      <c r="O14" s="13">
        <f>N14*VLOOKUP('Données projet'!$B$9,Paramètres!$A$1:$I$89,3,0)*VLOOKUP('Données projet'!$B$9,Paramètres!$A$1:$I$89,5,0)</f>
        <v>40.749606857142865</v>
      </c>
      <c r="P14" s="13">
        <f t="shared" si="33"/>
        <v>12.197115083595657</v>
      </c>
      <c r="Q14" s="20">
        <f t="shared" si="2"/>
        <v>92.215540713452924</v>
      </c>
      <c r="R14" s="58">
        <f t="shared" si="0"/>
        <v>332.08052682376524</v>
      </c>
      <c r="S14" s="58">
        <f ca="1">AVERAGE(OFFSET($R$3,0,0,'Données projet'!$E$9+1,1))-AVERAGE(OFFSET($H$3,0,0,'Données projet'!$E$9+1,1))</f>
        <v>654.0179680178212</v>
      </c>
      <c r="T14" s="58">
        <f t="shared" si="34"/>
        <v>289.42065570013369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6.7468421052631582</v>
      </c>
      <c r="AI14" s="13">
        <f>IF('Données projet'!$A$62&gt;35,AI13+AH14-AQ13,IF(A14&lt;'Données projet'!$A$62,$AF$205^A14,IF(A14='Données projet'!$A$62,'Données projet'!$B$62,AI13+AH14-AQ13)))</f>
        <v>16.608737139605321</v>
      </c>
      <c r="AJ14" s="13">
        <f>AI14*VLOOKUP('Données projet'!$B$10,Paramètres!$A$1:$I$89,3,0)*VLOOKUP('Données projet'!$B$10,Paramètres!$A$1:$I$89,5,0)</f>
        <v>9.9320248094839823</v>
      </c>
      <c r="AK14" s="13">
        <f t="shared" si="35"/>
        <v>3.5037625081544408</v>
      </c>
      <c r="AL14" s="20">
        <f t="shared" si="4"/>
        <v>23.400662911553585</v>
      </c>
      <c r="AM14" s="58">
        <f t="shared" si="5"/>
        <v>263.26564902186595</v>
      </c>
      <c r="AN14" s="58">
        <f ca="1">AVERAGE(OFFSET($AM$3,0,0,'Données projet'!$E$10+1,1))-AVERAGE(OFFSET($H$3,0,0,'Données projet'!$E$10+1,1))</f>
        <v>447.44638185108147</v>
      </c>
      <c r="AO14" s="58">
        <f t="shared" si="36"/>
        <v>384.84260115068605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45.667662857142872</v>
      </c>
      <c r="BF14" s="13">
        <f t="shared" si="37"/>
        <v>13.489081801480216</v>
      </c>
      <c r="BG14" s="20">
        <f t="shared" si="7"/>
        <v>103.03133028043521</v>
      </c>
      <c r="BH14" s="58">
        <f t="shared" si="8"/>
        <v>342.89631639074753</v>
      </c>
      <c r="BI14" s="58">
        <f ca="1">AVERAGE(OFFSET($BH$3,0,0,'Données projet'!$E$11+1,1))-AVERAGE(OFFSET($H$3,0,0,'Données projet'!$E$11+1,1))</f>
        <v>724.99760740673071</v>
      </c>
      <c r="BJ14" s="58">
        <f t="shared" si="38"/>
        <v>318.24184272438208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4.0942857142857143</v>
      </c>
      <c r="BY14" s="12">
        <f>IF('Données projet'!$A$114&gt;35,BY13+BX14-CG13,IF(A14&lt;'Données projet'!$A$114,$BV$205^A14,IF(A14='Données projet'!$A$114,'Données projet'!$B$114,BY13+BX14-CG13)))</f>
        <v>45.037142857142868</v>
      </c>
      <c r="BZ14" s="13">
        <f>BY14*VLOOKUP('Données projet'!$B$12,Paramètres!$A$1:$I$89,3,0)*VLOOKUP('Données projet'!$B$12,Paramètres!$A$1:$I$89,5,0)</f>
        <v>42.857345142857156</v>
      </c>
      <c r="CA14" s="13">
        <f t="shared" si="39"/>
        <v>12.752918628956738</v>
      </c>
      <c r="CB14" s="20">
        <f t="shared" si="10"/>
        <v>96.854542735909192</v>
      </c>
      <c r="CC14" s="58">
        <f t="shared" si="11"/>
        <v>336.71952884622152</v>
      </c>
      <c r="CD14" s="58">
        <f ca="1">AVERAGE(OFFSET($CC$3,0,0,'Données projet'!$E$12+1,1))-AVERAGE(OFFSET($H$3,0,0,'Données projet'!$E$12+1,1))</f>
        <v>684.45757350513315</v>
      </c>
      <c r="CE14" s="58">
        <f t="shared" si="40"/>
        <v>301.78148341369194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8" t="e">
        <f t="shared" si="14"/>
        <v>#N/A</v>
      </c>
      <c r="CY14" s="58" t="e">
        <f ca="1">AVERAGE(OFFSET($CX$3,0,0,'Données projet'!$E$13+1,1))-AVERAGE(OFFSET($H$3,0,0,'Données projet'!$E$13+1,1))</f>
        <v>#N/A</v>
      </c>
      <c r="CZ14" s="58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8" t="e">
        <f t="shared" si="17"/>
        <v>#N/A</v>
      </c>
      <c r="DT14" s="58" t="e">
        <f ca="1">AVERAGE(OFFSET($DS$3,0,0,'Données projet'!$E$14+1,1))-AVERAGE(OFFSET($H$3,0,0,'Données projet'!$E$14+1,1))</f>
        <v>#N/A</v>
      </c>
      <c r="DU14" s="58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8" t="e">
        <f t="shared" si="20"/>
        <v>#N/A</v>
      </c>
      <c r="EO14" s="58" t="e">
        <f ca="1">AVERAGE(OFFSET($EN$3,0,0,'Données projet'!$E$15+1,1))-AVERAGE(OFFSET($H$3,0,0,'Données projet'!$E$15+1,1))</f>
        <v>#N/A</v>
      </c>
      <c r="EP14" s="58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8" t="e">
        <f t="shared" si="23"/>
        <v>#N/A</v>
      </c>
      <c r="FJ14" s="58" t="e">
        <f ca="1">AVERAGE(OFFSET($FI$3,0,0,'Données projet'!$E$16+1,1))-AVERAGE(OFFSET($H$3,0,0,'Données projet'!$E$16+1,1))</f>
        <v>#N/A</v>
      </c>
      <c r="FK14" s="58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8" t="e">
        <f t="shared" si="26"/>
        <v>#N/A</v>
      </c>
      <c r="GE14" s="58" t="e">
        <f ca="1">AVERAGE(OFFSET($GD$3,0,0,'Données projet'!$E$17+1,1))-AVERAGE(OFFSET($H$3,0,0,'Données projet'!$E$17+1,1))</f>
        <v>#N/A</v>
      </c>
      <c r="GF14" s="58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61.751056817963971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8" t="e">
        <f t="shared" si="29"/>
        <v>#N/A</v>
      </c>
      <c r="GZ14" s="58" t="e">
        <f ca="1">AVERAGE(OFFSET($GY$3,0,0,'Données projet'!$E$18+1,1))-AVERAGE(OFFSET($H$3,0,0,'Données projet'!$E$18+1,1))</f>
        <v>#N/A</v>
      </c>
      <c r="HA14" s="58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2">
        <f>'Scénario référence'!$B$16*5+'Scénario référence'!$B$17*0+'Scénario référence'!$B$18*5</f>
        <v>2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7.333333333333333</v>
      </c>
      <c r="H15" s="66">
        <f t="shared" si="1"/>
        <v>227.33333333333334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4.0942857142857143</v>
      </c>
      <c r="N15" s="13">
        <f>IF('Données projet'!$A$36&gt;35,N14+M15-V14,IF(A15&lt;'Données projet'!$A$36,$K$205^A15,IF(A15='Données projet'!$A$36,'Données projet'!$B$36,N14+M15-V14)))</f>
        <v>49.131428571428586</v>
      </c>
      <c r="O15" s="13">
        <f>N15*VLOOKUP('Données projet'!$B$9,Paramètres!$A$1:$I$89,3,0)*VLOOKUP('Données projet'!$B$9,Paramètres!$A$1:$I$89,5,0)</f>
        <v>44.454116571428585</v>
      </c>
      <c r="P15" s="13">
        <f t="shared" si="33"/>
        <v>13.17185963217473</v>
      </c>
      <c r="Q15" s="20">
        <f t="shared" si="2"/>
        <v>100.36524188794243</v>
      </c>
      <c r="R15" s="58">
        <f t="shared" si="0"/>
        <v>341.97715286903554</v>
      </c>
      <c r="S15" s="58">
        <f ca="1">AVERAGE(OFFSET($R$3,0,0,'Données projet'!$E$9+1,1))-AVERAGE(OFFSET($H$3,0,0,'Données projet'!$E$9+1,1))</f>
        <v>654.0179680178212</v>
      </c>
      <c r="T15" s="58">
        <f t="shared" si="34"/>
        <v>289.42065570013369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6.7468421052631582</v>
      </c>
      <c r="AI15" s="13">
        <f>IF('Données projet'!$A$62&gt;35,AI14+AH15-AQ14,IF(A15&lt;'Données projet'!$A$62,$AF$205^A15,IF(A15='Données projet'!$A$62,'Données projet'!$B$62,AI14+AH15-AQ14)))</f>
        <v>21.442543693226092</v>
      </c>
      <c r="AJ15" s="13">
        <f>AI15*VLOOKUP('Données projet'!$B$10,Paramètres!$A$1:$I$89,3,0)*VLOOKUP('Données projet'!$B$10,Paramètres!$A$1:$I$89,5,0)</f>
        <v>12.822641128549204</v>
      </c>
      <c r="AK15" s="13">
        <f t="shared" si="35"/>
        <v>4.3909750863470629</v>
      </c>
      <c r="AL15" s="20">
        <f t="shared" si="4"/>
        <v>29.980381574277661</v>
      </c>
      <c r="AM15" s="58">
        <f t="shared" si="5"/>
        <v>271.59229255537082</v>
      </c>
      <c r="AN15" s="58">
        <f ca="1">AVERAGE(OFFSET($AM$3,0,0,'Données projet'!$E$10+1,1))-AVERAGE(OFFSET($H$3,0,0,'Données projet'!$E$10+1,1))</f>
        <v>447.44638185108147</v>
      </c>
      <c r="AO15" s="58">
        <f t="shared" si="36"/>
        <v>384.84260115068605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49.819268571428587</v>
      </c>
      <c r="BF15" s="13">
        <f t="shared" si="37"/>
        <v>14.567075151646579</v>
      </c>
      <c r="BG15" s="20">
        <f t="shared" si="7"/>
        <v>112.13954865102259</v>
      </c>
      <c r="BH15" s="58">
        <f t="shared" si="8"/>
        <v>353.75145963211571</v>
      </c>
      <c r="BI15" s="58">
        <f ca="1">AVERAGE(OFFSET($BH$3,0,0,'Données projet'!$E$11+1,1))-AVERAGE(OFFSET($H$3,0,0,'Données projet'!$E$11+1,1))</f>
        <v>724.99760740673071</v>
      </c>
      <c r="BJ15" s="58">
        <f t="shared" si="38"/>
        <v>318.24184272438208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4.0942857142857143</v>
      </c>
      <c r="BY15" s="12">
        <f>IF('Données projet'!$A$114&gt;35,BY14+BX15-CG14,IF(A15&lt;'Données projet'!$A$114,$BV$205^A15,IF(A15='Données projet'!$A$114,'Données projet'!$B$114,BY14+BX15-CG14)))</f>
        <v>49.131428571428586</v>
      </c>
      <c r="BZ15" s="13">
        <f>BY15*VLOOKUP('Données projet'!$B$12,Paramètres!$A$1:$I$89,3,0)*VLOOKUP('Données projet'!$B$12,Paramètres!$A$1:$I$89,5,0)</f>
        <v>46.75346742857144</v>
      </c>
      <c r="CA15" s="13">
        <f t="shared" si="39"/>
        <v>13.772080769089918</v>
      </c>
      <c r="CB15" s="20">
        <f t="shared" si="10"/>
        <v>105.41532977759353</v>
      </c>
      <c r="CC15" s="58">
        <f t="shared" si="11"/>
        <v>347.02724075868667</v>
      </c>
      <c r="CD15" s="58">
        <f ca="1">AVERAGE(OFFSET($CC$3,0,0,'Données projet'!$E$12+1,1))-AVERAGE(OFFSET($H$3,0,0,'Données projet'!$E$12+1,1))</f>
        <v>684.45757350513315</v>
      </c>
      <c r="CE15" s="58">
        <f t="shared" si="40"/>
        <v>301.78148341369194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8" t="e">
        <f t="shared" si="14"/>
        <v>#N/A</v>
      </c>
      <c r="CY15" s="58" t="e">
        <f ca="1">AVERAGE(OFFSET($CX$3,0,0,'Données projet'!$E$13+1,1))-AVERAGE(OFFSET($H$3,0,0,'Données projet'!$E$13+1,1))</f>
        <v>#N/A</v>
      </c>
      <c r="CZ15" s="58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8" t="e">
        <f t="shared" si="17"/>
        <v>#N/A</v>
      </c>
      <c r="DT15" s="58" t="e">
        <f ca="1">AVERAGE(OFFSET($DS$3,0,0,'Données projet'!$E$14+1,1))-AVERAGE(OFFSET($H$3,0,0,'Données projet'!$E$14+1,1))</f>
        <v>#N/A</v>
      </c>
      <c r="DU15" s="58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8" t="e">
        <f t="shared" si="20"/>
        <v>#N/A</v>
      </c>
      <c r="EO15" s="58" t="e">
        <f ca="1">AVERAGE(OFFSET($EN$3,0,0,'Données projet'!$E$15+1,1))-AVERAGE(OFFSET($H$3,0,0,'Données projet'!$E$15+1,1))</f>
        <v>#N/A</v>
      </c>
      <c r="EP15" s="58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8" t="e">
        <f t="shared" si="23"/>
        <v>#N/A</v>
      </c>
      <c r="FJ15" s="58" t="e">
        <f ca="1">AVERAGE(OFFSET($FI$3,0,0,'Données projet'!$E$16+1,1))-AVERAGE(OFFSET($H$3,0,0,'Données projet'!$E$16+1,1))</f>
        <v>#N/A</v>
      </c>
      <c r="FK15" s="58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8" t="e">
        <f t="shared" si="26"/>
        <v>#N/A</v>
      </c>
      <c r="GE15" s="58" t="e">
        <f ca="1">AVERAGE(OFFSET($GD$3,0,0,'Données projet'!$E$17+1,1))-AVERAGE(OFFSET($H$3,0,0,'Données projet'!$E$17+1,1))</f>
        <v>#N/A</v>
      </c>
      <c r="GF15" s="58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61.894157540298131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8" t="e">
        <f t="shared" si="29"/>
        <v>#N/A</v>
      </c>
      <c r="GZ15" s="58" t="e">
        <f ca="1">AVERAGE(OFFSET($GY$3,0,0,'Données projet'!$E$18+1,1))-AVERAGE(OFFSET($H$3,0,0,'Données projet'!$E$18+1,1))</f>
        <v>#N/A</v>
      </c>
      <c r="HA15" s="58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2">
        <f>'Scénario référence'!$B$16*5+'Scénario référence'!$B$17*0+'Scénario référence'!$B$18*5</f>
        <v>2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7.333333333333333</v>
      </c>
      <c r="H16" s="66">
        <f t="shared" si="1"/>
        <v>227.33333333333334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4.0942857142857143</v>
      </c>
      <c r="N16" s="13">
        <f>IF('Données projet'!$A$36&gt;35,N15+M16-V15,IF(A16&lt;'Données projet'!$A$36,$K$205^A16,IF(A16='Données projet'!$A$36,'Données projet'!$B$36,N15+M16-V15)))</f>
        <v>53.225714285714304</v>
      </c>
      <c r="O16" s="13">
        <f>N16*VLOOKUP('Données projet'!$B$9,Paramètres!$A$1:$I$89,3,0)*VLOOKUP('Données projet'!$B$9,Paramètres!$A$1:$I$89,5,0)</f>
        <v>48.158626285714305</v>
      </c>
      <c r="P16" s="13">
        <f t="shared" si="33"/>
        <v>14.137183365739432</v>
      </c>
      <c r="Q16" s="20">
        <f t="shared" si="2"/>
        <v>108.4985351429486</v>
      </c>
      <c r="R16" s="58">
        <f t="shared" si="0"/>
        <v>351.84826857692946</v>
      </c>
      <c r="S16" s="58">
        <f ca="1">AVERAGE(OFFSET($R$3,0,0,'Données projet'!$E$9+1,1))-AVERAGE(OFFSET($H$3,0,0,'Données projet'!$E$9+1,1))</f>
        <v>654.0179680178212</v>
      </c>
      <c r="T16" s="58">
        <f t="shared" si="34"/>
        <v>289.42065570013369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6.7468421052631582</v>
      </c>
      <c r="AI16" s="13">
        <f>IF('Données projet'!$A$62&gt;35,AI15+AH16-AQ15,IF(A16&lt;'Données projet'!$A$62,$AF$205^A16,IF(A16='Données projet'!$A$62,'Données projet'!$B$62,AI15+AH16-AQ15)))</f>
        <v>27.68318121788494</v>
      </c>
      <c r="AJ16" s="13">
        <f>AI16*VLOOKUP('Données projet'!$B$10,Paramètres!$A$1:$I$89,3,0)*VLOOKUP('Données projet'!$B$10,Paramètres!$A$1:$I$89,5,0)</f>
        <v>16.554542368295195</v>
      </c>
      <c r="AK16" s="13">
        <f t="shared" si="35"/>
        <v>5.5028450598600696</v>
      </c>
      <c r="AL16" s="20">
        <f t="shared" si="4"/>
        <v>38.416616437370422</v>
      </c>
      <c r="AM16" s="58">
        <f t="shared" si="5"/>
        <v>281.76634987135128</v>
      </c>
      <c r="AN16" s="58">
        <f ca="1">AVERAGE(OFFSET($AM$3,0,0,'Données projet'!$E$10+1,1))-AVERAGE(OFFSET($H$3,0,0,'Données projet'!$E$10+1,1))</f>
        <v>447.44638185108147</v>
      </c>
      <c r="AO16" s="58">
        <f t="shared" si="36"/>
        <v>384.84260115068605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53.970874285714309</v>
      </c>
      <c r="BF16" s="13">
        <f t="shared" si="37"/>
        <v>15.634649796775355</v>
      </c>
      <c r="BG16" s="20">
        <f t="shared" si="7"/>
        <v>121.22962111033615</v>
      </c>
      <c r="BH16" s="58">
        <f t="shared" si="8"/>
        <v>364.57935454431703</v>
      </c>
      <c r="BI16" s="58">
        <f ca="1">AVERAGE(OFFSET($BH$3,0,0,'Données projet'!$E$11+1,1))-AVERAGE(OFFSET($H$3,0,0,'Données projet'!$E$11+1,1))</f>
        <v>724.99760740673071</v>
      </c>
      <c r="BJ16" s="58">
        <f t="shared" si="38"/>
        <v>318.24184272438208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4.0942857142857143</v>
      </c>
      <c r="BY16" s="12">
        <f>IF('Données projet'!$A$114&gt;35,BY15+BX16-CG15,IF(A16&lt;'Données projet'!$A$114,$BV$205^A16,IF(A16='Données projet'!$A$114,'Données projet'!$B$114,BY15+BX16-CG15)))</f>
        <v>53.225714285714304</v>
      </c>
      <c r="BZ16" s="13">
        <f>BY16*VLOOKUP('Données projet'!$B$12,Paramètres!$A$1:$I$89,3,0)*VLOOKUP('Données projet'!$B$12,Paramètres!$A$1:$I$89,5,0)</f>
        <v>50.649589714285725</v>
      </c>
      <c r="CA16" s="13">
        <f t="shared" si="39"/>
        <v>14.781392802335258</v>
      </c>
      <c r="CB16" s="20">
        <f t="shared" si="10"/>
        <v>113.9589612164482</v>
      </c>
      <c r="CC16" s="58">
        <f t="shared" si="11"/>
        <v>357.30869465042906</v>
      </c>
      <c r="CD16" s="58">
        <f ca="1">AVERAGE(OFFSET($CC$3,0,0,'Données projet'!$E$12+1,1))-AVERAGE(OFFSET($H$3,0,0,'Données projet'!$E$12+1,1))</f>
        <v>684.45757350513315</v>
      </c>
      <c r="CE16" s="58">
        <f t="shared" si="40"/>
        <v>301.78148341369194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8" t="e">
        <f t="shared" si="14"/>
        <v>#N/A</v>
      </c>
      <c r="CY16" s="58" t="e">
        <f ca="1">AVERAGE(OFFSET($CX$3,0,0,'Données projet'!$E$13+1,1))-AVERAGE(OFFSET($H$3,0,0,'Données projet'!$E$13+1,1))</f>
        <v>#N/A</v>
      </c>
      <c r="CZ16" s="58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8" t="e">
        <f t="shared" si="17"/>
        <v>#N/A</v>
      </c>
      <c r="DT16" s="58" t="e">
        <f ca="1">AVERAGE(OFFSET($DS$3,0,0,'Données projet'!$E$14+1,1))-AVERAGE(OFFSET($H$3,0,0,'Données projet'!$E$14+1,1))</f>
        <v>#N/A</v>
      </c>
      <c r="DU16" s="58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8" t="e">
        <f t="shared" si="20"/>
        <v>#N/A</v>
      </c>
      <c r="EO16" s="58" t="e">
        <f ca="1">AVERAGE(OFFSET($EN$3,0,0,'Données projet'!$E$15+1,1))-AVERAGE(OFFSET($H$3,0,0,'Données projet'!$E$15+1,1))</f>
        <v>#N/A</v>
      </c>
      <c r="EP16" s="58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8" t="e">
        <f t="shared" si="23"/>
        <v>#N/A</v>
      </c>
      <c r="FJ16" s="58" t="e">
        <f ca="1">AVERAGE(OFFSET($FI$3,0,0,'Données projet'!$E$16+1,1))-AVERAGE(OFFSET($H$3,0,0,'Données projet'!$E$16+1,1))</f>
        <v>#N/A</v>
      </c>
      <c r="FK16" s="58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8" t="e">
        <f t="shared" si="26"/>
        <v>#N/A</v>
      </c>
      <c r="GE16" s="58" t="e">
        <f ca="1">AVERAGE(OFFSET($GD$3,0,0,'Données projet'!$E$17+1,1))-AVERAGE(OFFSET($H$3,0,0,'Données projet'!$E$17+1,1))</f>
        <v>#N/A</v>
      </c>
      <c r="GF16" s="58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62.034775785025083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8" t="e">
        <f t="shared" si="29"/>
        <v>#N/A</v>
      </c>
      <c r="GZ16" s="58" t="e">
        <f ca="1">AVERAGE(OFFSET($GY$3,0,0,'Données projet'!$E$18+1,1))-AVERAGE(OFFSET($H$3,0,0,'Données projet'!$E$18+1,1))</f>
        <v>#N/A</v>
      </c>
      <c r="HA16" s="58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2">
        <f>'Scénario référence'!$B$16*5+'Scénario référence'!$B$17*0+'Scénario référence'!$B$18*5</f>
        <v>2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7.333333333333333</v>
      </c>
      <c r="H17" s="66">
        <f t="shared" si="1"/>
        <v>227.33333333333334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4.0942857142857143</v>
      </c>
      <c r="N17" s="13">
        <f>IF('Données projet'!$A$36&gt;35,N16+M17-V16,IF(A17&lt;'Données projet'!$A$36,$K$205^A17,IF(A17='Données projet'!$A$36,'Données projet'!$B$36,N16+M17-V16)))</f>
        <v>57.320000000000022</v>
      </c>
      <c r="O17" s="13">
        <f>N17*VLOOKUP('Données projet'!$B$9,Paramètres!$A$1:$I$89,3,0)*VLOOKUP('Données projet'!$B$9,Paramètres!$A$1:$I$89,5,0)</f>
        <v>51.863136000000019</v>
      </c>
      <c r="P17" s="13">
        <f t="shared" si="33"/>
        <v>15.093893357630675</v>
      </c>
      <c r="Q17" s="20">
        <f t="shared" si="2"/>
        <v>116.61682613120678</v>
      </c>
      <c r="R17" s="58">
        <f t="shared" si="0"/>
        <v>361.69543750678275</v>
      </c>
      <c r="S17" s="58">
        <f ca="1">AVERAGE(OFFSET($R$3,0,0,'Données projet'!$E$9+1,1))-AVERAGE(OFFSET($H$3,0,0,'Données projet'!$E$9+1,1))</f>
        <v>654.0179680178212</v>
      </c>
      <c r="T17" s="58">
        <f t="shared" si="34"/>
        <v>289.42065570013369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6.7468421052631582</v>
      </c>
      <c r="AI17" s="13">
        <f>IF('Données projet'!$A$62&gt;35,AI16+AH17-AQ16,IF(A17&lt;'Données projet'!$A$62,$AF$205^A17,IF(A17='Données projet'!$A$62,'Données projet'!$B$62,AI16+AH17-AQ16)))</f>
        <v>35.740093773685899</v>
      </c>
      <c r="AJ17" s="13">
        <f>AI17*VLOOKUP('Données projet'!$B$10,Paramètres!$A$1:$I$89,3,0)*VLOOKUP('Données projet'!$B$10,Paramètres!$A$1:$I$89,5,0)</f>
        <v>21.372576076664167</v>
      </c>
      <c r="AK17" s="13">
        <f t="shared" si="35"/>
        <v>6.8962595226241614</v>
      </c>
      <c r="AL17" s="20">
        <f t="shared" si="4"/>
        <v>49.234888668760505</v>
      </c>
      <c r="AM17" s="58">
        <f t="shared" si="5"/>
        <v>294.31350004433648</v>
      </c>
      <c r="AN17" s="58">
        <f ca="1">AVERAGE(OFFSET($AM$3,0,0,'Données projet'!$E$10+1,1))-AVERAGE(OFFSET($H$3,0,0,'Données projet'!$E$10+1,1))</f>
        <v>447.44638185108147</v>
      </c>
      <c r="AO17" s="58">
        <f t="shared" si="36"/>
        <v>384.84260115068605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58.122480000000031</v>
      </c>
      <c r="BF17" s="13">
        <f t="shared" si="37"/>
        <v>16.692698298610935</v>
      </c>
      <c r="BG17" s="20">
        <f t="shared" si="7"/>
        <v>130.30310220341408</v>
      </c>
      <c r="BH17" s="58">
        <f t="shared" si="8"/>
        <v>375.38171357899006</v>
      </c>
      <c r="BI17" s="58">
        <f ca="1">AVERAGE(OFFSET($BH$3,0,0,'Données projet'!$E$11+1,1))-AVERAGE(OFFSET($H$3,0,0,'Données projet'!$E$11+1,1))</f>
        <v>724.99760740673071</v>
      </c>
      <c r="BJ17" s="58">
        <f t="shared" si="38"/>
        <v>318.24184272438208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4.0942857142857143</v>
      </c>
      <c r="BY17" s="12">
        <f>IF('Données projet'!$A$114&gt;35,BY16+BX17-CG16,IF(A17&lt;'Données projet'!$A$114,$BV$205^A17,IF(A17='Données projet'!$A$114,'Données projet'!$B$114,BY16+BX17-CG16)))</f>
        <v>57.320000000000022</v>
      </c>
      <c r="BZ17" s="13">
        <f>BY17*VLOOKUP('Données projet'!$B$12,Paramètres!$A$1:$I$89,3,0)*VLOOKUP('Données projet'!$B$12,Paramètres!$A$1:$I$89,5,0)</f>
        <v>54.545712000000016</v>
      </c>
      <c r="CA17" s="13">
        <f t="shared" si="39"/>
        <v>15.781698579109328</v>
      </c>
      <c r="CB17" s="20">
        <f t="shared" si="10"/>
        <v>122.48690675861542</v>
      </c>
      <c r="CC17" s="58">
        <f t="shared" si="11"/>
        <v>367.56551813419139</v>
      </c>
      <c r="CD17" s="58">
        <f ca="1">AVERAGE(OFFSET($CC$3,0,0,'Données projet'!$E$12+1,1))-AVERAGE(OFFSET($H$3,0,0,'Données projet'!$E$12+1,1))</f>
        <v>684.45757350513315</v>
      </c>
      <c r="CE17" s="58">
        <f t="shared" si="40"/>
        <v>301.78148341369194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8" t="e">
        <f t="shared" si="14"/>
        <v>#N/A</v>
      </c>
      <c r="CY17" s="58" t="e">
        <f ca="1">AVERAGE(OFFSET($CX$3,0,0,'Données projet'!$E$13+1,1))-AVERAGE(OFFSET($H$3,0,0,'Données projet'!$E$13+1,1))</f>
        <v>#N/A</v>
      </c>
      <c r="CZ17" s="58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8" t="e">
        <f t="shared" si="17"/>
        <v>#N/A</v>
      </c>
      <c r="DT17" s="58" t="e">
        <f ca="1">AVERAGE(OFFSET($DS$3,0,0,'Données projet'!$E$14+1,1))-AVERAGE(OFFSET($H$3,0,0,'Données projet'!$E$14+1,1))</f>
        <v>#N/A</v>
      </c>
      <c r="DU17" s="58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8" t="e">
        <f t="shared" si="20"/>
        <v>#N/A</v>
      </c>
      <c r="EO17" s="58" t="e">
        <f ca="1">AVERAGE(OFFSET($EN$3,0,0,'Données projet'!$E$15+1,1))-AVERAGE(OFFSET($H$3,0,0,'Données projet'!$E$15+1,1))</f>
        <v>#N/A</v>
      </c>
      <c r="EP17" s="58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8" t="e">
        <f t="shared" si="23"/>
        <v>#N/A</v>
      </c>
      <c r="FJ17" s="58" t="e">
        <f ca="1">AVERAGE(OFFSET($FI$3,0,0,'Données projet'!$E$16+1,1))-AVERAGE(OFFSET($H$3,0,0,'Données projet'!$E$16+1,1))</f>
        <v>#N/A</v>
      </c>
      <c r="FK17" s="58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8" t="e">
        <f t="shared" si="26"/>
        <v>#N/A</v>
      </c>
      <c r="GE17" s="58" t="e">
        <f ca="1">AVERAGE(OFFSET($GD$3,0,0,'Données projet'!$E$17+1,1))-AVERAGE(OFFSET($H$3,0,0,'Données projet'!$E$17+1,1))</f>
        <v>#N/A</v>
      </c>
      <c r="GF17" s="58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62.172954617581325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8" t="e">
        <f t="shared" si="29"/>
        <v>#N/A</v>
      </c>
      <c r="GZ17" s="58" t="e">
        <f ca="1">AVERAGE(OFFSET($GY$3,0,0,'Données projet'!$E$18+1,1))-AVERAGE(OFFSET($H$3,0,0,'Données projet'!$E$18+1,1))</f>
        <v>#N/A</v>
      </c>
      <c r="HA17" s="58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2">
        <f>'Scénario référence'!$B$16*5+'Scénario référence'!$B$17*0+'Scénario référence'!$B$18*5</f>
        <v>2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7.333333333333333</v>
      </c>
      <c r="H18" s="66">
        <f t="shared" si="1"/>
        <v>227.33333333333334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4.0942857142857143</v>
      </c>
      <c r="N18" s="13">
        <f>IF('Données projet'!$A$36&gt;35,N17+M18-V17,IF(A18&lt;'Données projet'!$A$36,$K$205^A18,IF(A18='Données projet'!$A$36,'Données projet'!$B$36,N17+M18-V17)))</f>
        <v>61.414285714285739</v>
      </c>
      <c r="O18" s="13">
        <f>N18*VLOOKUP('Données projet'!$B$9,Paramètres!$A$1:$I$89,3,0)*VLOOKUP('Données projet'!$B$9,Paramètres!$A$1:$I$89,5,0)</f>
        <v>55.567645714285739</v>
      </c>
      <c r="P18" s="13">
        <f t="shared" si="33"/>
        <v>16.042674851771864</v>
      </c>
      <c r="Q18" s="20">
        <f t="shared" si="2"/>
        <v>124.72130831921697</v>
      </c>
      <c r="R18" s="58">
        <f t="shared" si="0"/>
        <v>371.52000829236943</v>
      </c>
      <c r="S18" s="58">
        <f ca="1">AVERAGE(OFFSET($R$3,0,0,'Données projet'!$E$9+1,1))-AVERAGE(OFFSET($H$3,0,0,'Données projet'!$E$9+1,1))</f>
        <v>654.0179680178212</v>
      </c>
      <c r="T18" s="58">
        <f t="shared" si="34"/>
        <v>289.42065570013369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6.7468421052631582</v>
      </c>
      <c r="AI18" s="13">
        <f>IF('Données projet'!$A$62&gt;35,AI17+AH18-AQ17,IF(A18&lt;'Données projet'!$A$62,$AF$205^A18,IF(A18='Données projet'!$A$62,'Données projet'!$B$62,AI17+AH18-AQ17)))</f>
        <v>46.141890012503914</v>
      </c>
      <c r="AJ18" s="13">
        <f>AI18*VLOOKUP('Données projet'!$B$10,Paramètres!$A$1:$I$89,3,0)*VLOOKUP('Données projet'!$B$10,Paramètres!$A$1:$I$89,5,0)</f>
        <v>27.592850227477346</v>
      </c>
      <c r="AK18" s="13">
        <f t="shared" si="35"/>
        <v>8.6425103534704579</v>
      </c>
      <c r="AL18" s="20">
        <f t="shared" si="4"/>
        <v>63.10991967848409</v>
      </c>
      <c r="AM18" s="58">
        <f t="shared" si="5"/>
        <v>309.90861965163651</v>
      </c>
      <c r="AN18" s="58">
        <f ca="1">AVERAGE(OFFSET($AM$3,0,0,'Données projet'!$E$10+1,1))-AVERAGE(OFFSET($H$3,0,0,'Données projet'!$E$10+1,1))</f>
        <v>447.44638185108147</v>
      </c>
      <c r="AO18" s="58">
        <f t="shared" si="36"/>
        <v>384.84260115068605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62.274085714285746</v>
      </c>
      <c r="BF18" s="13">
        <f t="shared" si="37"/>
        <v>17.741978484825932</v>
      </c>
      <c r="BG18" s="20">
        <f t="shared" si="7"/>
        <v>139.36131181345283</v>
      </c>
      <c r="BH18" s="58">
        <f t="shared" si="8"/>
        <v>386.16001178660525</v>
      </c>
      <c r="BI18" s="58">
        <f ca="1">AVERAGE(OFFSET($BH$3,0,0,'Données projet'!$E$11+1,1))-AVERAGE(OFFSET($H$3,0,0,'Données projet'!$E$11+1,1))</f>
        <v>724.99760740673071</v>
      </c>
      <c r="BJ18" s="58">
        <f t="shared" si="38"/>
        <v>318.24184272438208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4.0942857142857143</v>
      </c>
      <c r="BY18" s="12">
        <f>IF('Données projet'!$A$114&gt;35,BY17+BX18-CG17,IF(A18&lt;'Données projet'!$A$114,$BV$205^A18,IF(A18='Données projet'!$A$114,'Données projet'!$B$114,BY17+BX18-CG17)))</f>
        <v>61.414285714285739</v>
      </c>
      <c r="BZ18" s="13">
        <f>BY18*VLOOKUP('Données projet'!$B$12,Paramètres!$A$1:$I$89,3,0)*VLOOKUP('Données projet'!$B$12,Paramètres!$A$1:$I$89,5,0)</f>
        <v>58.441834285714307</v>
      </c>
      <c r="CA18" s="13">
        <f t="shared" si="39"/>
        <v>16.773714568834297</v>
      </c>
      <c r="CB18" s="20">
        <f t="shared" si="10"/>
        <v>131.0004142550055</v>
      </c>
      <c r="CC18" s="58">
        <f t="shared" si="11"/>
        <v>377.79911422815792</v>
      </c>
      <c r="CD18" s="58">
        <f ca="1">AVERAGE(OFFSET($CC$3,0,0,'Données projet'!$E$12+1,1))-AVERAGE(OFFSET($H$3,0,0,'Données projet'!$E$12+1,1))</f>
        <v>684.45757350513315</v>
      </c>
      <c r="CE18" s="58">
        <f t="shared" si="40"/>
        <v>301.78148341369194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8" t="e">
        <f t="shared" si="14"/>
        <v>#N/A</v>
      </c>
      <c r="CY18" s="58" t="e">
        <f ca="1">AVERAGE(OFFSET($CX$3,0,0,'Données projet'!$E$13+1,1))-AVERAGE(OFFSET($H$3,0,0,'Données projet'!$E$13+1,1))</f>
        <v>#N/A</v>
      </c>
      <c r="CZ18" s="58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8" t="e">
        <f t="shared" si="17"/>
        <v>#N/A</v>
      </c>
      <c r="DT18" s="58" t="e">
        <f ca="1">AVERAGE(OFFSET($DS$3,0,0,'Données projet'!$E$14+1,1))-AVERAGE(OFFSET($H$3,0,0,'Données projet'!$E$14+1,1))</f>
        <v>#N/A</v>
      </c>
      <c r="DU18" s="58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8" t="e">
        <f t="shared" si="20"/>
        <v>#N/A</v>
      </c>
      <c r="EO18" s="58" t="e">
        <f ca="1">AVERAGE(OFFSET($EN$3,0,0,'Données projet'!$E$15+1,1))-AVERAGE(OFFSET($H$3,0,0,'Données projet'!$E$15+1,1))</f>
        <v>#N/A</v>
      </c>
      <c r="EP18" s="58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8" t="e">
        <f t="shared" si="23"/>
        <v>#N/A</v>
      </c>
      <c r="FJ18" s="58" t="e">
        <f ca="1">AVERAGE(OFFSET($FI$3,0,0,'Données projet'!$E$16+1,1))-AVERAGE(OFFSET($H$3,0,0,'Données projet'!$E$16+1,1))</f>
        <v>#N/A</v>
      </c>
      <c r="FK18" s="58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8" t="e">
        <f t="shared" si="26"/>
        <v>#N/A</v>
      </c>
      <c r="GE18" s="58" t="e">
        <f ca="1">AVERAGE(OFFSET($GD$3,0,0,'Données projet'!$E$17+1,1))-AVERAGE(OFFSET($H$3,0,0,'Données projet'!$E$17+1,1))</f>
        <v>#N/A</v>
      </c>
      <c r="GF18" s="58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62.308736356314299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8" t="e">
        <f t="shared" si="29"/>
        <v>#N/A</v>
      </c>
      <c r="GZ18" s="58" t="e">
        <f ca="1">AVERAGE(OFFSET($GY$3,0,0,'Données projet'!$E$18+1,1))-AVERAGE(OFFSET($H$3,0,0,'Données projet'!$E$18+1,1))</f>
        <v>#N/A</v>
      </c>
      <c r="HA18" s="58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2">
        <f>'Scénario référence'!$B$16*5+'Scénario référence'!$B$17*0+'Scénario référence'!$B$18*5</f>
        <v>2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7.333333333333333</v>
      </c>
      <c r="H19" s="66">
        <f t="shared" si="1"/>
        <v>227.33333333333334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4.0942857142857143</v>
      </c>
      <c r="N19" s="13">
        <f>IF('Données projet'!$A$36&gt;35,N18+M19-V18,IF(A19&lt;'Données projet'!$A$36,$K$205^A19,IF(A19='Données projet'!$A$36,'Données projet'!$B$36,N18+M19-V18)))</f>
        <v>65.508571428571457</v>
      </c>
      <c r="O19" s="13">
        <f>N19*VLOOKUP('Données projet'!$B$9,Paramètres!$A$1:$I$89,3,0)*VLOOKUP('Données projet'!$B$9,Paramètres!$A$1:$I$89,5,0)</f>
        <v>59.272155428571445</v>
      </c>
      <c r="P19" s="13">
        <f t="shared" si="33"/>
        <v>16.984116557241595</v>
      </c>
      <c r="Q19" s="20">
        <f t="shared" si="2"/>
        <v>132.81300704195772</v>
      </c>
      <c r="R19" s="58">
        <f t="shared" si="0"/>
        <v>381.32315874413666</v>
      </c>
      <c r="S19" s="58">
        <f ca="1">AVERAGE(OFFSET($R$3,0,0,'Données projet'!$E$9+1,1))-AVERAGE(OFFSET($H$3,0,0,'Données projet'!$E$9+1,1))</f>
        <v>654.0179680178212</v>
      </c>
      <c r="T19" s="58">
        <f t="shared" si="34"/>
        <v>289.42065570013369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6.7468421052631582</v>
      </c>
      <c r="AI19" s="13">
        <f>IF('Données projet'!$A$62&gt;35,AI18+AH19-AQ18,IF(A19&lt;'Données projet'!$A$62,$AF$205^A19,IF(A19='Données projet'!$A$62,'Données projet'!$B$62,AI18+AH19-AQ18)))</f>
        <v>59.571024838596443</v>
      </c>
      <c r="AJ19" s="13">
        <f>AI19*VLOOKUP('Données projet'!$B$10,Paramètres!$A$1:$I$89,3,0)*VLOOKUP('Données projet'!$B$10,Paramètres!$A$1:$I$89,5,0)</f>
        <v>35.623472853480678</v>
      </c>
      <c r="AK19" s="13">
        <f t="shared" si="35"/>
        <v>10.830941753975917</v>
      </c>
      <c r="AL19" s="20">
        <f t="shared" si="4"/>
        <v>80.908105441320245</v>
      </c>
      <c r="AM19" s="58">
        <f t="shared" si="5"/>
        <v>329.4182571434992</v>
      </c>
      <c r="AN19" s="58">
        <f ca="1">AVERAGE(OFFSET($AM$3,0,0,'Données projet'!$E$10+1,1))-AVERAGE(OFFSET($H$3,0,0,'Données projet'!$E$10+1,1))</f>
        <v>447.44638185108147</v>
      </c>
      <c r="AO19" s="58">
        <f t="shared" si="36"/>
        <v>384.84260115068605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66.425691428571454</v>
      </c>
      <c r="BF19" s="13">
        <f t="shared" si="37"/>
        <v>18.783141422895284</v>
      </c>
      <c r="BG19" s="20">
        <f t="shared" si="7"/>
        <v>148.40538388297122</v>
      </c>
      <c r="BH19" s="58">
        <f t="shared" si="8"/>
        <v>396.91553558515017</v>
      </c>
      <c r="BI19" s="58">
        <f ca="1">AVERAGE(OFFSET($BH$3,0,0,'Données projet'!$E$11+1,1))-AVERAGE(OFFSET($H$3,0,0,'Données projet'!$E$11+1,1))</f>
        <v>724.99760740673071</v>
      </c>
      <c r="BJ19" s="58">
        <f t="shared" si="38"/>
        <v>318.24184272438208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4.0942857142857143</v>
      </c>
      <c r="BY19" s="12">
        <f>IF('Données projet'!$A$114&gt;35,BY18+BX19-CG18,IF(A19&lt;'Données projet'!$A$114,$BV$205^A19,IF(A19='Données projet'!$A$114,'Données projet'!$B$114,BY18+BX19-CG18)))</f>
        <v>65.508571428571457</v>
      </c>
      <c r="BZ19" s="13">
        <f>BY19*VLOOKUP('Données projet'!$B$12,Paramètres!$A$1:$I$89,3,0)*VLOOKUP('Données projet'!$B$12,Paramètres!$A$1:$I$89,5,0)</f>
        <v>62.337956571428599</v>
      </c>
      <c r="CA19" s="13">
        <f t="shared" si="39"/>
        <v>17.758056307144972</v>
      </c>
      <c r="CB19" s="20">
        <f t="shared" si="10"/>
        <v>139.50055576351562</v>
      </c>
      <c r="CC19" s="58">
        <f t="shared" si="11"/>
        <v>388.01070746569457</v>
      </c>
      <c r="CD19" s="58">
        <f ca="1">AVERAGE(OFFSET($CC$3,0,0,'Données projet'!$E$12+1,1))-AVERAGE(OFFSET($H$3,0,0,'Données projet'!$E$12+1,1))</f>
        <v>684.45757350513315</v>
      </c>
      <c r="CE19" s="58">
        <f t="shared" si="40"/>
        <v>301.78148341369194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8" t="e">
        <f t="shared" si="14"/>
        <v>#N/A</v>
      </c>
      <c r="CY19" s="58" t="e">
        <f ca="1">AVERAGE(OFFSET($CX$3,0,0,'Données projet'!$E$13+1,1))-AVERAGE(OFFSET($H$3,0,0,'Données projet'!$E$13+1,1))</f>
        <v>#N/A</v>
      </c>
      <c r="CZ19" s="58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8" t="e">
        <f t="shared" si="17"/>
        <v>#N/A</v>
      </c>
      <c r="DT19" s="58" t="e">
        <f ca="1">AVERAGE(OFFSET($DS$3,0,0,'Données projet'!$E$14+1,1))-AVERAGE(OFFSET($H$3,0,0,'Données projet'!$E$14+1,1))</f>
        <v>#N/A</v>
      </c>
      <c r="DU19" s="58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8" t="e">
        <f t="shared" si="20"/>
        <v>#N/A</v>
      </c>
      <c r="EO19" s="58" t="e">
        <f ca="1">AVERAGE(OFFSET($EN$3,0,0,'Données projet'!$E$15+1,1))-AVERAGE(OFFSET($H$3,0,0,'Données projet'!$E$15+1,1))</f>
        <v>#N/A</v>
      </c>
      <c r="EP19" s="58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8" t="e">
        <f t="shared" si="23"/>
        <v>#N/A</v>
      </c>
      <c r="FJ19" s="58" t="e">
        <f ca="1">AVERAGE(OFFSET($FI$3,0,0,'Données projet'!$E$16+1,1))-AVERAGE(OFFSET($H$3,0,0,'Données projet'!$E$16+1,1))</f>
        <v>#N/A</v>
      </c>
      <c r="FK19" s="58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8" t="e">
        <f t="shared" si="26"/>
        <v>#N/A</v>
      </c>
      <c r="GE19" s="58" t="e">
        <f ca="1">AVERAGE(OFFSET($GD$3,0,0,'Données projet'!$E$17+1,1))-AVERAGE(OFFSET($H$3,0,0,'Données projet'!$E$17+1,1))</f>
        <v>#N/A</v>
      </c>
      <c r="GF19" s="58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62.442162585442745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8" t="e">
        <f t="shared" si="29"/>
        <v>#N/A</v>
      </c>
      <c r="GZ19" s="58" t="e">
        <f ca="1">AVERAGE(OFFSET($GY$3,0,0,'Données projet'!$E$18+1,1))-AVERAGE(OFFSET($H$3,0,0,'Données projet'!$E$18+1,1))</f>
        <v>#N/A</v>
      </c>
      <c r="HA19" s="58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2">
        <f>'Scénario référence'!$B$16*5+'Scénario référence'!$B$17*0+'Scénario référence'!$B$18*5</f>
        <v>2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7.333333333333333</v>
      </c>
      <c r="H20" s="66">
        <f t="shared" si="1"/>
        <v>227.33333333333334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4.0942857142857143</v>
      </c>
      <c r="N20" s="13">
        <f>IF('Données projet'!$A$36&gt;35,N19+M20-V19,IF(A20&lt;'Données projet'!$A$36,$K$205^A20,IF(A20='Données projet'!$A$36,'Données projet'!$B$36,N19+M20-V19)))</f>
        <v>69.602857142857175</v>
      </c>
      <c r="O20" s="13">
        <f>N20*VLOOKUP('Données projet'!$B$9,Paramètres!$A$1:$I$89,3,0)*VLOOKUP('Données projet'!$B$9,Paramètres!$A$1:$I$89,5,0)</f>
        <v>62.976665142857165</v>
      </c>
      <c r="P20" s="13">
        <f t="shared" si="33"/>
        <v>17.918729435240664</v>
      </c>
      <c r="Q20" s="20">
        <f t="shared" si="2"/>
        <v>140.89281222352039</v>
      </c>
      <c r="R20" s="58">
        <f t="shared" si="0"/>
        <v>391.10592861653618</v>
      </c>
      <c r="S20" s="58">
        <f ca="1">AVERAGE(OFFSET($R$3,0,0,'Données projet'!$E$9+1,1))-AVERAGE(OFFSET($H$3,0,0,'Données projet'!$E$9+1,1))</f>
        <v>654.0179680178212</v>
      </c>
      <c r="T20" s="58">
        <f t="shared" si="34"/>
        <v>289.42065570013369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6.7468421052631582</v>
      </c>
      <c r="AI20" s="13">
        <f>IF('Données projet'!$A$62&gt;35,AI19+AH20-AQ19,IF(A20&lt;'Données projet'!$A$62,$AF$205^A20,IF(A20='Données projet'!$A$62,'Données projet'!$B$62,AI19+AH20-AQ19)))</f>
        <v>76.908574819085572</v>
      </c>
      <c r="AJ20" s="13">
        <f>AI20*VLOOKUP('Données projet'!$B$10,Paramètres!$A$1:$I$89,3,0)*VLOOKUP('Données projet'!$B$10,Paramètres!$A$1:$I$89,5,0)</f>
        <v>45.991327741813173</v>
      </c>
      <c r="AK20" s="13">
        <f t="shared" si="35"/>
        <v>13.573521405260756</v>
      </c>
      <c r="AL20" s="20">
        <f t="shared" si="4"/>
        <v>103.74211226448709</v>
      </c>
      <c r="AM20" s="58">
        <f t="shared" si="5"/>
        <v>353.95522865750286</v>
      </c>
      <c r="AN20" s="58">
        <f ca="1">AVERAGE(OFFSET($AM$3,0,0,'Données projet'!$E$10+1,1))-AVERAGE(OFFSET($H$3,0,0,'Données projet'!$E$10+1,1))</f>
        <v>447.44638185108147</v>
      </c>
      <c r="AO20" s="58">
        <f t="shared" si="36"/>
        <v>384.84260115068605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70.577297142857176</v>
      </c>
      <c r="BF20" s="13">
        <f t="shared" si="37"/>
        <v>19.816752197053003</v>
      </c>
      <c r="BG20" s="20">
        <f t="shared" si="7"/>
        <v>157.43630260034357</v>
      </c>
      <c r="BH20" s="58">
        <f t="shared" si="8"/>
        <v>407.64941899335935</v>
      </c>
      <c r="BI20" s="58">
        <f ca="1">AVERAGE(OFFSET($BH$3,0,0,'Données projet'!$E$11+1,1))-AVERAGE(OFFSET($H$3,0,0,'Données projet'!$E$11+1,1))</f>
        <v>724.99760740673071</v>
      </c>
      <c r="BJ20" s="58">
        <f t="shared" si="38"/>
        <v>318.24184272438208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4.0942857142857143</v>
      </c>
      <c r="BY20" s="12">
        <f>IF('Données projet'!$A$114&gt;35,BY19+BX20-CG19,IF(A20&lt;'Données projet'!$A$114,$BV$205^A20,IF(A20='Données projet'!$A$114,'Données projet'!$B$114,BY19+BX20-CG19)))</f>
        <v>69.602857142857175</v>
      </c>
      <c r="BZ20" s="13">
        <f>BY20*VLOOKUP('Données projet'!$B$12,Paramètres!$A$1:$I$89,3,0)*VLOOKUP('Données projet'!$B$12,Paramètres!$A$1:$I$89,5,0)</f>
        <v>66.23407885714289</v>
      </c>
      <c r="CA20" s="13">
        <f t="shared" si="39"/>
        <v>18.735258038948551</v>
      </c>
      <c r="CB20" s="20">
        <f t="shared" si="10"/>
        <v>147.98826176069258</v>
      </c>
      <c r="CC20" s="58">
        <f t="shared" si="11"/>
        <v>398.20137815370833</v>
      </c>
      <c r="CD20" s="58">
        <f ca="1">AVERAGE(OFFSET($CC$3,0,0,'Données projet'!$E$12+1,1))-AVERAGE(OFFSET($H$3,0,0,'Données projet'!$E$12+1,1))</f>
        <v>684.45757350513315</v>
      </c>
      <c r="CE20" s="58">
        <f t="shared" si="40"/>
        <v>301.78148341369194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8" t="e">
        <f t="shared" si="14"/>
        <v>#N/A</v>
      </c>
      <c r="CY20" s="58" t="e">
        <f ca="1">AVERAGE(OFFSET($CX$3,0,0,'Données projet'!$E$13+1,1))-AVERAGE(OFFSET($H$3,0,0,'Données projet'!$E$13+1,1))</f>
        <v>#N/A</v>
      </c>
      <c r="CZ20" s="58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8" t="e">
        <f t="shared" si="17"/>
        <v>#N/A</v>
      </c>
      <c r="DT20" s="58" t="e">
        <f ca="1">AVERAGE(OFFSET($DS$3,0,0,'Données projet'!$E$14+1,1))-AVERAGE(OFFSET($H$3,0,0,'Données projet'!$E$14+1,1))</f>
        <v>#N/A</v>
      </c>
      <c r="DU20" s="58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8" t="e">
        <f t="shared" si="20"/>
        <v>#N/A</v>
      </c>
      <c r="EO20" s="58" t="e">
        <f ca="1">AVERAGE(OFFSET($EN$3,0,0,'Données projet'!$E$15+1,1))-AVERAGE(OFFSET($H$3,0,0,'Données projet'!$E$15+1,1))</f>
        <v>#N/A</v>
      </c>
      <c r="EP20" s="58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8" t="e">
        <f t="shared" si="23"/>
        <v>#N/A</v>
      </c>
      <c r="FJ20" s="58" t="e">
        <f ca="1">AVERAGE(OFFSET($FI$3,0,0,'Données projet'!$E$16+1,1))-AVERAGE(OFFSET($H$3,0,0,'Données projet'!$E$16+1,1))</f>
        <v>#N/A</v>
      </c>
      <c r="FK20" s="58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8" t="e">
        <f t="shared" si="26"/>
        <v>#N/A</v>
      </c>
      <c r="GE20" s="58" t="e">
        <f ca="1">AVERAGE(OFFSET($GD$3,0,0,'Données projet'!$E$17+1,1))-AVERAGE(OFFSET($H$3,0,0,'Données projet'!$E$17+1,1))</f>
        <v>#N/A</v>
      </c>
      <c r="GF20" s="58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62.573274167792178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8" t="e">
        <f t="shared" si="29"/>
        <v>#N/A</v>
      </c>
      <c r="GZ20" s="58" t="e">
        <f ca="1">AVERAGE(OFFSET($GY$3,0,0,'Données projet'!$E$18+1,1))-AVERAGE(OFFSET($H$3,0,0,'Données projet'!$E$18+1,1))</f>
        <v>#N/A</v>
      </c>
      <c r="HA20" s="58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2">
        <f>'Scénario référence'!$B$16*5+'Scénario référence'!$B$17*0+'Scénario référence'!$B$18*5</f>
        <v>2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7.333333333333333</v>
      </c>
      <c r="H21" s="66">
        <f t="shared" si="1"/>
        <v>227.33333333333334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4.0942857142857143</v>
      </c>
      <c r="N21" s="13">
        <f>IF('Données projet'!$A$36&gt;35,N20+M21-V20,IF(A21&lt;'Données projet'!$A$36,$K$205^A21,IF(A21='Données projet'!$A$36,'Données projet'!$B$36,N20+M21-V20)))</f>
        <v>73.697142857142893</v>
      </c>
      <c r="O21" s="13">
        <f>N21*VLOOKUP('Données projet'!$B$9,Paramètres!$A$1:$I$89,3,0)*VLOOKUP('Données projet'!$B$9,Paramètres!$A$1:$I$89,5,0)</f>
        <v>66.681174857142892</v>
      </c>
      <c r="P21" s="13">
        <f t="shared" si="33"/>
        <v>18.846960938055496</v>
      </c>
      <c r="Q21" s="20">
        <f t="shared" si="2"/>
        <v>148.96150317663719</v>
      </c>
      <c r="R21" s="58">
        <f t="shared" si="0"/>
        <v>400.86924445343845</v>
      </c>
      <c r="S21" s="58">
        <f ca="1">AVERAGE(OFFSET($R$3,0,0,'Données projet'!$E$9+1,1))-AVERAGE(OFFSET($H$3,0,0,'Données projet'!$E$9+1,1))</f>
        <v>654.0179680178212</v>
      </c>
      <c r="T21" s="58">
        <f t="shared" si="34"/>
        <v>289.42065570013369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6.7468421052631582</v>
      </c>
      <c r="AI21" s="13">
        <f>IF('Données projet'!$A$62&gt;35,AI20+AH21-AQ20,IF(A21&lt;'Données projet'!$A$62,$AF$205^A21,IF(A21='Données projet'!$A$62,'Données projet'!$B$62,AI20+AH21-AQ20)))</f>
        <v>99.292045029088769</v>
      </c>
      <c r="AJ21" s="13">
        <f>AI21*VLOOKUP('Données projet'!$B$10,Paramètres!$A$1:$I$89,3,0)*VLOOKUP('Données projet'!$B$10,Paramètres!$A$1:$I$89,5,0)</f>
        <v>59.376642927395089</v>
      </c>
      <c r="AK21" s="13">
        <f t="shared" si="35"/>
        <v>17.010569119849556</v>
      </c>
      <c r="AL21" s="20">
        <f t="shared" si="4"/>
        <v>133.04106098228442</v>
      </c>
      <c r="AM21" s="58">
        <f t="shared" si="5"/>
        <v>384.94880225908571</v>
      </c>
      <c r="AN21" s="58">
        <f ca="1">AVERAGE(OFFSET($AM$3,0,0,'Données projet'!$E$10+1,1))-AVERAGE(OFFSET($H$3,0,0,'Données projet'!$E$10+1,1))</f>
        <v>447.44638185108147</v>
      </c>
      <c r="AO21" s="58">
        <f t="shared" si="36"/>
        <v>384.84260115068605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74.728902857142899</v>
      </c>
      <c r="BF21" s="13">
        <f t="shared" si="37"/>
        <v>20.843305655503205</v>
      </c>
      <c r="BG21" s="20">
        <f t="shared" si="7"/>
        <v>166.45492982619194</v>
      </c>
      <c r="BH21" s="58">
        <f t="shared" si="8"/>
        <v>418.3626711029932</v>
      </c>
      <c r="BI21" s="58">
        <f ca="1">AVERAGE(OFFSET($BH$3,0,0,'Données projet'!$E$11+1,1))-AVERAGE(OFFSET($H$3,0,0,'Données projet'!$E$11+1,1))</f>
        <v>724.99760740673071</v>
      </c>
      <c r="BJ21" s="58">
        <f t="shared" si="38"/>
        <v>318.24184272438208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4.0942857142857143</v>
      </c>
      <c r="BY21" s="12">
        <f>IF('Données projet'!$A$114&gt;35,BY20+BX21-CG20,IF(A21&lt;'Données projet'!$A$114,$BV$205^A21,IF(A21='Données projet'!$A$114,'Données projet'!$B$114,BY20+BX21-CG20)))</f>
        <v>73.697142857142893</v>
      </c>
      <c r="BZ21" s="13">
        <f>BY21*VLOOKUP('Données projet'!$B$12,Paramètres!$A$1:$I$89,3,0)*VLOOKUP('Données projet'!$B$12,Paramètres!$A$1:$I$89,5,0)</f>
        <v>70.130201142857175</v>
      </c>
      <c r="CA21" s="13">
        <f t="shared" si="39"/>
        <v>19.705787606235543</v>
      </c>
      <c r="CB21" s="20">
        <f t="shared" si="10"/>
        <v>156.46434707133648</v>
      </c>
      <c r="CC21" s="58">
        <f t="shared" si="11"/>
        <v>408.37208834813777</v>
      </c>
      <c r="CD21" s="58">
        <f ca="1">AVERAGE(OFFSET($CC$3,0,0,'Données projet'!$E$12+1,1))-AVERAGE(OFFSET($H$3,0,0,'Données projet'!$E$12+1,1))</f>
        <v>684.45757350513315</v>
      </c>
      <c r="CE21" s="58">
        <f t="shared" si="40"/>
        <v>301.78148341369194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8" t="e">
        <f t="shared" si="14"/>
        <v>#N/A</v>
      </c>
      <c r="CY21" s="58" t="e">
        <f ca="1">AVERAGE(OFFSET($CX$3,0,0,'Données projet'!$E$13+1,1))-AVERAGE(OFFSET($H$3,0,0,'Données projet'!$E$13+1,1))</f>
        <v>#N/A</v>
      </c>
      <c r="CZ21" s="58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8" t="e">
        <f t="shared" si="17"/>
        <v>#N/A</v>
      </c>
      <c r="DT21" s="58" t="e">
        <f ca="1">AVERAGE(OFFSET($DS$3,0,0,'Données projet'!$E$14+1,1))-AVERAGE(OFFSET($H$3,0,0,'Données projet'!$E$14+1,1))</f>
        <v>#N/A</v>
      </c>
      <c r="DU21" s="58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8" t="e">
        <f t="shared" si="20"/>
        <v>#N/A</v>
      </c>
      <c r="EO21" s="58" t="e">
        <f ca="1">AVERAGE(OFFSET($EN$3,0,0,'Données projet'!$E$15+1,1))-AVERAGE(OFFSET($H$3,0,0,'Données projet'!$E$15+1,1))</f>
        <v>#N/A</v>
      </c>
      <c r="EP21" s="58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8" t="e">
        <f t="shared" si="23"/>
        <v>#N/A</v>
      </c>
      <c r="FJ21" s="58" t="e">
        <f ca="1">AVERAGE(OFFSET($FI$3,0,0,'Données projet'!$E$16+1,1))-AVERAGE(OFFSET($H$3,0,0,'Données projet'!$E$16+1,1))</f>
        <v>#N/A</v>
      </c>
      <c r="FK21" s="58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8" t="e">
        <f t="shared" si="26"/>
        <v>#N/A</v>
      </c>
      <c r="GE21" s="58" t="e">
        <f ca="1">AVERAGE(OFFSET($GD$3,0,0,'Données projet'!$E$17+1,1))-AVERAGE(OFFSET($H$3,0,0,'Données projet'!$E$17+1,1))</f>
        <v>#N/A</v>
      </c>
      <c r="GF21" s="58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62.702111257309433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8" t="e">
        <f t="shared" si="29"/>
        <v>#N/A</v>
      </c>
      <c r="GZ21" s="58" t="e">
        <f ca="1">AVERAGE(OFFSET($GY$3,0,0,'Données projet'!$E$18+1,1))-AVERAGE(OFFSET($H$3,0,0,'Données projet'!$E$18+1,1))</f>
        <v>#N/A</v>
      </c>
      <c r="HA21" s="58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2">
        <f>'Scénario référence'!$B$16*5+'Scénario référence'!$B$17*0+'Scénario référence'!$B$18*5</f>
        <v>2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7.333333333333333</v>
      </c>
      <c r="H22" s="66">
        <f t="shared" si="1"/>
        <v>227.33333333333334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4.0942857142857143</v>
      </c>
      <c r="N22" s="13">
        <f>IF('Données projet'!$A$36&gt;35,N21+M22-V21,IF(A22&lt;'Données projet'!$A$36,$K$205^A22,IF(A22='Données projet'!$A$36,'Données projet'!$B$36,N21+M22-V21)))</f>
        <v>77.791428571428611</v>
      </c>
      <c r="O22" s="13">
        <f>N22*VLOOKUP('Données projet'!$B$9,Paramètres!$A$1:$I$89,3,0)*VLOOKUP('Données projet'!$B$9,Paramètres!$A$1:$I$89,5,0)</f>
        <v>70.385684571428612</v>
      </c>
      <c r="P22" s="13">
        <f t="shared" si="33"/>
        <v>19.769205993092573</v>
      </c>
      <c r="Q22" s="20">
        <f t="shared" si="2"/>
        <v>157.01976773320771</v>
      </c>
      <c r="R22" s="58">
        <f t="shared" si="0"/>
        <v>410.61393876375047</v>
      </c>
      <c r="S22" s="58">
        <f ca="1">AVERAGE(OFFSET($R$3,0,0,'Données projet'!$E$9+1,1))-AVERAGE(OFFSET($H$3,0,0,'Données projet'!$E$9+1,1))</f>
        <v>654.0179680178212</v>
      </c>
      <c r="T22" s="58">
        <f t="shared" si="34"/>
        <v>289.42065570013369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128.19</v>
      </c>
      <c r="AG22" s="12">
        <f>VLOOKUP(A22,'Données projet'!$A$61:$I$81,9,0)</f>
        <v>6.7468421052631582</v>
      </c>
      <c r="AH22" s="12">
        <f t="array" ref="AH22">INDEX(AG:AG,MIN(IF(ISNUMBER(AG22:AG218),ROW(AG22:AG218),"")))</f>
        <v>6.7468421052631582</v>
      </c>
      <c r="AI22" s="13">
        <f>IF('Données projet'!$A$62&gt;35,AI21+AH22-AQ21,IF(A22&lt;'Données projet'!$A$62,$AF$205^A22,IF(A22='Données projet'!$A$62,'Données projet'!$B$62,AI21+AH22-AQ21)))</f>
        <v>128.19</v>
      </c>
      <c r="AJ22" s="13">
        <f>AI22*VLOOKUP('Données projet'!$B$10,Paramètres!$A$1:$I$89,3,0)*VLOOKUP('Données projet'!$B$10,Paramètres!$A$1:$I$89,5,0)</f>
        <v>76.657620000000009</v>
      </c>
      <c r="AK22" s="13">
        <f t="shared" si="35"/>
        <v>21.3179360861383</v>
      </c>
      <c r="AL22" s="20">
        <f t="shared" si="4"/>
        <v>170.64076018335757</v>
      </c>
      <c r="AM22" s="58">
        <f t="shared" si="5"/>
        <v>424.23493121390032</v>
      </c>
      <c r="AN22" s="58">
        <f ca="1">AVERAGE(OFFSET($AM$3,0,0,'Données projet'!$E$10+1,1))-AVERAGE(OFFSET($H$3,0,0,'Données projet'!$E$10+1,1))</f>
        <v>447.44638185108147</v>
      </c>
      <c r="AO22" s="58">
        <f t="shared" si="36"/>
        <v>384.84260115068605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46.44</v>
      </c>
      <c r="AR22" s="16">
        <f>IF(ISNA(VLOOKUP(A22,'Données projet'!$A$61:$I$81,5,0)),0%,VLOOKUP(A22,'Données projet'!$A$61:$I$81,5,0)*VLOOKUP('Données projet'!$B$10,Paramètres!$A$1:$I$89,7,0))</f>
        <v>0.1125</v>
      </c>
      <c r="AS22" s="16">
        <f>IF(ISNA(VLOOKUP(A22,'Données projet'!$A$61:$I$81,6,0)),0%,VLOOKUP(A22,'Données projet'!$A$61:$I$81,6,0)*VLOOKUP('Données projet'!$B$10,Paramètres!$A$1:$I$89,7,0))</f>
        <v>0.16650000000000001</v>
      </c>
      <c r="AT22" s="16">
        <f>IF(ISNA(VLOOKUP(A22,'Données projet'!$A$61:$I$81,7,0)),0%,VLOOKUP(A22,'Données projet'!$A$61:$I$81,7,0))</f>
        <v>0.38</v>
      </c>
      <c r="AU22" s="21">
        <f>EXP(-LN(2)/35)*AU21+(1-EXP(-LN(2)/35))/(LN(2)/35)*AQ22*AR22*VLOOKUP('Données projet'!$B$10,Paramètres!$A$1:$I$89,3,0)*0.475*44/12</f>
        <v>4.1445203264714392</v>
      </c>
      <c r="AV22" s="21">
        <f>EXP(-LN(2)/25)*AV21+(1-EXP(-LN(2)/25))/(LN(2)/25)*Calculateur!AQ22*Calculateur!AS22*VLOOKUP('Données projet'!$B$10,Paramètres!$A$1:$I$89,3,0)*0.475*44/12</f>
        <v>6.1097386207249045</v>
      </c>
      <c r="AW22" s="21">
        <f>EXP(-LN(2)/2)*AW21+(1-EXP(-LN(2)/2))/(LN(2)/2)*AQ22*AT22*VLOOKUP('Données projet'!$B$10,Paramètres!$A$1:$I$89,3,0)*0.475*44/12</f>
        <v>11.948476420943614</v>
      </c>
      <c r="AX22" s="21">
        <f t="shared" si="6"/>
        <v>22.202735368139958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78.880508571428621</v>
      </c>
      <c r="BF22" s="13">
        <f t="shared" si="37"/>
        <v>21.863238557926771</v>
      </c>
      <c r="BG22" s="20">
        <f t="shared" si="7"/>
        <v>175.462026250294</v>
      </c>
      <c r="BH22" s="58">
        <f t="shared" si="8"/>
        <v>429.05619728083673</v>
      </c>
      <c r="BI22" s="58">
        <f ca="1">AVERAGE(OFFSET($BH$3,0,0,'Données projet'!$E$11+1,1))-AVERAGE(OFFSET($H$3,0,0,'Données projet'!$E$11+1,1))</f>
        <v>724.99760740673071</v>
      </c>
      <c r="BJ22" s="58">
        <f t="shared" si="38"/>
        <v>318.24184272438208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4.0942857142857143</v>
      </c>
      <c r="BY22" s="12">
        <f>IF('Données projet'!$A$114&gt;35,BY21+BX22-CG21,IF(A22&lt;'Données projet'!$A$114,$BV$205^A22,IF(A22='Données projet'!$A$114,'Données projet'!$B$114,BY21+BX22-CG21)))</f>
        <v>77.791428571428611</v>
      </c>
      <c r="BZ22" s="13">
        <f>BY22*VLOOKUP('Données projet'!$B$12,Paramètres!$A$1:$I$89,3,0)*VLOOKUP('Données projet'!$B$12,Paramètres!$A$1:$I$89,5,0)</f>
        <v>74.026323428571473</v>
      </c>
      <c r="CA22" s="13">
        <f t="shared" si="39"/>
        <v>20.670057932639512</v>
      </c>
      <c r="CB22" s="20">
        <f t="shared" si="10"/>
        <v>164.92953087077578</v>
      </c>
      <c r="CC22" s="58">
        <f t="shared" si="11"/>
        <v>418.52370190131853</v>
      </c>
      <c r="CD22" s="58">
        <f ca="1">AVERAGE(OFFSET($CC$3,0,0,'Données projet'!$E$12+1,1))-AVERAGE(OFFSET($H$3,0,0,'Données projet'!$E$12+1,1))</f>
        <v>684.45757350513315</v>
      </c>
      <c r="CE22" s="58">
        <f t="shared" si="40"/>
        <v>301.78148341369194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8" t="e">
        <f t="shared" si="14"/>
        <v>#N/A</v>
      </c>
      <c r="CY22" s="58" t="e">
        <f ca="1">AVERAGE(OFFSET($CX$3,0,0,'Données projet'!$E$13+1,1))-AVERAGE(OFFSET($H$3,0,0,'Données projet'!$E$13+1,1))</f>
        <v>#N/A</v>
      </c>
      <c r="CZ22" s="58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8" t="e">
        <f t="shared" si="17"/>
        <v>#N/A</v>
      </c>
      <c r="DT22" s="58" t="e">
        <f ca="1">AVERAGE(OFFSET($DS$3,0,0,'Données projet'!$E$14+1,1))-AVERAGE(OFFSET($H$3,0,0,'Données projet'!$E$14+1,1))</f>
        <v>#N/A</v>
      </c>
      <c r="DU22" s="58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8" t="e">
        <f t="shared" si="20"/>
        <v>#N/A</v>
      </c>
      <c r="EO22" s="58" t="e">
        <f ca="1">AVERAGE(OFFSET($EN$3,0,0,'Données projet'!$E$15+1,1))-AVERAGE(OFFSET($H$3,0,0,'Données projet'!$E$15+1,1))</f>
        <v>#N/A</v>
      </c>
      <c r="EP22" s="58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8" t="e">
        <f t="shared" si="23"/>
        <v>#N/A</v>
      </c>
      <c r="FJ22" s="58" t="e">
        <f ca="1">AVERAGE(OFFSET($FI$3,0,0,'Données projet'!$E$16+1,1))-AVERAGE(OFFSET($H$3,0,0,'Données projet'!$E$16+1,1))</f>
        <v>#N/A</v>
      </c>
      <c r="FK22" s="58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8" t="e">
        <f t="shared" si="26"/>
        <v>#N/A</v>
      </c>
      <c r="GE22" s="58" t="e">
        <f ca="1">AVERAGE(OFFSET($GD$3,0,0,'Données projet'!$E$17+1,1))-AVERAGE(OFFSET($H$3,0,0,'Données projet'!$E$17+1,1))</f>
        <v>#N/A</v>
      </c>
      <c r="GF22" s="58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62.828713311360147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8" t="e">
        <f t="shared" si="29"/>
        <v>#N/A</v>
      </c>
      <c r="GZ22" s="58" t="e">
        <f ca="1">AVERAGE(OFFSET($GY$3,0,0,'Données projet'!$E$18+1,1))-AVERAGE(OFFSET($H$3,0,0,'Données projet'!$E$18+1,1))</f>
        <v>#N/A</v>
      </c>
      <c r="HA22" s="58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2">
        <f>'Scénario référence'!$B$16*5+'Scénario référence'!$B$17*0+'Scénario référence'!$B$18*5</f>
        <v>2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7.333333333333333</v>
      </c>
      <c r="H23" s="66">
        <f t="shared" si="1"/>
        <v>227.33333333333334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4.0942857142857143</v>
      </c>
      <c r="N23" s="13">
        <f>IF('Données projet'!$A$36&gt;35,N22+M23-V22,IF(A23&lt;'Données projet'!$A$36,$K$205^A23,IF(A23='Données projet'!$A$36,'Données projet'!$B$36,N22+M23-V22)))</f>
        <v>81.885714285714329</v>
      </c>
      <c r="O23" s="13">
        <f>N23*VLOOKUP('Données projet'!$B$9,Paramètres!$A$1:$I$89,3,0)*VLOOKUP('Données projet'!$B$9,Paramètres!$A$1:$I$89,5,0)</f>
        <v>74.090194285714318</v>
      </c>
      <c r="P23" s="13">
        <f t="shared" si="33"/>
        <v>20.685815608516002</v>
      </c>
      <c r="Q23" s="20">
        <f t="shared" si="2"/>
        <v>165.06821723245113</v>
      </c>
      <c r="R23" s="58">
        <f t="shared" si="0"/>
        <v>420.34076505387611</v>
      </c>
      <c r="S23" s="58">
        <f ca="1">AVERAGE(OFFSET($R$3,0,0,'Données projet'!$E$9+1,1))-AVERAGE(OFFSET($H$3,0,0,'Données projet'!$E$9+1,1))</f>
        <v>654.0179680178212</v>
      </c>
      <c r="T23" s="58">
        <f t="shared" si="34"/>
        <v>289.42065570013369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19.689999999999998</v>
      </c>
      <c r="AI23" s="13">
        <f>IF('Données projet'!$A$62&gt;35,AI22+AH23-AQ22,IF(A23&lt;'Données projet'!$A$62,$AF$205^A23,IF(A23='Données projet'!$A$62,'Données projet'!$B$62,AI22+AH23-AQ22)))</f>
        <v>101.44</v>
      </c>
      <c r="AJ23" s="13">
        <f>AI23*VLOOKUP('Données projet'!$B$10,Paramètres!$A$1:$I$89,3,0)*VLOOKUP('Données projet'!$B$10,Paramètres!$A$1:$I$89,5,0)</f>
        <v>60.661119999999997</v>
      </c>
      <c r="AK23" s="13">
        <f t="shared" si="35"/>
        <v>17.33531413589208</v>
      </c>
      <c r="AL23" s="20">
        <f t="shared" si="4"/>
        <v>135.84378945334535</v>
      </c>
      <c r="AM23" s="58">
        <f t="shared" si="5"/>
        <v>391.11633727477033</v>
      </c>
      <c r="AN23" s="58">
        <f ca="1">AVERAGE(OFFSET($AM$3,0,0,'Données projet'!$E$10+1,1))-AVERAGE(OFFSET($H$3,0,0,'Données projet'!$E$10+1,1))</f>
        <v>447.44638185108147</v>
      </c>
      <c r="AO23" s="58">
        <f t="shared" si="36"/>
        <v>384.84260115068605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4.0632488107771234</v>
      </c>
      <c r="AV23" s="21">
        <f>EXP(-LN(2)/25)*AV22+(1-EXP(-LN(2)/25))/(LN(2)/25)*Calculateur!AQ23*Calculateur!AS23*VLOOKUP('Données projet'!$B$10,Paramètres!$A$1:$I$89,3,0)*0.475*44/12</f>
        <v>5.9426674968439919</v>
      </c>
      <c r="AW23" s="21">
        <f>EXP(-LN(2)/2)*AW22+(1-EXP(-LN(2)/2))/(LN(2)/2)*AQ23*AT23*VLOOKUP('Données projet'!$B$10,Paramètres!$A$1:$I$89,3,0)*0.475*44/12</f>
        <v>8.4488487020967984</v>
      </c>
      <c r="AX23" s="21">
        <f t="shared" si="6"/>
        <v>18.454765009717914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83.032114285714343</v>
      </c>
      <c r="BF23" s="13">
        <f t="shared" si="37"/>
        <v>22.876939092662138</v>
      </c>
      <c r="BG23" s="20">
        <f t="shared" si="7"/>
        <v>184.45826796733903</v>
      </c>
      <c r="BH23" s="58">
        <f t="shared" si="8"/>
        <v>439.73081578876395</v>
      </c>
      <c r="BI23" s="58">
        <f ca="1">AVERAGE(OFFSET($BH$3,0,0,'Données projet'!$E$11+1,1))-AVERAGE(OFFSET($H$3,0,0,'Données projet'!$E$11+1,1))</f>
        <v>724.99760740673071</v>
      </c>
      <c r="BJ23" s="58">
        <f t="shared" si="38"/>
        <v>318.24184272438208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4.0942857142857143</v>
      </c>
      <c r="BY23" s="12">
        <f>IF('Données projet'!$A$114&gt;35,BY22+BX23-CG22,IF(A23&lt;'Données projet'!$A$114,$BV$205^A23,IF(A23='Données projet'!$A$114,'Données projet'!$B$114,BY22+BX23-CG22)))</f>
        <v>81.885714285714329</v>
      </c>
      <c r="BZ23" s="13">
        <f>BY23*VLOOKUP('Données projet'!$B$12,Paramètres!$A$1:$I$89,3,0)*VLOOKUP('Données projet'!$B$12,Paramètres!$A$1:$I$89,5,0)</f>
        <v>77.922445714285757</v>
      </c>
      <c r="CA23" s="13">
        <f t="shared" si="39"/>
        <v>21.628436021220121</v>
      </c>
      <c r="CB23" s="20">
        <f t="shared" si="10"/>
        <v>173.38445235600605</v>
      </c>
      <c r="CC23" s="58">
        <f t="shared" si="11"/>
        <v>428.65700017743097</v>
      </c>
      <c r="CD23" s="58">
        <f ca="1">AVERAGE(OFFSET($CC$3,0,0,'Données projet'!$E$12+1,1))-AVERAGE(OFFSET($H$3,0,0,'Données projet'!$E$12+1,1))</f>
        <v>684.45757350513315</v>
      </c>
      <c r="CE23" s="58">
        <f t="shared" si="40"/>
        <v>301.78148341369194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8" t="e">
        <f t="shared" si="14"/>
        <v>#N/A</v>
      </c>
      <c r="CY23" s="58" t="e">
        <f ca="1">AVERAGE(OFFSET($CX$3,0,0,'Données projet'!$E$13+1,1))-AVERAGE(OFFSET($H$3,0,0,'Données projet'!$E$13+1,1))</f>
        <v>#N/A</v>
      </c>
      <c r="CZ23" s="58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8" t="e">
        <f t="shared" si="17"/>
        <v>#N/A</v>
      </c>
      <c r="DT23" s="58" t="e">
        <f ca="1">AVERAGE(OFFSET($DS$3,0,0,'Données projet'!$E$14+1,1))-AVERAGE(OFFSET($H$3,0,0,'Données projet'!$E$14+1,1))</f>
        <v>#N/A</v>
      </c>
      <c r="DU23" s="58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8" t="e">
        <f t="shared" si="20"/>
        <v>#N/A</v>
      </c>
      <c r="EO23" s="58" t="e">
        <f ca="1">AVERAGE(OFFSET($EN$3,0,0,'Données projet'!$E$15+1,1))-AVERAGE(OFFSET($H$3,0,0,'Données projet'!$E$15+1,1))</f>
        <v>#N/A</v>
      </c>
      <c r="EP23" s="58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8" t="e">
        <f t="shared" si="23"/>
        <v>#N/A</v>
      </c>
      <c r="FJ23" s="58" t="e">
        <f ca="1">AVERAGE(OFFSET($FI$3,0,0,'Données projet'!$E$16+1,1))-AVERAGE(OFFSET($H$3,0,0,'Données projet'!$E$16+1,1))</f>
        <v>#N/A</v>
      </c>
      <c r="FK23" s="58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8" t="e">
        <f t="shared" si="26"/>
        <v>#N/A</v>
      </c>
      <c r="GE23" s="58" t="e">
        <f ca="1">AVERAGE(OFFSET($GD$3,0,0,'Données projet'!$E$17+1,1))-AVERAGE(OFFSET($H$3,0,0,'Données projet'!$E$17+1,1))</f>
        <v>#N/A</v>
      </c>
      <c r="GF23" s="58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62.953119102812863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8" t="e">
        <f t="shared" si="29"/>
        <v>#N/A</v>
      </c>
      <c r="GZ23" s="58" t="e">
        <f ca="1">AVERAGE(OFFSET($GY$3,0,0,'Données projet'!$E$18+1,1))-AVERAGE(OFFSET($H$3,0,0,'Données projet'!$E$18+1,1))</f>
        <v>#N/A</v>
      </c>
      <c r="HA23" s="58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2">
        <f>'Scénario référence'!$B$16*5+'Scénario référence'!$B$17*0+'Scénario référence'!$B$18*5</f>
        <v>2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7.333333333333333</v>
      </c>
      <c r="H24" s="66">
        <f t="shared" si="1"/>
        <v>227.33333333333334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4.0942857142857143</v>
      </c>
      <c r="N24" s="13">
        <f>IF('Données projet'!$A$36&gt;35,N23+M24-V23,IF(A24&lt;'Données projet'!$A$36,$K$205^A24,IF(A24='Données projet'!$A$36,'Données projet'!$B$36,N23+M24-V23)))</f>
        <v>85.980000000000047</v>
      </c>
      <c r="O24" s="13">
        <f>N24*VLOOKUP('Données projet'!$B$9,Paramètres!$A$1:$I$89,3,0)*VLOOKUP('Données projet'!$B$9,Paramètres!$A$1:$I$89,5,0)</f>
        <v>77.794704000000038</v>
      </c>
      <c r="P24" s="13">
        <f t="shared" si="33"/>
        <v>21.597103708846074</v>
      </c>
      <c r="Q24" s="20">
        <f t="shared" si="2"/>
        <v>173.10739842624028</v>
      </c>
      <c r="R24" s="58">
        <f t="shared" si="0"/>
        <v>430.05040977658996</v>
      </c>
      <c r="S24" s="58">
        <f ca="1">AVERAGE(OFFSET($R$3,0,0,'Données projet'!$E$9+1,1))-AVERAGE(OFFSET($H$3,0,0,'Données projet'!$E$9+1,1))</f>
        <v>654.0179680178212</v>
      </c>
      <c r="T24" s="58">
        <f t="shared" si="34"/>
        <v>289.42065570013369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19.689999999999998</v>
      </c>
      <c r="AI24" s="13">
        <f>IF('Données projet'!$A$62&gt;35,AI23+AH24-AQ23,IF(A24&lt;'Données projet'!$A$62,$AF$205^A24,IF(A24='Données projet'!$A$62,'Données projet'!$B$62,AI23+AH24-AQ23)))</f>
        <v>121.13</v>
      </c>
      <c r="AJ24" s="13">
        <f>AI24*VLOOKUP('Données projet'!$B$10,Paramètres!$A$1:$I$89,3,0)*VLOOKUP('Données projet'!$B$10,Paramètres!$A$1:$I$89,5,0)</f>
        <v>72.435739999999996</v>
      </c>
      <c r="AK24" s="13">
        <f t="shared" si="35"/>
        <v>20.27712826657601</v>
      </c>
      <c r="AL24" s="20">
        <f t="shared" si="4"/>
        <v>161.47491223095321</v>
      </c>
      <c r="AM24" s="58">
        <f t="shared" si="5"/>
        <v>418.41792358130294</v>
      </c>
      <c r="AN24" s="58">
        <f ca="1">AVERAGE(OFFSET($AM$3,0,0,'Données projet'!$E$10+1,1))-AVERAGE(OFFSET($H$3,0,0,'Données projet'!$E$10+1,1))</f>
        <v>447.44638185108147</v>
      </c>
      <c r="AO24" s="58">
        <f t="shared" si="36"/>
        <v>384.84260115068605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3.9835709799348433</v>
      </c>
      <c r="AV24" s="21">
        <f>EXP(-LN(2)/25)*AV23+(1-EXP(-LN(2)/25))/(LN(2)/25)*Calculateur!AQ24*Calculateur!AS24*VLOOKUP('Données projet'!$B$10,Paramètres!$A$1:$I$89,3,0)*0.475*44/12</f>
        <v>5.7801649416314911</v>
      </c>
      <c r="AW24" s="21">
        <f>EXP(-LN(2)/2)*AW23+(1-EXP(-LN(2)/2))/(LN(2)/2)*AQ24*AT24*VLOOKUP('Données projet'!$B$10,Paramètres!$A$1:$I$89,3,0)*0.475*44/12</f>
        <v>5.9742382104718077</v>
      </c>
      <c r="AX24" s="21">
        <f t="shared" si="6"/>
        <v>15.737974132038143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87.183720000000051</v>
      </c>
      <c r="BF24" s="13">
        <f t="shared" si="37"/>
        <v>23.884754436357664</v>
      </c>
      <c r="BG24" s="20">
        <f t="shared" si="7"/>
        <v>193.44425964332299</v>
      </c>
      <c r="BH24" s="58">
        <f t="shared" si="8"/>
        <v>450.3872709936727</v>
      </c>
      <c r="BI24" s="58">
        <f ca="1">AVERAGE(OFFSET($BH$3,0,0,'Données projet'!$E$11+1,1))-AVERAGE(OFFSET($H$3,0,0,'Données projet'!$E$11+1,1))</f>
        <v>724.99760740673071</v>
      </c>
      <c r="BJ24" s="58">
        <f t="shared" si="38"/>
        <v>318.24184272438208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4.0942857142857143</v>
      </c>
      <c r="BY24" s="12">
        <f>IF('Données projet'!$A$114&gt;35,BY23+BX24-CG23,IF(A24&lt;'Données projet'!$A$114,$BV$205^A24,IF(A24='Données projet'!$A$114,'Données projet'!$B$114,BY23+BX24-CG23)))</f>
        <v>85.980000000000047</v>
      </c>
      <c r="BZ24" s="13">
        <f>BY24*VLOOKUP('Données projet'!$B$12,Paramètres!$A$1:$I$89,3,0)*VLOOKUP('Données projet'!$B$12,Paramètres!$A$1:$I$89,5,0)</f>
        <v>81.818568000000042</v>
      </c>
      <c r="CA24" s="13">
        <f t="shared" si="39"/>
        <v>22.581250101549351</v>
      </c>
      <c r="CB24" s="20">
        <f t="shared" si="10"/>
        <v>181.82968319353185</v>
      </c>
      <c r="CC24" s="58">
        <f t="shared" si="11"/>
        <v>438.77269454388158</v>
      </c>
      <c r="CD24" s="58">
        <f ca="1">AVERAGE(OFFSET($CC$3,0,0,'Données projet'!$E$12+1,1))-AVERAGE(OFFSET($H$3,0,0,'Données projet'!$E$12+1,1))</f>
        <v>684.45757350513315</v>
      </c>
      <c r="CE24" s="58">
        <f t="shared" si="40"/>
        <v>301.78148341369194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8" t="e">
        <f t="shared" si="14"/>
        <v>#N/A</v>
      </c>
      <c r="CY24" s="58" t="e">
        <f ca="1">AVERAGE(OFFSET($CX$3,0,0,'Données projet'!$E$13+1,1))-AVERAGE(OFFSET($H$3,0,0,'Données projet'!$E$13+1,1))</f>
        <v>#N/A</v>
      </c>
      <c r="CZ24" s="58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8" t="e">
        <f t="shared" si="17"/>
        <v>#N/A</v>
      </c>
      <c r="DT24" s="58" t="e">
        <f ca="1">AVERAGE(OFFSET($DS$3,0,0,'Données projet'!$E$14+1,1))-AVERAGE(OFFSET($H$3,0,0,'Données projet'!$E$14+1,1))</f>
        <v>#N/A</v>
      </c>
      <c r="DU24" s="58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8" t="e">
        <f t="shared" si="20"/>
        <v>#N/A</v>
      </c>
      <c r="EO24" s="58" t="e">
        <f ca="1">AVERAGE(OFFSET($EN$3,0,0,'Données projet'!$E$15+1,1))-AVERAGE(OFFSET($H$3,0,0,'Données projet'!$E$15+1,1))</f>
        <v>#N/A</v>
      </c>
      <c r="EP24" s="58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8" t="e">
        <f t="shared" si="23"/>
        <v>#N/A</v>
      </c>
      <c r="FJ24" s="58" t="e">
        <f ca="1">AVERAGE(OFFSET($FI$3,0,0,'Données projet'!$E$16+1,1))-AVERAGE(OFFSET($H$3,0,0,'Données projet'!$E$16+1,1))</f>
        <v>#N/A</v>
      </c>
      <c r="FK24" s="58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8" t="e">
        <f t="shared" si="26"/>
        <v>#N/A</v>
      </c>
      <c r="GE24" s="58" t="e">
        <f ca="1">AVERAGE(OFFSET($GD$3,0,0,'Données projet'!$E$17+1,1))-AVERAGE(OFFSET($H$3,0,0,'Données projet'!$E$17+1,1))</f>
        <v>#N/A</v>
      </c>
      <c r="GF24" s="58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63.075366731913569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8" t="e">
        <f t="shared" si="29"/>
        <v>#N/A</v>
      </c>
      <c r="GZ24" s="58" t="e">
        <f ca="1">AVERAGE(OFFSET($GY$3,0,0,'Données projet'!$E$18+1,1))-AVERAGE(OFFSET($H$3,0,0,'Données projet'!$E$18+1,1))</f>
        <v>#N/A</v>
      </c>
      <c r="HA24" s="58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2">
        <f>'Scénario référence'!$B$16*5+'Scénario référence'!$B$17*0+'Scénario référence'!$B$18*5</f>
        <v>2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7.333333333333333</v>
      </c>
      <c r="H25" s="66">
        <f t="shared" si="1"/>
        <v>227.33333333333334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4.0942857142857143</v>
      </c>
      <c r="N25" s="13">
        <f>IF('Données projet'!$A$36&gt;35,N24+M25-V24,IF(A25&lt;'Données projet'!$A$36,$K$205^A25,IF(A25='Données projet'!$A$36,'Données projet'!$B$36,N24+M25-V24)))</f>
        <v>90.074285714285764</v>
      </c>
      <c r="O25" s="13">
        <f>N25*VLOOKUP('Données projet'!$B$9,Paramètres!$A$1:$I$89,3,0)*VLOOKUP('Données projet'!$B$9,Paramètres!$A$1:$I$89,5,0)</f>
        <v>81.499213714285759</v>
      </c>
      <c r="P25" s="13">
        <f t="shared" si="33"/>
        <v>22.503352631648468</v>
      </c>
      <c r="Q25" s="20">
        <f t="shared" si="2"/>
        <v>181.13780305250211</v>
      </c>
      <c r="R25" s="58">
        <f t="shared" si="0"/>
        <v>439.74350194722274</v>
      </c>
      <c r="S25" s="58">
        <f ca="1">AVERAGE(OFFSET($R$3,0,0,'Données projet'!$E$9+1,1))-AVERAGE(OFFSET($H$3,0,0,'Données projet'!$E$9+1,1))</f>
        <v>654.0179680178212</v>
      </c>
      <c r="T25" s="58">
        <f t="shared" si="34"/>
        <v>289.42065570013369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19.689999999999998</v>
      </c>
      <c r="AI25" s="13">
        <f>IF('Données projet'!$A$62&gt;35,AI24+AH25-AQ24,IF(A25&lt;'Données projet'!$A$62,$AF$205^A25,IF(A25='Données projet'!$A$62,'Données projet'!$B$62,AI24+AH25-AQ24)))</f>
        <v>140.82</v>
      </c>
      <c r="AJ25" s="13">
        <f>AI25*VLOOKUP('Données projet'!$B$10,Paramètres!$A$1:$I$89,3,0)*VLOOKUP('Données projet'!$B$10,Paramètres!$A$1:$I$89,5,0)</f>
        <v>84.210359999999994</v>
      </c>
      <c r="AK25" s="13">
        <f t="shared" si="35"/>
        <v>23.163545870604516</v>
      </c>
      <c r="AL25" s="20">
        <f t="shared" si="4"/>
        <v>187.00955272463617</v>
      </c>
      <c r="AM25" s="58">
        <f t="shared" si="5"/>
        <v>445.61525161935685</v>
      </c>
      <c r="AN25" s="58">
        <f ca="1">AVERAGE(OFFSET($AM$3,0,0,'Données projet'!$E$10+1,1))-AVERAGE(OFFSET($H$3,0,0,'Données projet'!$E$10+1,1))</f>
        <v>447.44638185108147</v>
      </c>
      <c r="AO25" s="58">
        <f t="shared" si="36"/>
        <v>384.84260115068605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3.9054555827567019</v>
      </c>
      <c r="AV25" s="21">
        <f>EXP(-LN(2)/25)*AV24+(1-EXP(-LN(2)/25))/(LN(2)/25)*Calculateur!AQ25*Calculateur!AS25*VLOOKUP('Données projet'!$B$10,Paramètres!$A$1:$I$89,3,0)*0.475*44/12</f>
        <v>5.6221060273369146</v>
      </c>
      <c r="AW25" s="21">
        <f>EXP(-LN(2)/2)*AW24+(1-EXP(-LN(2)/2))/(LN(2)/2)*AQ25*AT25*VLOOKUP('Données projet'!$B$10,Paramètres!$A$1:$I$89,3,0)*0.475*44/12</f>
        <v>4.2244243510484001</v>
      </c>
      <c r="AX25" s="21">
        <f t="shared" si="6"/>
        <v>13.751985961142017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91.335325714285773</v>
      </c>
      <c r="BF25" s="13">
        <f t="shared" si="37"/>
        <v>24.886996832891736</v>
      </c>
      <c r="BG25" s="20">
        <f t="shared" si="7"/>
        <v>202.42054510300082</v>
      </c>
      <c r="BH25" s="58">
        <f t="shared" si="8"/>
        <v>461.02624399772151</v>
      </c>
      <c r="BI25" s="58">
        <f ca="1">AVERAGE(OFFSET($BH$3,0,0,'Données projet'!$E$11+1,1))-AVERAGE(OFFSET($H$3,0,0,'Données projet'!$E$11+1,1))</f>
        <v>724.99760740673071</v>
      </c>
      <c r="BJ25" s="58">
        <f t="shared" si="38"/>
        <v>318.24184272438208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4.0942857142857143</v>
      </c>
      <c r="BY25" s="12">
        <f>IF('Données projet'!$A$114&gt;35,BY24+BX25-CG24,IF(A25&lt;'Données projet'!$A$114,$BV$205^A25,IF(A25='Données projet'!$A$114,'Données projet'!$B$114,BY24+BX25-CG24)))</f>
        <v>90.074285714285764</v>
      </c>
      <c r="BZ25" s="13">
        <f>BY25*VLOOKUP('Données projet'!$B$12,Paramètres!$A$1:$I$89,3,0)*VLOOKUP('Données projet'!$B$12,Paramètres!$A$1:$I$89,5,0)</f>
        <v>85.71469028571434</v>
      </c>
      <c r="CA25" s="13">
        <f t="shared" si="39"/>
        <v>23.528795376876193</v>
      </c>
      <c r="CB25" s="20">
        <f t="shared" si="10"/>
        <v>190.26573752901183</v>
      </c>
      <c r="CC25" s="58">
        <f t="shared" si="11"/>
        <v>448.87143642373246</v>
      </c>
      <c r="CD25" s="58">
        <f ca="1">AVERAGE(OFFSET($CC$3,0,0,'Données projet'!$E$12+1,1))-AVERAGE(OFFSET($H$3,0,0,'Données projet'!$E$12+1,1))</f>
        <v>684.45757350513315</v>
      </c>
      <c r="CE25" s="58">
        <f t="shared" si="40"/>
        <v>301.78148341369194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8" t="e">
        <f t="shared" si="14"/>
        <v>#N/A</v>
      </c>
      <c r="CY25" s="58" t="e">
        <f ca="1">AVERAGE(OFFSET($CX$3,0,0,'Données projet'!$E$13+1,1))-AVERAGE(OFFSET($H$3,0,0,'Données projet'!$E$13+1,1))</f>
        <v>#N/A</v>
      </c>
      <c r="CZ25" s="58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8" t="e">
        <f t="shared" si="17"/>
        <v>#N/A</v>
      </c>
      <c r="DT25" s="58" t="e">
        <f ca="1">AVERAGE(OFFSET($DS$3,0,0,'Données projet'!$E$14+1,1))-AVERAGE(OFFSET($H$3,0,0,'Données projet'!$E$14+1,1))</f>
        <v>#N/A</v>
      </c>
      <c r="DU25" s="58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8" t="e">
        <f t="shared" si="20"/>
        <v>#N/A</v>
      </c>
      <c r="EO25" s="58" t="e">
        <f ca="1">AVERAGE(OFFSET($EN$3,0,0,'Données projet'!$E$15+1,1))-AVERAGE(OFFSET($H$3,0,0,'Données projet'!$E$15+1,1))</f>
        <v>#N/A</v>
      </c>
      <c r="EP25" s="58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8" t="e">
        <f t="shared" si="23"/>
        <v>#N/A</v>
      </c>
      <c r="FJ25" s="58" t="e">
        <f ca="1">AVERAGE(OFFSET($FI$3,0,0,'Données projet'!$E$16+1,1))-AVERAGE(OFFSET($H$3,0,0,'Données projet'!$E$16+1,1))</f>
        <v>#N/A</v>
      </c>
      <c r="FK25" s="58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8" t="e">
        <f t="shared" si="26"/>
        <v>#N/A</v>
      </c>
      <c r="GE25" s="58" t="e">
        <f ca="1">AVERAGE(OFFSET($GD$3,0,0,'Données projet'!$E$17+1,1))-AVERAGE(OFFSET($H$3,0,0,'Données projet'!$E$17+1,1))</f>
        <v>#N/A</v>
      </c>
      <c r="GF25" s="58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63.195493637954129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8" t="e">
        <f t="shared" si="29"/>
        <v>#N/A</v>
      </c>
      <c r="GZ25" s="58" t="e">
        <f ca="1">AVERAGE(OFFSET($GY$3,0,0,'Données projet'!$E$18+1,1))-AVERAGE(OFFSET($H$3,0,0,'Données projet'!$E$18+1,1))</f>
        <v>#N/A</v>
      </c>
      <c r="HA25" s="58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2">
        <f>'Scénario référence'!$B$16*5+'Scénario référence'!$B$17*0+'Scénario référence'!$B$18*5</f>
        <v>2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7.333333333333333</v>
      </c>
      <c r="H26" s="66">
        <f t="shared" si="1"/>
        <v>227.33333333333334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4.0942857142857143</v>
      </c>
      <c r="N26" s="13">
        <f>IF('Données projet'!$A$36&gt;35,N25+M26-V25,IF(A26&lt;'Données projet'!$A$36,$K$205^A26,IF(A26='Données projet'!$A$36,'Données projet'!$B$36,N25+M26-V25)))</f>
        <v>94.168571428571482</v>
      </c>
      <c r="O26" s="13">
        <f>N26*VLOOKUP('Données projet'!$B$9,Paramètres!$A$1:$I$89,3,0)*VLOOKUP('Données projet'!$B$9,Paramètres!$A$1:$I$89,5,0)</f>
        <v>85.203723428571479</v>
      </c>
      <c r="P26" s="13">
        <f t="shared" si="33"/>
        <v>23.404817596574706</v>
      </c>
      <c r="Q26" s="20">
        <f t="shared" si="2"/>
        <v>189.15987561879626</v>
      </c>
      <c r="R26" s="58">
        <f t="shared" si="0"/>
        <v>449.42062096928157</v>
      </c>
      <c r="S26" s="58">
        <f ca="1">AVERAGE(OFFSET($R$3,0,0,'Données projet'!$E$9+1,1))-AVERAGE(OFFSET($H$3,0,0,'Données projet'!$E$9+1,1))</f>
        <v>654.0179680178212</v>
      </c>
      <c r="T26" s="58">
        <f t="shared" si="34"/>
        <v>289.42065570013369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19.689999999999998</v>
      </c>
      <c r="AI26" s="13">
        <f>IF('Données projet'!$A$62&gt;35,AI25+AH26-AQ25,IF(A26&lt;'Données projet'!$A$62,$AF$205^A26,IF(A26='Données projet'!$A$62,'Données projet'!$B$62,AI25+AH26-AQ25)))</f>
        <v>160.51</v>
      </c>
      <c r="AJ26" s="13">
        <f>AI26*VLOOKUP('Données projet'!$B$10,Paramètres!$A$1:$I$89,3,0)*VLOOKUP('Données projet'!$B$10,Paramètres!$A$1:$I$89,5,0)</f>
        <v>95.984979999999993</v>
      </c>
      <c r="AK26" s="13">
        <f t="shared" si="35"/>
        <v>26.003205128101659</v>
      </c>
      <c r="AL26" s="20">
        <f t="shared" si="4"/>
        <v>212.46275576477706</v>
      </c>
      <c r="AM26" s="58">
        <f t="shared" si="5"/>
        <v>472.72350111526237</v>
      </c>
      <c r="AN26" s="58">
        <f ca="1">AVERAGE(OFFSET($AM$3,0,0,'Données projet'!$E$10+1,1))-AVERAGE(OFFSET($H$3,0,0,'Données projet'!$E$10+1,1))</f>
        <v>447.44638185108147</v>
      </c>
      <c r="AO26" s="58">
        <f t="shared" si="36"/>
        <v>384.84260115068605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3.8288719808715364</v>
      </c>
      <c r="AV26" s="21">
        <f>EXP(-LN(2)/25)*AV25+(1-EXP(-LN(2)/25))/(LN(2)/25)*Calculateur!AQ26*Calculateur!AS26*VLOOKUP('Données projet'!$B$10,Paramètres!$A$1:$I$89,3,0)*0.475*44/12</f>
        <v>5.4683692423656804</v>
      </c>
      <c r="AW26" s="21">
        <f>EXP(-LN(2)/2)*AW25+(1-EXP(-LN(2)/2))/(LN(2)/2)*AQ26*AT26*VLOOKUP('Données projet'!$B$10,Paramètres!$A$1:$I$89,3,0)*0.475*44/12</f>
        <v>2.9871191052359043</v>
      </c>
      <c r="AX26" s="21">
        <f t="shared" si="6"/>
        <v>12.28436032847312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95.486931428571495</v>
      </c>
      <c r="BF26" s="13">
        <f t="shared" si="37"/>
        <v>25.883948535791781</v>
      </c>
      <c r="BG26" s="20">
        <f t="shared" si="7"/>
        <v>211.38761593793268</v>
      </c>
      <c r="BH26" s="58">
        <f t="shared" si="8"/>
        <v>471.64836128841796</v>
      </c>
      <c r="BI26" s="58">
        <f ca="1">AVERAGE(OFFSET($BH$3,0,0,'Données projet'!$E$11+1,1))-AVERAGE(OFFSET($H$3,0,0,'Données projet'!$E$11+1,1))</f>
        <v>724.99760740673071</v>
      </c>
      <c r="BJ26" s="58">
        <f t="shared" si="38"/>
        <v>318.24184272438208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4.0942857142857143</v>
      </c>
      <c r="BY26" s="12">
        <f>IF('Données projet'!$A$114&gt;35,BY25+BX26-CG25,IF(A26&lt;'Données projet'!$A$114,$BV$205^A26,IF(A26='Données projet'!$A$114,'Données projet'!$B$114,BY25+BX26-CG25)))</f>
        <v>94.168571428571482</v>
      </c>
      <c r="BZ26" s="13">
        <f>BY26*VLOOKUP('Données projet'!$B$12,Paramètres!$A$1:$I$89,3,0)*VLOOKUP('Données projet'!$B$12,Paramètres!$A$1:$I$89,5,0)</f>
        <v>89.610812571428625</v>
      </c>
      <c r="CA26" s="13">
        <f t="shared" si="39"/>
        <v>24.471338696814321</v>
      </c>
      <c r="CB26" s="20">
        <f t="shared" si="10"/>
        <v>198.69308012552312</v>
      </c>
      <c r="CC26" s="58">
        <f t="shared" si="11"/>
        <v>458.95382547600843</v>
      </c>
      <c r="CD26" s="58">
        <f ca="1">AVERAGE(OFFSET($CC$3,0,0,'Données projet'!$E$12+1,1))-AVERAGE(OFFSET($H$3,0,0,'Données projet'!$E$12+1,1))</f>
        <v>684.45757350513315</v>
      </c>
      <c r="CE26" s="58">
        <f t="shared" si="40"/>
        <v>301.78148341369194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8" t="e">
        <f t="shared" si="14"/>
        <v>#N/A</v>
      </c>
      <c r="CY26" s="58" t="e">
        <f ca="1">AVERAGE(OFFSET($CX$3,0,0,'Données projet'!$E$13+1,1))-AVERAGE(OFFSET($H$3,0,0,'Données projet'!$E$13+1,1))</f>
        <v>#N/A</v>
      </c>
      <c r="CZ26" s="58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8" t="e">
        <f t="shared" si="17"/>
        <v>#N/A</v>
      </c>
      <c r="DT26" s="58" t="e">
        <f ca="1">AVERAGE(OFFSET($DS$3,0,0,'Données projet'!$E$14+1,1))-AVERAGE(OFFSET($H$3,0,0,'Données projet'!$E$14+1,1))</f>
        <v>#N/A</v>
      </c>
      <c r="DU26" s="58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8" t="e">
        <f t="shared" si="20"/>
        <v>#N/A</v>
      </c>
      <c r="EO26" s="58" t="e">
        <f ca="1">AVERAGE(OFFSET($EN$3,0,0,'Données projet'!$E$15+1,1))-AVERAGE(OFFSET($H$3,0,0,'Données projet'!$E$15+1,1))</f>
        <v>#N/A</v>
      </c>
      <c r="EP26" s="58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8" t="e">
        <f t="shared" si="23"/>
        <v>#N/A</v>
      </c>
      <c r="FJ26" s="58" t="e">
        <f ca="1">AVERAGE(OFFSET($FI$3,0,0,'Données projet'!$E$16+1,1))-AVERAGE(OFFSET($H$3,0,0,'Données projet'!$E$16+1,1))</f>
        <v>#N/A</v>
      </c>
      <c r="FK26" s="58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8" t="e">
        <f t="shared" si="26"/>
        <v>#N/A</v>
      </c>
      <c r="GE26" s="58" t="e">
        <f ca="1">AVERAGE(OFFSET($GD$3,0,0,'Données projet'!$E$17+1,1))-AVERAGE(OFFSET($H$3,0,0,'Données projet'!$E$17+1,1))</f>
        <v>#N/A</v>
      </c>
      <c r="GF26" s="58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63.31353661073841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8" t="e">
        <f t="shared" si="29"/>
        <v>#N/A</v>
      </c>
      <c r="GZ26" s="58" t="e">
        <f ca="1">AVERAGE(OFFSET($GY$3,0,0,'Données projet'!$E$18+1,1))-AVERAGE(OFFSET($H$3,0,0,'Données projet'!$E$18+1,1))</f>
        <v>#N/A</v>
      </c>
      <c r="HA26" s="58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2">
        <f>'Scénario référence'!$B$16*5+'Scénario référence'!$B$17*0+'Scénario référence'!$B$18*5</f>
        <v>2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7.333333333333333</v>
      </c>
      <c r="H27" s="66">
        <f t="shared" si="1"/>
        <v>227.33333333333334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4.0942857142857143</v>
      </c>
      <c r="N27" s="13">
        <f>IF('Données projet'!$A$36&gt;35,N26+M27-V26,IF(A27&lt;'Données projet'!$A$36,$K$205^A27,IF(A27='Données projet'!$A$36,'Données projet'!$B$36,N26+M27-V26)))</f>
        <v>98.2628571428572</v>
      </c>
      <c r="O27" s="13">
        <f>N27*VLOOKUP('Données projet'!$B$9,Paramètres!$A$1:$I$89,3,0)*VLOOKUP('Données projet'!$B$9,Paramètres!$A$1:$I$89,5,0)</f>
        <v>88.908233142857185</v>
      </c>
      <c r="P27" s="13">
        <f t="shared" si="33"/>
        <v>24.301730375247274</v>
      </c>
      <c r="Q27" s="20">
        <f t="shared" si="2"/>
        <v>197.17401979403192</v>
      </c>
      <c r="R27" s="58">
        <f t="shared" si="0"/>
        <v>459.08230306747987</v>
      </c>
      <c r="S27" s="58">
        <f ca="1">AVERAGE(OFFSET($R$3,0,0,'Données projet'!$E$9+1,1))-AVERAGE(OFFSET($H$3,0,0,'Données projet'!$E$9+1,1))</f>
        <v>654.0179680178212</v>
      </c>
      <c r="T27" s="58">
        <f t="shared" si="34"/>
        <v>289.42065570013369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180.2</v>
      </c>
      <c r="AG27" s="12">
        <f>VLOOKUP(A27,'Données projet'!$A$61:$I$81,9,0)</f>
        <v>19.689999999999998</v>
      </c>
      <c r="AH27" s="12">
        <f t="array" ref="AH27">INDEX(AG:AG,MIN(IF(ISNUMBER(AG27:AG223),ROW(AG27:AG223),"")))</f>
        <v>19.689999999999998</v>
      </c>
      <c r="AI27" s="13">
        <f>IF('Données projet'!$A$62&gt;35,AI26+AH27-AQ26,IF(A27&lt;'Données projet'!$A$62,$AF$205^A27,IF(A27='Données projet'!$A$62,'Données projet'!$B$62,AI26+AH27-AQ26)))</f>
        <v>180.2</v>
      </c>
      <c r="AJ27" s="13">
        <f>AI27*VLOOKUP('Données projet'!$B$10,Paramètres!$A$1:$I$89,3,0)*VLOOKUP('Données projet'!$B$10,Paramètres!$A$1:$I$89,5,0)</f>
        <v>107.75959999999999</v>
      </c>
      <c r="AK27" s="13">
        <f t="shared" si="35"/>
        <v>28.802498356761163</v>
      </c>
      <c r="AL27" s="20">
        <f t="shared" si="4"/>
        <v>237.84565463802571</v>
      </c>
      <c r="AM27" s="58">
        <f t="shared" si="5"/>
        <v>499.7539379114736</v>
      </c>
      <c r="AN27" s="58">
        <f ca="1">AVERAGE(OFFSET($AM$3,0,0,'Données projet'!$E$10+1,1))-AVERAGE(OFFSET($H$3,0,0,'Données projet'!$E$10+1,1))</f>
        <v>447.44638185108147</v>
      </c>
      <c r="AO27" s="58">
        <f t="shared" si="36"/>
        <v>384.84260115068605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44.889999999999986</v>
      </c>
      <c r="AR27" s="16">
        <f>IF(ISNA(VLOOKUP(A27,'Données projet'!$A$61:$I$81,5,0)),0%,VLOOKUP(A27,'Données projet'!$A$61:$I$81,5,0)*VLOOKUP('Données projet'!$B$10,Paramètres!$A$1:$I$89,7,0))</f>
        <v>0.1125</v>
      </c>
      <c r="AS27" s="16">
        <f>IF(ISNA(VLOOKUP(A27,'Données projet'!$A$61:$I$81,6,0)),0%,VLOOKUP(A27,'Données projet'!$A$61:$I$81,6,0)*VLOOKUP('Données projet'!$B$10,Paramètres!$A$1:$I$89,7,0))</f>
        <v>0.16650000000000001</v>
      </c>
      <c r="AT27" s="16">
        <f>IF(ISNA(VLOOKUP(A27,'Données projet'!$A$61:$I$81,7,0)),0%,VLOOKUP(A27,'Données projet'!$A$61:$I$81,7,0))</f>
        <v>0.38</v>
      </c>
      <c r="AU27" s="21">
        <f>EXP(-LN(2)/35)*AU26+(1-EXP(-LN(2)/35))/(LN(2)/35)*AQ27*AR27*VLOOKUP('Données projet'!$B$10,Paramètres!$A$1:$I$89,3,0)*0.475*44/12</f>
        <v>7.7599812963828647</v>
      </c>
      <c r="AV27" s="21">
        <f>EXP(-LN(2)/25)*AV26+(1-EXP(-LN(2)/25))/(LN(2)/25)*Calculateur!AQ27*Calculateur!AS27*VLOOKUP('Données projet'!$B$10,Paramètres!$A$1:$I$89,3,0)*0.475*44/12</f>
        <v>11.224653940593283</v>
      </c>
      <c r="AW27" s="21">
        <f>EXP(-LN(2)/2)*AW26+(1-EXP(-LN(2)/2))/(LN(2)/2)*AQ27*AT27*VLOOKUP('Données projet'!$B$10,Paramètres!$A$1:$I$89,3,0)*0.475*44/12</f>
        <v>13.661891472168442</v>
      </c>
      <c r="AX27" s="21">
        <f t="shared" si="6"/>
        <v>32.646526709144588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99.638537142857203</v>
      </c>
      <c r="BF27" s="13">
        <f t="shared" si="37"/>
        <v>26.875865866848134</v>
      </c>
      <c r="BG27" s="20">
        <f t="shared" si="7"/>
        <v>220.34591857523677</v>
      </c>
      <c r="BH27" s="58">
        <f t="shared" si="8"/>
        <v>482.25420184868472</v>
      </c>
      <c r="BI27" s="58">
        <f ca="1">AVERAGE(OFFSET($BH$3,0,0,'Données projet'!$E$11+1,1))-AVERAGE(OFFSET($H$3,0,0,'Données projet'!$E$11+1,1))</f>
        <v>724.99760740673071</v>
      </c>
      <c r="BJ27" s="58">
        <f t="shared" si="38"/>
        <v>318.24184272438208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4.0942857142857143</v>
      </c>
      <c r="BY27" s="12">
        <f>IF('Données projet'!$A$114&gt;35,BY26+BX27-CG26,IF(A27&lt;'Données projet'!$A$114,$BV$205^A27,IF(A27='Données projet'!$A$114,'Données projet'!$B$114,BY26+BX27-CG26)))</f>
        <v>98.2628571428572</v>
      </c>
      <c r="BZ27" s="13">
        <f>BY27*VLOOKUP('Données projet'!$B$12,Paramètres!$A$1:$I$89,3,0)*VLOOKUP('Données projet'!$B$12,Paramètres!$A$1:$I$89,5,0)</f>
        <v>93.506934857142909</v>
      </c>
      <c r="CA27" s="13">
        <f t="shared" si="39"/>
        <v>25.409122394458233</v>
      </c>
      <c r="CB27" s="20">
        <f t="shared" si="10"/>
        <v>207.11213304653862</v>
      </c>
      <c r="CC27" s="58">
        <f t="shared" si="11"/>
        <v>469.02041631998657</v>
      </c>
      <c r="CD27" s="58">
        <f ca="1">AVERAGE(OFFSET($CC$3,0,0,'Données projet'!$E$12+1,1))-AVERAGE(OFFSET($H$3,0,0,'Données projet'!$E$12+1,1))</f>
        <v>684.45757350513315</v>
      </c>
      <c r="CE27" s="58">
        <f t="shared" si="40"/>
        <v>301.78148341369194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8" t="e">
        <f t="shared" si="14"/>
        <v>#N/A</v>
      </c>
      <c r="CY27" s="58" t="e">
        <f ca="1">AVERAGE(OFFSET($CX$3,0,0,'Données projet'!$E$13+1,1))-AVERAGE(OFFSET($H$3,0,0,'Données projet'!$E$13+1,1))</f>
        <v>#N/A</v>
      </c>
      <c r="CZ27" s="58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8" t="e">
        <f t="shared" si="17"/>
        <v>#N/A</v>
      </c>
      <c r="DT27" s="58" t="e">
        <f ca="1">AVERAGE(OFFSET($DS$3,0,0,'Données projet'!$E$14+1,1))-AVERAGE(OFFSET($H$3,0,0,'Données projet'!$E$14+1,1))</f>
        <v>#N/A</v>
      </c>
      <c r="DU27" s="58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8" t="e">
        <f t="shared" si="20"/>
        <v>#N/A</v>
      </c>
      <c r="EO27" s="58" t="e">
        <f ca="1">AVERAGE(OFFSET($EN$3,0,0,'Données projet'!$E$15+1,1))-AVERAGE(OFFSET($H$3,0,0,'Données projet'!$E$15+1,1))</f>
        <v>#N/A</v>
      </c>
      <c r="EP27" s="58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8" t="e">
        <f t="shared" si="23"/>
        <v>#N/A</v>
      </c>
      <c r="FJ27" s="58" t="e">
        <f ca="1">AVERAGE(OFFSET($FI$3,0,0,'Données projet'!$E$16+1,1))-AVERAGE(OFFSET($H$3,0,0,'Données projet'!$E$16+1,1))</f>
        <v>#N/A</v>
      </c>
      <c r="FK27" s="58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8" t="e">
        <f t="shared" si="26"/>
        <v>#N/A</v>
      </c>
      <c r="GE27" s="58" t="e">
        <f ca="1">AVERAGE(OFFSET($GD$3,0,0,'Données projet'!$E$17+1,1))-AVERAGE(OFFSET($H$3,0,0,'Données projet'!$E$17+1,1))</f>
        <v>#N/A</v>
      </c>
      <c r="GF27" s="58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63.429531801849436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8" t="e">
        <f t="shared" si="29"/>
        <v>#N/A</v>
      </c>
      <c r="GZ27" s="58" t="e">
        <f ca="1">AVERAGE(OFFSET($GY$3,0,0,'Données projet'!$E$18+1,1))-AVERAGE(OFFSET($H$3,0,0,'Données projet'!$E$18+1,1))</f>
        <v>#N/A</v>
      </c>
      <c r="HA27" s="58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2">
        <f>'Scénario référence'!$B$16*5+'Scénario référence'!$B$17*0+'Scénario référence'!$B$18*5</f>
        <v>2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7.333333333333333</v>
      </c>
      <c r="H28" s="66">
        <f t="shared" si="1"/>
        <v>227.33333333333334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4.0942857142857143</v>
      </c>
      <c r="N28" s="13">
        <f>IF('Données projet'!$A$36&gt;35,N27+M28-V27,IF(A28&lt;'Données projet'!$A$36,$K$205^A28,IF(A28='Données projet'!$A$36,'Données projet'!$B$36,N27+M28-V27)))</f>
        <v>102.35714285714292</v>
      </c>
      <c r="O28" s="13">
        <f>N28*VLOOKUP('Données projet'!$B$9,Paramètres!$A$1:$I$89,3,0)*VLOOKUP('Données projet'!$B$9,Paramètres!$A$1:$I$89,5,0)</f>
        <v>92.612742857142905</v>
      </c>
      <c r="P28" s="13">
        <f t="shared" si="33"/>
        <v>25.194302332262133</v>
      </c>
      <c r="Q28" s="20">
        <f t="shared" si="2"/>
        <v>205.18060370488044</v>
      </c>
      <c r="R28" s="58">
        <f t="shared" si="0"/>
        <v>468.72904662474662</v>
      </c>
      <c r="S28" s="58">
        <f ca="1">AVERAGE(OFFSET($R$3,0,0,'Données projet'!$E$9+1,1))-AVERAGE(OFFSET($H$3,0,0,'Données projet'!$E$9+1,1))</f>
        <v>654.0179680178212</v>
      </c>
      <c r="T28" s="58">
        <f t="shared" si="34"/>
        <v>289.42065570013369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20.831666666666667</v>
      </c>
      <c r="AI28" s="13">
        <f>IF('Données projet'!$A$62&gt;35,AI27+AH28-AQ27,IF(A28&lt;'Données projet'!$A$62,$AF$205^A28,IF(A28='Données projet'!$A$62,'Données projet'!$B$62,AI27+AH28-AQ27)))</f>
        <v>156.14166666666668</v>
      </c>
      <c r="AJ28" s="13">
        <f>AI28*VLOOKUP('Données projet'!$B$10,Paramètres!$A$1:$I$89,3,0)*VLOOKUP('Données projet'!$B$10,Paramètres!$A$1:$I$89,5,0)</f>
        <v>93.372716666666676</v>
      </c>
      <c r="AK28" s="13">
        <f t="shared" si="35"/>
        <v>25.376893216447979</v>
      </c>
      <c r="AL28" s="20">
        <f t="shared" si="4"/>
        <v>206.82223721309137</v>
      </c>
      <c r="AM28" s="58">
        <f t="shared" si="5"/>
        <v>470.37068013295755</v>
      </c>
      <c r="AN28" s="58">
        <f ca="1">AVERAGE(OFFSET($AM$3,0,0,'Données projet'!$E$10+1,1))-AVERAGE(OFFSET($H$3,0,0,'Données projet'!$E$10+1,1))</f>
        <v>447.44638185108147</v>
      </c>
      <c r="AO28" s="58">
        <f t="shared" si="36"/>
        <v>384.84260115068605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7.6078127962820306</v>
      </c>
      <c r="AV28" s="21">
        <f>EXP(-LN(2)/25)*AV27+(1-EXP(-LN(2)/25))/(LN(2)/25)*Calculateur!AQ28*Calculateur!AS28*VLOOKUP('Données projet'!$B$10,Paramètres!$A$1:$I$89,3,0)*0.475*44/12</f>
        <v>10.917715188308863</v>
      </c>
      <c r="AW28" s="21">
        <f>EXP(-LN(2)/2)*AW27+(1-EXP(-LN(2)/2))/(LN(2)/2)*AQ28*AT28*VLOOKUP('Données projet'!$B$10,Paramètres!$A$1:$I$89,3,0)*0.475*44/12</f>
        <v>9.6604161038049714</v>
      </c>
      <c r="AX28" s="21">
        <f t="shared" si="6"/>
        <v>28.185944088395864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103.79014285714292</v>
      </c>
      <c r="BF28" s="13">
        <f t="shared" si="37"/>
        <v>27.862982579231517</v>
      </c>
      <c r="BG28" s="20">
        <f t="shared" si="7"/>
        <v>229.29586013501878</v>
      </c>
      <c r="BH28" s="58">
        <f t="shared" si="8"/>
        <v>492.8443030548849</v>
      </c>
      <c r="BI28" s="58">
        <f ca="1">AVERAGE(OFFSET($BH$3,0,0,'Données projet'!$E$11+1,1))-AVERAGE(OFFSET($H$3,0,0,'Données projet'!$E$11+1,1))</f>
        <v>724.99760740673071</v>
      </c>
      <c r="BJ28" s="58">
        <f t="shared" si="38"/>
        <v>318.24184272438208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4.0942857142857143</v>
      </c>
      <c r="BY28" s="12">
        <f>IF('Données projet'!$A$114&gt;35,BY27+BX28-CG27,IF(A28&lt;'Données projet'!$A$114,$BV$205^A28,IF(A28='Données projet'!$A$114,'Données projet'!$B$114,BY27+BX28-CG27)))</f>
        <v>102.35714285714292</v>
      </c>
      <c r="BZ28" s="13">
        <f>BY28*VLOOKUP('Données projet'!$B$12,Paramètres!$A$1:$I$89,3,0)*VLOOKUP('Données projet'!$B$12,Paramètres!$A$1:$I$89,5,0)</f>
        <v>97.403057142857193</v>
      </c>
      <c r="CA28" s="13">
        <f t="shared" si="39"/>
        <v>26.342367465959477</v>
      </c>
      <c r="CB28" s="20">
        <f t="shared" si="10"/>
        <v>215.52328119368903</v>
      </c>
      <c r="CC28" s="58">
        <f t="shared" si="11"/>
        <v>479.07172411355521</v>
      </c>
      <c r="CD28" s="58">
        <f ca="1">AVERAGE(OFFSET($CC$3,0,0,'Données projet'!$E$12+1,1))-AVERAGE(OFFSET($H$3,0,0,'Données projet'!$E$12+1,1))</f>
        <v>684.45757350513315</v>
      </c>
      <c r="CE28" s="58">
        <f t="shared" si="40"/>
        <v>301.78148341369194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8" t="e">
        <f t="shared" si="14"/>
        <v>#N/A</v>
      </c>
      <c r="CY28" s="58" t="e">
        <f ca="1">AVERAGE(OFFSET($CX$3,0,0,'Données projet'!$E$13+1,1))-AVERAGE(OFFSET($H$3,0,0,'Données projet'!$E$13+1,1))</f>
        <v>#N/A</v>
      </c>
      <c r="CZ28" s="58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8" t="e">
        <f t="shared" si="17"/>
        <v>#N/A</v>
      </c>
      <c r="DT28" s="58" t="e">
        <f ca="1">AVERAGE(OFFSET($DS$3,0,0,'Données projet'!$E$14+1,1))-AVERAGE(OFFSET($H$3,0,0,'Données projet'!$E$14+1,1))</f>
        <v>#N/A</v>
      </c>
      <c r="DU28" s="58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8" t="e">
        <f t="shared" si="20"/>
        <v>#N/A</v>
      </c>
      <c r="EO28" s="58" t="e">
        <f ca="1">AVERAGE(OFFSET($EN$3,0,0,'Données projet'!$E$15+1,1))-AVERAGE(OFFSET($H$3,0,0,'Données projet'!$E$15+1,1))</f>
        <v>#N/A</v>
      </c>
      <c r="EP28" s="58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8" t="e">
        <f t="shared" si="23"/>
        <v>#N/A</v>
      </c>
      <c r="FJ28" s="58" t="e">
        <f ca="1">AVERAGE(OFFSET($FI$3,0,0,'Données projet'!$E$16+1,1))-AVERAGE(OFFSET($H$3,0,0,'Données projet'!$E$16+1,1))</f>
        <v>#N/A</v>
      </c>
      <c r="FK28" s="58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8" t="e">
        <f t="shared" si="26"/>
        <v>#N/A</v>
      </c>
      <c r="GE28" s="58" t="e">
        <f ca="1">AVERAGE(OFFSET($GD$3,0,0,'Données projet'!$E$17+1,1))-AVERAGE(OFFSET($H$3,0,0,'Données projet'!$E$17+1,1))</f>
        <v>#N/A</v>
      </c>
      <c r="GF28" s="58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63.543514735721075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8" t="e">
        <f t="shared" si="29"/>
        <v>#N/A</v>
      </c>
      <c r="GZ28" s="58" t="e">
        <f ca="1">AVERAGE(OFFSET($GY$3,0,0,'Données projet'!$E$18+1,1))-AVERAGE(OFFSET($H$3,0,0,'Données projet'!$E$18+1,1))</f>
        <v>#N/A</v>
      </c>
      <c r="HA28" s="58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2">
        <f>'Scénario référence'!$B$16*5+'Scénario référence'!$B$17*0+'Scénario référence'!$B$18*5</f>
        <v>2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7.333333333333333</v>
      </c>
      <c r="H29" s="66">
        <f t="shared" si="1"/>
        <v>227.33333333333334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4.0942857142857143</v>
      </c>
      <c r="N29" s="13">
        <f>IF('Données projet'!$A$36&gt;35,N28+M29-V28,IF(A29&lt;'Données projet'!$A$36,$K$205^A29,IF(A29='Données projet'!$A$36,'Données projet'!$B$36,N28+M29-V28)))</f>
        <v>106.45142857142864</v>
      </c>
      <c r="O29" s="13">
        <f>N29*VLOOKUP('Données projet'!$B$9,Paramètres!$A$1:$I$89,3,0)*VLOOKUP('Données projet'!$B$9,Paramètres!$A$1:$I$89,5,0)</f>
        <v>96.317252571428625</v>
      </c>
      <c r="P29" s="13">
        <f t="shared" si="33"/>
        <v>26.082726965934707</v>
      </c>
      <c r="Q29" s="20">
        <f t="shared" si="2"/>
        <v>213.1799643609078</v>
      </c>
      <c r="R29" s="58">
        <f t="shared" si="0"/>
        <v>478.36131664725065</v>
      </c>
      <c r="S29" s="58">
        <f ca="1">AVERAGE(OFFSET($R$3,0,0,'Données projet'!$E$9+1,1))-AVERAGE(OFFSET($H$3,0,0,'Données projet'!$E$9+1,1))</f>
        <v>654.0179680178212</v>
      </c>
      <c r="T29" s="58">
        <f t="shared" si="34"/>
        <v>289.42065570013369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20.831666666666667</v>
      </c>
      <c r="AI29" s="13">
        <f>IF('Données projet'!$A$62&gt;35,AI28+AH29-AQ28,IF(A29&lt;'Données projet'!$A$62,$AF$205^A29,IF(A29='Données projet'!$A$62,'Données projet'!$B$62,AI28+AH29-AQ28)))</f>
        <v>176.97333333333336</v>
      </c>
      <c r="AJ29" s="13">
        <f>AI29*VLOOKUP('Données projet'!$B$10,Paramètres!$A$1:$I$89,3,0)*VLOOKUP('Données projet'!$B$10,Paramètres!$A$1:$I$89,5,0)</f>
        <v>105.83005333333337</v>
      </c>
      <c r="AK29" s="13">
        <f t="shared" si="35"/>
        <v>28.346313797628294</v>
      </c>
      <c r="AL29" s="20">
        <f t="shared" si="4"/>
        <v>233.69050608642488</v>
      </c>
      <c r="AM29" s="58">
        <f t="shared" si="5"/>
        <v>498.87185837276769</v>
      </c>
      <c r="AN29" s="58">
        <f ca="1">AVERAGE(OFFSET($AM$3,0,0,'Données projet'!$E$10+1,1))-AVERAGE(OFFSET($H$3,0,0,'Données projet'!$E$10+1,1))</f>
        <v>447.44638185108147</v>
      </c>
      <c r="AO29" s="58">
        <f t="shared" si="36"/>
        <v>384.84260115068605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7.458628227654553</v>
      </c>
      <c r="AV29" s="21">
        <f>EXP(-LN(2)/25)*AV28+(1-EXP(-LN(2)/25))/(LN(2)/25)*Calculateur!AQ29*Calculateur!AS29*VLOOKUP('Données projet'!$B$10,Paramètres!$A$1:$I$89,3,0)*0.475*44/12</f>
        <v>10.619169692346869</v>
      </c>
      <c r="AW29" s="21">
        <f>EXP(-LN(2)/2)*AW28+(1-EXP(-LN(2)/2))/(LN(2)/2)*AQ29*AT29*VLOOKUP('Données projet'!$B$10,Paramètres!$A$1:$I$89,3,0)*0.475*44/12</f>
        <v>6.8309457360842227</v>
      </c>
      <c r="AX29" s="21">
        <f t="shared" si="6"/>
        <v>24.908743656085647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107.94174857142863</v>
      </c>
      <c r="BF29" s="13">
        <f t="shared" si="37"/>
        <v>28.845512667364968</v>
      </c>
      <c r="BG29" s="20">
        <f t="shared" si="7"/>
        <v>238.23781332423221</v>
      </c>
      <c r="BH29" s="58">
        <f t="shared" si="8"/>
        <v>503.41916561057502</v>
      </c>
      <c r="BI29" s="58">
        <f ca="1">AVERAGE(OFFSET($BH$3,0,0,'Données projet'!$E$11+1,1))-AVERAGE(OFFSET($H$3,0,0,'Données projet'!$E$11+1,1))</f>
        <v>724.99760740673071</v>
      </c>
      <c r="BJ29" s="58">
        <f t="shared" si="38"/>
        <v>318.24184272438208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4.0942857142857143</v>
      </c>
      <c r="BY29" s="12">
        <f>IF('Données projet'!$A$114&gt;35,BY28+BX29-CG28,IF(A29&lt;'Données projet'!$A$114,$BV$205^A29,IF(A29='Données projet'!$A$114,'Données projet'!$B$114,BY28+BX29-CG28)))</f>
        <v>106.45142857142864</v>
      </c>
      <c r="BZ29" s="13">
        <f>BY29*VLOOKUP('Données projet'!$B$12,Paramètres!$A$1:$I$89,3,0)*VLOOKUP('Données projet'!$B$12,Paramètres!$A$1:$I$89,5,0)</f>
        <v>101.29917942857151</v>
      </c>
      <c r="CA29" s="13">
        <f t="shared" si="39"/>
        <v>27.271276227050439</v>
      </c>
      <c r="CB29" s="20">
        <f t="shared" si="10"/>
        <v>223.92687693354154</v>
      </c>
      <c r="CC29" s="58">
        <f t="shared" si="11"/>
        <v>489.10822921988438</v>
      </c>
      <c r="CD29" s="58">
        <f ca="1">AVERAGE(OFFSET($CC$3,0,0,'Données projet'!$E$12+1,1))-AVERAGE(OFFSET($H$3,0,0,'Données projet'!$E$12+1,1))</f>
        <v>684.45757350513315</v>
      </c>
      <c r="CE29" s="58">
        <f t="shared" si="40"/>
        <v>301.78148341369194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8" t="e">
        <f t="shared" si="14"/>
        <v>#N/A</v>
      </c>
      <c r="CY29" s="58" t="e">
        <f ca="1">AVERAGE(OFFSET($CX$3,0,0,'Données projet'!$E$13+1,1))-AVERAGE(OFFSET($H$3,0,0,'Données projet'!$E$13+1,1))</f>
        <v>#N/A</v>
      </c>
      <c r="CZ29" s="58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8" t="e">
        <f t="shared" si="17"/>
        <v>#N/A</v>
      </c>
      <c r="DT29" s="58" t="e">
        <f ca="1">AVERAGE(OFFSET($DS$3,0,0,'Données projet'!$E$14+1,1))-AVERAGE(OFFSET($H$3,0,0,'Données projet'!$E$14+1,1))</f>
        <v>#N/A</v>
      </c>
      <c r="DU29" s="58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8" t="e">
        <f t="shared" si="20"/>
        <v>#N/A</v>
      </c>
      <c r="EO29" s="58" t="e">
        <f ca="1">AVERAGE(OFFSET($EN$3,0,0,'Données projet'!$E$15+1,1))-AVERAGE(OFFSET($H$3,0,0,'Données projet'!$E$15+1,1))</f>
        <v>#N/A</v>
      </c>
      <c r="EP29" s="58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8" t="e">
        <f t="shared" si="23"/>
        <v>#N/A</v>
      </c>
      <c r="FJ29" s="58" t="e">
        <f ca="1">AVERAGE(OFFSET($FI$3,0,0,'Données projet'!$E$16+1,1))-AVERAGE(OFFSET($H$3,0,0,'Données projet'!$E$16+1,1))</f>
        <v>#N/A</v>
      </c>
      <c r="FK29" s="58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8" t="e">
        <f t="shared" si="26"/>
        <v>#N/A</v>
      </c>
      <c r="GE29" s="58" t="e">
        <f ca="1">AVERAGE(OFFSET($GD$3,0,0,'Données projet'!$E$17+1,1))-AVERAGE(OFFSET($H$3,0,0,'Données projet'!$E$17+1,1))</f>
        <v>#N/A</v>
      </c>
      <c r="GF29" s="58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63.655520320517724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8" t="e">
        <f t="shared" si="29"/>
        <v>#N/A</v>
      </c>
      <c r="GZ29" s="58" t="e">
        <f ca="1">AVERAGE(OFFSET($GY$3,0,0,'Données projet'!$E$18+1,1))-AVERAGE(OFFSET($H$3,0,0,'Données projet'!$E$18+1,1))</f>
        <v>#N/A</v>
      </c>
      <c r="HA29" s="58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2">
        <f>'Scénario référence'!$B$16*5+'Scénario référence'!$B$17*0+'Scénario référence'!$B$18*5</f>
        <v>2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7.333333333333333</v>
      </c>
      <c r="H30" s="66">
        <f t="shared" si="1"/>
        <v>227.33333333333334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4.0942857142857143</v>
      </c>
      <c r="N30" s="13">
        <f>IF('Données projet'!$A$36&gt;35,N29+M30-V29,IF(A30&lt;'Données projet'!$A$36,$K$205^A30,IF(A30='Données projet'!$A$36,'Données projet'!$B$36,N29+M30-V29)))</f>
        <v>110.54571428571435</v>
      </c>
      <c r="O30" s="13">
        <f>N30*VLOOKUP('Données projet'!$B$9,Paramètres!$A$1:$I$89,3,0)*VLOOKUP('Données projet'!$B$9,Paramètres!$A$1:$I$89,5,0)</f>
        <v>100.02176228571433</v>
      </c>
      <c r="P30" s="13">
        <f t="shared" si="33"/>
        <v>26.967182047167292</v>
      </c>
      <c r="Q30" s="20">
        <f t="shared" si="2"/>
        <v>221.17241137976885</v>
      </c>
      <c r="R30" s="58">
        <f t="shared" si="0"/>
        <v>487.97954852879428</v>
      </c>
      <c r="S30" s="58">
        <f ca="1">AVERAGE(OFFSET($R$3,0,0,'Données projet'!$E$9+1,1))-AVERAGE(OFFSET($H$3,0,0,'Données projet'!$E$9+1,1))</f>
        <v>654.0179680178212</v>
      </c>
      <c r="T30" s="58">
        <f t="shared" si="34"/>
        <v>289.42065570013369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20.831666666666667</v>
      </c>
      <c r="AI30" s="13">
        <f>IF('Données projet'!$A$62&gt;35,AI29+AH30-AQ29,IF(A30&lt;'Données projet'!$A$62,$AF$205^A30,IF(A30='Données projet'!$A$62,'Données projet'!$B$62,AI29+AH30-AQ29)))</f>
        <v>197.80500000000004</v>
      </c>
      <c r="AJ30" s="13">
        <f>AI30*VLOOKUP('Données projet'!$B$10,Paramètres!$A$1:$I$89,3,0)*VLOOKUP('Données projet'!$B$10,Paramètres!$A$1:$I$89,5,0)</f>
        <v>118.28739000000003</v>
      </c>
      <c r="AK30" s="13">
        <f t="shared" si="35"/>
        <v>31.2752275807016</v>
      </c>
      <c r="AL30" s="20">
        <f t="shared" si="4"/>
        <v>260.48822561972202</v>
      </c>
      <c r="AM30" s="58">
        <f t="shared" si="5"/>
        <v>527.29536276874751</v>
      </c>
      <c r="AN30" s="58">
        <f ca="1">AVERAGE(OFFSET($AM$3,0,0,'Données projet'!$E$10+1,1))-AVERAGE(OFFSET($H$3,0,0,'Données projet'!$E$10+1,1))</f>
        <v>447.44638185108147</v>
      </c>
      <c r="AO30" s="58">
        <f t="shared" si="36"/>
        <v>384.84260115068605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7.3123690774242585</v>
      </c>
      <c r="AV30" s="21">
        <f>EXP(-LN(2)/25)*AV29+(1-EXP(-LN(2)/25))/(LN(2)/25)*Calculateur!AQ30*Calculateur!AS30*VLOOKUP('Données projet'!$B$10,Paramètres!$A$1:$I$89,3,0)*0.475*44/12</f>
        <v>10.32878793867178</v>
      </c>
      <c r="AW30" s="21">
        <f>EXP(-LN(2)/2)*AW29+(1-EXP(-LN(2)/2))/(LN(2)/2)*AQ30*AT30*VLOOKUP('Données projet'!$B$10,Paramètres!$A$1:$I$89,3,0)*0.475*44/12</f>
        <v>4.8302080519024866</v>
      </c>
      <c r="AX30" s="21">
        <f t="shared" si="6"/>
        <v>22.471365067998526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112.09335428571437</v>
      </c>
      <c r="BF30" s="13">
        <f t="shared" si="37"/>
        <v>29.823652732348606</v>
      </c>
      <c r="BG30" s="20">
        <f t="shared" si="7"/>
        <v>247.17212055645965</v>
      </c>
      <c r="BH30" s="58">
        <f t="shared" si="8"/>
        <v>513.97925770548511</v>
      </c>
      <c r="BI30" s="58">
        <f ca="1">AVERAGE(OFFSET($BH$3,0,0,'Données projet'!$E$11+1,1))-AVERAGE(OFFSET($H$3,0,0,'Données projet'!$E$11+1,1))</f>
        <v>724.99760740673071</v>
      </c>
      <c r="BJ30" s="58">
        <f t="shared" si="38"/>
        <v>318.24184272438208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4.0942857142857143</v>
      </c>
      <c r="BY30" s="12">
        <f>IF('Données projet'!$A$114&gt;35,BY29+BX30-CG29,IF(A30&lt;'Données projet'!$A$114,$BV$205^A30,IF(A30='Données projet'!$A$114,'Données projet'!$B$114,BY29+BX30-CG29)))</f>
        <v>110.54571428571435</v>
      </c>
      <c r="BZ30" s="13">
        <f>BY30*VLOOKUP('Données projet'!$B$12,Paramètres!$A$1:$I$89,3,0)*VLOOKUP('Données projet'!$B$12,Paramètres!$A$1:$I$89,5,0)</f>
        <v>105.19530171428579</v>
      </c>
      <c r="CA30" s="13">
        <f t="shared" si="39"/>
        <v>28.196034549376744</v>
      </c>
      <c r="CB30" s="20">
        <f t="shared" si="10"/>
        <v>232.32324399254557</v>
      </c>
      <c r="CC30" s="58">
        <f t="shared" si="11"/>
        <v>499.13038114157098</v>
      </c>
      <c r="CD30" s="58">
        <f ca="1">AVERAGE(OFFSET($CC$3,0,0,'Données projet'!$E$12+1,1))-AVERAGE(OFFSET($H$3,0,0,'Données projet'!$E$12+1,1))</f>
        <v>684.45757350513315</v>
      </c>
      <c r="CE30" s="58">
        <f t="shared" si="40"/>
        <v>301.78148341369194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8" t="e">
        <f t="shared" si="14"/>
        <v>#N/A</v>
      </c>
      <c r="CY30" s="58" t="e">
        <f ca="1">AVERAGE(OFFSET($CX$3,0,0,'Données projet'!$E$13+1,1))-AVERAGE(OFFSET($H$3,0,0,'Données projet'!$E$13+1,1))</f>
        <v>#N/A</v>
      </c>
      <c r="CZ30" s="58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8" t="e">
        <f t="shared" si="17"/>
        <v>#N/A</v>
      </c>
      <c r="DT30" s="58" t="e">
        <f ca="1">AVERAGE(OFFSET($DS$3,0,0,'Données projet'!$E$14+1,1))-AVERAGE(OFFSET($H$3,0,0,'Données projet'!$E$14+1,1))</f>
        <v>#N/A</v>
      </c>
      <c r="DU30" s="58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8" t="e">
        <f t="shared" si="20"/>
        <v>#N/A</v>
      </c>
      <c r="EO30" s="58" t="e">
        <f ca="1">AVERAGE(OFFSET($EN$3,0,0,'Données projet'!$E$15+1,1))-AVERAGE(OFFSET($H$3,0,0,'Données projet'!$E$15+1,1))</f>
        <v>#N/A</v>
      </c>
      <c r="EP30" s="58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8" t="e">
        <f t="shared" si="23"/>
        <v>#N/A</v>
      </c>
      <c r="FJ30" s="58" t="e">
        <f ca="1">AVERAGE(OFFSET($FI$3,0,0,'Données projet'!$E$16+1,1))-AVERAGE(OFFSET($H$3,0,0,'Données projet'!$E$16+1,1))</f>
        <v>#N/A</v>
      </c>
      <c r="FK30" s="58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8" t="e">
        <f t="shared" si="26"/>
        <v>#N/A</v>
      </c>
      <c r="GE30" s="58" t="e">
        <f ca="1">AVERAGE(OFFSET($GD$3,0,0,'Données projet'!$E$17+1,1))-AVERAGE(OFFSET($H$3,0,0,'Données projet'!$E$17+1,1))</f>
        <v>#N/A</v>
      </c>
      <c r="GF30" s="58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63.765582858825113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8" t="e">
        <f t="shared" si="29"/>
        <v>#N/A</v>
      </c>
      <c r="GZ30" s="58" t="e">
        <f ca="1">AVERAGE(OFFSET($GY$3,0,0,'Données projet'!$E$18+1,1))-AVERAGE(OFFSET($H$3,0,0,'Données projet'!$E$18+1,1))</f>
        <v>#N/A</v>
      </c>
      <c r="HA30" s="58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2">
        <f>'Scénario référence'!$B$16*5+'Scénario référence'!$B$17*0+'Scénario référence'!$B$18*5</f>
        <v>2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7.333333333333333</v>
      </c>
      <c r="H31" s="66">
        <f t="shared" si="1"/>
        <v>227.33333333333334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4.0942857142857143</v>
      </c>
      <c r="N31" s="13">
        <f>IF('Données projet'!$A$36&gt;35,N30+M31-V30,IF(A31&lt;'Données projet'!$A$36,$K$205^A31,IF(A31='Données projet'!$A$36,'Données projet'!$B$36,N30+M31-V30)))</f>
        <v>114.64000000000007</v>
      </c>
      <c r="O31" s="13">
        <f>N31*VLOOKUP('Données projet'!$B$9,Paramètres!$A$1:$I$89,3,0)*VLOOKUP('Données projet'!$B$9,Paramètres!$A$1:$I$89,5,0)</f>
        <v>103.72627200000005</v>
      </c>
      <c r="P31" s="13">
        <f t="shared" si="33"/>
        <v>27.847831432539717</v>
      </c>
      <c r="Q31" s="20">
        <f t="shared" si="2"/>
        <v>229.15823014500677</v>
      </c>
      <c r="R31" s="58">
        <f t="shared" si="0"/>
        <v>497.58415124713372</v>
      </c>
      <c r="S31" s="58">
        <f ca="1">AVERAGE(OFFSET($R$3,0,0,'Données projet'!$E$9+1,1))-AVERAGE(OFFSET($H$3,0,0,'Données projet'!$E$9+1,1))</f>
        <v>654.0179680178212</v>
      </c>
      <c r="T31" s="58">
        <f t="shared" si="34"/>
        <v>289.42065570013369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20.831666666666667</v>
      </c>
      <c r="AI31" s="13">
        <f>IF('Données projet'!$A$62&gt;35,AI30+AH31-AQ30,IF(A31&lt;'Données projet'!$A$62,$AF$205^A31,IF(A31='Données projet'!$A$62,'Données projet'!$B$62,AI30+AH31-AQ30)))</f>
        <v>218.63666666666671</v>
      </c>
      <c r="AJ31" s="13">
        <f>AI31*VLOOKUP('Données projet'!$B$10,Paramètres!$A$1:$I$89,3,0)*VLOOKUP('Données projet'!$B$10,Paramètres!$A$1:$I$89,5,0)</f>
        <v>130.74472666666671</v>
      </c>
      <c r="AK31" s="13">
        <f t="shared" si="35"/>
        <v>34.168386546839542</v>
      </c>
      <c r="AL31" s="20">
        <f t="shared" si="4"/>
        <v>287.22367218019002</v>
      </c>
      <c r="AM31" s="58">
        <f t="shared" si="5"/>
        <v>555.64959328231703</v>
      </c>
      <c r="AN31" s="58">
        <f ca="1">AVERAGE(OFFSET($AM$3,0,0,'Données projet'!$E$10+1,1))-AVERAGE(OFFSET($H$3,0,0,'Données projet'!$E$10+1,1))</f>
        <v>447.44638185108147</v>
      </c>
      <c r="AO31" s="58">
        <f t="shared" si="36"/>
        <v>384.84260115068605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7.1689779799207072</v>
      </c>
      <c r="AV31" s="21">
        <f>EXP(-LN(2)/25)*AV30+(1-EXP(-LN(2)/25))/(LN(2)/25)*Calculateur!AQ31*Calculateur!AS31*VLOOKUP('Données projet'!$B$10,Paramètres!$A$1:$I$89,3,0)*0.475*44/12</f>
        <v>10.046346689321449</v>
      </c>
      <c r="AW31" s="21">
        <f>EXP(-LN(2)/2)*AW30+(1-EXP(-LN(2)/2))/(LN(2)/2)*AQ31*AT31*VLOOKUP('Données projet'!$B$10,Paramètres!$A$1:$I$89,3,0)*0.475*44/12</f>
        <v>3.4154728680421118</v>
      </c>
      <c r="AX31" s="21">
        <f t="shared" si="6"/>
        <v>20.63079753728427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116.24496000000008</v>
      </c>
      <c r="BF31" s="13">
        <f t="shared" si="37"/>
        <v>30.797583987099902</v>
      </c>
      <c r="BG31" s="20">
        <f t="shared" si="7"/>
        <v>256.09909744419912</v>
      </c>
      <c r="BH31" s="58">
        <f t="shared" si="8"/>
        <v>524.52501854632601</v>
      </c>
      <c r="BI31" s="58">
        <f ca="1">AVERAGE(OFFSET($BH$3,0,0,'Données projet'!$E$11+1,1))-AVERAGE(OFFSET($H$3,0,0,'Données projet'!$E$11+1,1))</f>
        <v>724.99760740673071</v>
      </c>
      <c r="BJ31" s="58">
        <f t="shared" si="38"/>
        <v>318.24184272438208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4.0942857142857143</v>
      </c>
      <c r="BY31" s="12">
        <f>IF('Données projet'!$A$114&gt;35,BY30+BX31-CG30,IF(A31&lt;'Données projet'!$A$114,$BV$205^A31,IF(A31='Données projet'!$A$114,'Données projet'!$B$114,BY30+BX31-CG30)))</f>
        <v>114.64000000000007</v>
      </c>
      <c r="BZ31" s="13">
        <f>BY31*VLOOKUP('Données projet'!$B$12,Paramètres!$A$1:$I$89,3,0)*VLOOKUP('Données projet'!$B$12,Paramètres!$A$1:$I$89,5,0)</f>
        <v>109.09142400000007</v>
      </c>
      <c r="CA31" s="13">
        <f t="shared" si="39"/>
        <v>29.116813756207414</v>
      </c>
      <c r="CB31" s="20">
        <f t="shared" si="10"/>
        <v>240.71268075872808</v>
      </c>
      <c r="CC31" s="58">
        <f t="shared" si="11"/>
        <v>509.13860186085503</v>
      </c>
      <c r="CD31" s="58">
        <f ca="1">AVERAGE(OFFSET($CC$3,0,0,'Données projet'!$E$12+1,1))-AVERAGE(OFFSET($H$3,0,0,'Données projet'!$E$12+1,1))</f>
        <v>684.45757350513315</v>
      </c>
      <c r="CE31" s="58">
        <f t="shared" si="40"/>
        <v>301.78148341369194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8" t="e">
        <f t="shared" si="14"/>
        <v>#N/A</v>
      </c>
      <c r="CY31" s="58" t="e">
        <f ca="1">AVERAGE(OFFSET($CX$3,0,0,'Données projet'!$E$13+1,1))-AVERAGE(OFFSET($H$3,0,0,'Données projet'!$E$13+1,1))</f>
        <v>#N/A</v>
      </c>
      <c r="CZ31" s="58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8" t="e">
        <f t="shared" si="17"/>
        <v>#N/A</v>
      </c>
      <c r="DT31" s="58" t="e">
        <f ca="1">AVERAGE(OFFSET($DS$3,0,0,'Données projet'!$E$14+1,1))-AVERAGE(OFFSET($H$3,0,0,'Données projet'!$E$14+1,1))</f>
        <v>#N/A</v>
      </c>
      <c r="DU31" s="58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8" t="e">
        <f t="shared" si="20"/>
        <v>#N/A</v>
      </c>
      <c r="EO31" s="58" t="e">
        <f ca="1">AVERAGE(OFFSET($EN$3,0,0,'Données projet'!$E$15+1,1))-AVERAGE(OFFSET($H$3,0,0,'Données projet'!$E$15+1,1))</f>
        <v>#N/A</v>
      </c>
      <c r="EP31" s="58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8" t="e">
        <f t="shared" si="23"/>
        <v>#N/A</v>
      </c>
      <c r="FJ31" s="58" t="e">
        <f ca="1">AVERAGE(OFFSET($FI$3,0,0,'Données projet'!$E$16+1,1))-AVERAGE(OFFSET($H$3,0,0,'Données projet'!$E$16+1,1))</f>
        <v>#N/A</v>
      </c>
      <c r="FK31" s="58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8" t="e">
        <f t="shared" si="26"/>
        <v>#N/A</v>
      </c>
      <c r="GE31" s="58" t="e">
        <f ca="1">AVERAGE(OFFSET($GD$3,0,0,'Données projet'!$E$17+1,1))-AVERAGE(OFFSET($H$3,0,0,'Données projet'!$E$17+1,1))</f>
        <v>#N/A</v>
      </c>
      <c r="GF31" s="58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63.873736058155842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8" t="e">
        <f t="shared" si="29"/>
        <v>#N/A</v>
      </c>
      <c r="GZ31" s="58" t="e">
        <f ca="1">AVERAGE(OFFSET($GY$3,0,0,'Données projet'!$E$18+1,1))-AVERAGE(OFFSET($H$3,0,0,'Données projet'!$E$18+1,1))</f>
        <v>#N/A</v>
      </c>
      <c r="HA31" s="58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2">
        <f>'Scénario référence'!$B$16*5+'Scénario référence'!$B$17*0+'Scénario référence'!$B$18*5</f>
        <v>2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7.333333333333333</v>
      </c>
      <c r="H32" s="66">
        <f t="shared" si="1"/>
        <v>227.33333333333334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4.0942857142857143</v>
      </c>
      <c r="N32" s="13">
        <f>IF('Données projet'!$A$36&gt;35,N31+M32-V31,IF(A32&lt;'Données projet'!$A$36,$K$205^A32,IF(A32='Données projet'!$A$36,'Données projet'!$B$36,N31+M32-V31)))</f>
        <v>118.73428571428579</v>
      </c>
      <c r="O32" s="13">
        <f>N32*VLOOKUP('Données projet'!$B$9,Paramètres!$A$1:$I$89,3,0)*VLOOKUP('Données projet'!$B$9,Paramètres!$A$1:$I$89,5,0)</f>
        <v>107.43078171428577</v>
      </c>
      <c r="P32" s="13">
        <f t="shared" si="33"/>
        <v>28.724826611108305</v>
      </c>
      <c r="Q32" s="20">
        <f t="shared" si="2"/>
        <v>237.13768450006134</v>
      </c>
      <c r="R32" s="58">
        <f t="shared" si="0"/>
        <v>507.17551009583838</v>
      </c>
      <c r="S32" s="58">
        <f ca="1">AVERAGE(OFFSET($R$3,0,0,'Données projet'!$E$9+1,1))-AVERAGE(OFFSET($H$3,0,0,'Données projet'!$E$9+1,1))</f>
        <v>654.0179680178212</v>
      </c>
      <c r="T32" s="58">
        <f t="shared" si="34"/>
        <v>289.42065570013369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20.831666666666667</v>
      </c>
      <c r="AI32" s="13">
        <f>IF('Données projet'!$A$62&gt;35,AI31+AH32-AQ31,IF(A32&lt;'Données projet'!$A$62,$AF$205^A32,IF(A32='Données projet'!$A$62,'Données projet'!$B$62,AI31+AH32-AQ31)))</f>
        <v>239.46833333333339</v>
      </c>
      <c r="AJ32" s="13">
        <f>AI32*VLOOKUP('Données projet'!$B$10,Paramètres!$A$1:$I$89,3,0)*VLOOKUP('Données projet'!$B$10,Paramètres!$A$1:$I$89,5,0)</f>
        <v>143.20206333333337</v>
      </c>
      <c r="AK32" s="13">
        <f t="shared" si="35"/>
        <v>37.029584994376094</v>
      </c>
      <c r="AL32" s="20">
        <f t="shared" si="4"/>
        <v>313.90345417076065</v>
      </c>
      <c r="AM32" s="58">
        <f t="shared" si="5"/>
        <v>583.94127976653772</v>
      </c>
      <c r="AN32" s="58">
        <f ca="1">AVERAGE(OFFSET($AM$3,0,0,'Données projet'!$E$10+1,1))-AVERAGE(OFFSET($H$3,0,0,'Données projet'!$E$10+1,1))</f>
        <v>447.44638185108147</v>
      </c>
      <c r="AO32" s="58">
        <f t="shared" si="36"/>
        <v>384.84260115068605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7.0283986943792671</v>
      </c>
      <c r="AV32" s="21">
        <f>EXP(-LN(2)/25)*AV31+(1-EXP(-LN(2)/25))/(LN(2)/25)*Calculateur!AQ32*Calculateur!AS32*VLOOKUP('Données projet'!$B$10,Paramètres!$A$1:$I$89,3,0)*0.475*44/12</f>
        <v>9.7716288107875435</v>
      </c>
      <c r="AW32" s="21">
        <f>EXP(-LN(2)/2)*AW31+(1-EXP(-LN(2)/2))/(LN(2)/2)*AQ32*AT32*VLOOKUP('Données projet'!$B$10,Paramètres!$A$1:$I$89,3,0)*0.475*44/12</f>
        <v>2.4151040259512437</v>
      </c>
      <c r="AX32" s="21">
        <f t="shared" si="6"/>
        <v>19.215131531118054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120.39656571428579</v>
      </c>
      <c r="BF32" s="13">
        <f t="shared" si="37"/>
        <v>31.767473966995706</v>
      </c>
      <c r="BG32" s="20">
        <f t="shared" si="7"/>
        <v>265.01903577823191</v>
      </c>
      <c r="BH32" s="58">
        <f t="shared" si="8"/>
        <v>535.05686137400892</v>
      </c>
      <c r="BI32" s="58">
        <f ca="1">AVERAGE(OFFSET($BH$3,0,0,'Données projet'!$E$11+1,1))-AVERAGE(OFFSET($H$3,0,0,'Données projet'!$E$11+1,1))</f>
        <v>724.99760740673071</v>
      </c>
      <c r="BJ32" s="58">
        <f t="shared" si="38"/>
        <v>318.24184272438208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4.0942857142857143</v>
      </c>
      <c r="BY32" s="12">
        <f>IF('Données projet'!$A$114&gt;35,BY31+BX32-CG31,IF(A32&lt;'Données projet'!$A$114,$BV$205^A32,IF(A32='Données projet'!$A$114,'Données projet'!$B$114,BY31+BX32-CG31)))</f>
        <v>118.73428571428579</v>
      </c>
      <c r="BZ32" s="13">
        <f>BY32*VLOOKUP('Données projet'!$B$12,Paramètres!$A$1:$I$89,3,0)*VLOOKUP('Données projet'!$B$12,Paramètres!$A$1:$I$89,5,0)</f>
        <v>112.98754628571437</v>
      </c>
      <c r="CA32" s="13">
        <f t="shared" si="39"/>
        <v>30.03377223971917</v>
      </c>
      <c r="CB32" s="20">
        <f t="shared" si="10"/>
        <v>249.0954630984634</v>
      </c>
      <c r="CC32" s="58">
        <f t="shared" si="11"/>
        <v>519.13328869424038</v>
      </c>
      <c r="CD32" s="58">
        <f ca="1">AVERAGE(OFFSET($CC$3,0,0,'Données projet'!$E$12+1,1))-AVERAGE(OFFSET($H$3,0,0,'Données projet'!$E$12+1,1))</f>
        <v>684.45757350513315</v>
      </c>
      <c r="CE32" s="58">
        <f t="shared" si="40"/>
        <v>301.78148341369194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8" t="e">
        <f t="shared" si="14"/>
        <v>#N/A</v>
      </c>
      <c r="CY32" s="58" t="e">
        <f ca="1">AVERAGE(OFFSET($CX$3,0,0,'Données projet'!$E$13+1,1))-AVERAGE(OFFSET($H$3,0,0,'Données projet'!$E$13+1,1))</f>
        <v>#N/A</v>
      </c>
      <c r="CZ32" s="58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8" t="e">
        <f t="shared" si="17"/>
        <v>#N/A</v>
      </c>
      <c r="DT32" s="58" t="e">
        <f ca="1">AVERAGE(OFFSET($DS$3,0,0,'Données projet'!$E$14+1,1))-AVERAGE(OFFSET($H$3,0,0,'Données projet'!$E$14+1,1))</f>
        <v>#N/A</v>
      </c>
      <c r="DU32" s="58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8" t="e">
        <f t="shared" si="20"/>
        <v>#N/A</v>
      </c>
      <c r="EO32" s="58" t="e">
        <f ca="1">AVERAGE(OFFSET($EN$3,0,0,'Données projet'!$E$15+1,1))-AVERAGE(OFFSET($H$3,0,0,'Données projet'!$E$15+1,1))</f>
        <v>#N/A</v>
      </c>
      <c r="EP32" s="58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8" t="e">
        <f t="shared" si="23"/>
        <v>#N/A</v>
      </c>
      <c r="FJ32" s="58" t="e">
        <f ca="1">AVERAGE(OFFSET($FI$3,0,0,'Données projet'!$E$16+1,1))-AVERAGE(OFFSET($H$3,0,0,'Données projet'!$E$16+1,1))</f>
        <v>#N/A</v>
      </c>
      <c r="FK32" s="58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8" t="e">
        <f t="shared" si="26"/>
        <v>#N/A</v>
      </c>
      <c r="GE32" s="58" t="e">
        <f ca="1">AVERAGE(OFFSET($GD$3,0,0,'Données projet'!$E$17+1,1))-AVERAGE(OFFSET($H$3,0,0,'Données projet'!$E$17+1,1))</f>
        <v>#N/A</v>
      </c>
      <c r="GF32" s="58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63.980013041272514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8" t="e">
        <f t="shared" si="29"/>
        <v>#N/A</v>
      </c>
      <c r="GZ32" s="58" t="e">
        <f ca="1">AVERAGE(OFFSET($GY$3,0,0,'Données projet'!$E$18+1,1))-AVERAGE(OFFSET($H$3,0,0,'Données projet'!$E$18+1,1))</f>
        <v>#N/A</v>
      </c>
      <c r="HA32" s="58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2">
        <f>'Scénario référence'!$B$16*5+'Scénario référence'!$B$17*0+'Scénario référence'!$B$18*5</f>
        <v>2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7.333333333333333</v>
      </c>
      <c r="H33" s="66">
        <f t="shared" si="1"/>
        <v>227.33333333333334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4.0942857142857143</v>
      </c>
      <c r="N33" s="13">
        <f>IF('Données projet'!$A$36&gt;35,N32+M33-V32,IF(A33&lt;'Données projet'!$A$36,$K$205^A33,IF(A33='Données projet'!$A$36,'Données projet'!$B$36,N32+M33-V32)))</f>
        <v>122.82857142857151</v>
      </c>
      <c r="O33" s="13">
        <f>N33*VLOOKUP('Données projet'!$B$9,Paramètres!$A$1:$I$89,3,0)*VLOOKUP('Données projet'!$B$9,Paramètres!$A$1:$I$89,5,0)</f>
        <v>111.13529142857149</v>
      </c>
      <c r="P33" s="13">
        <f t="shared" si="33"/>
        <v>29.598308031859261</v>
      </c>
      <c r="Q33" s="20">
        <f t="shared" si="2"/>
        <v>245.11101906025024</v>
      </c>
      <c r="R33" s="58">
        <f t="shared" si="0"/>
        <v>516.75398903346706</v>
      </c>
      <c r="S33" s="58">
        <f ca="1">AVERAGE(OFFSET($R$3,0,0,'Données projet'!$E$9+1,1))-AVERAGE(OFFSET($H$3,0,0,'Données projet'!$E$9+1,1))</f>
        <v>654.0179680178212</v>
      </c>
      <c r="T33" s="58">
        <f t="shared" si="34"/>
        <v>289.42065570013369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260.3</v>
      </c>
      <c r="AG33" s="12">
        <f>VLOOKUP(A33,'Données projet'!$A$61:$I$81,9,0)</f>
        <v>20.831666666666667</v>
      </c>
      <c r="AH33" s="12">
        <f t="array" ref="AH33">INDEX(AG:AG,MIN(IF(ISNUMBER(AG33:AG229),ROW(AG33:AG229),"")))</f>
        <v>20.831666666666667</v>
      </c>
      <c r="AI33" s="13">
        <f>IF('Données projet'!$A$62&gt;35,AI32+AH33-AQ32,IF(A33&lt;'Données projet'!$A$62,$AF$205^A33,IF(A33='Données projet'!$A$62,'Données projet'!$B$62,AI32+AH33-AQ32)))</f>
        <v>260.30000000000007</v>
      </c>
      <c r="AJ33" s="13">
        <f>AI33*VLOOKUP('Données projet'!$B$10,Paramètres!$A$1:$I$89,3,0)*VLOOKUP('Données projet'!$B$10,Paramètres!$A$1:$I$89,5,0)</f>
        <v>155.65940000000006</v>
      </c>
      <c r="AK33" s="13">
        <f t="shared" si="35"/>
        <v>39.861919336345942</v>
      </c>
      <c r="AL33" s="20">
        <f t="shared" si="4"/>
        <v>340.53296451080263</v>
      </c>
      <c r="AM33" s="58">
        <f t="shared" si="5"/>
        <v>612.17593448401942</v>
      </c>
      <c r="AN33" s="58">
        <f ca="1">AVERAGE(OFFSET($AM$3,0,0,'Données projet'!$E$10+1,1))-AVERAGE(OFFSET($H$3,0,0,'Données projet'!$E$10+1,1))</f>
        <v>447.44638185108147</v>
      </c>
      <c r="AO33" s="58">
        <f t="shared" si="36"/>
        <v>384.84260115068605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67.04000000000002</v>
      </c>
      <c r="AR33" s="16">
        <f>IF(ISNA(VLOOKUP(A33,'Données projet'!$A$61:$I$81,5,0)),0%,VLOOKUP(A33,'Données projet'!$A$61:$I$81,5,0)*VLOOKUP('Données projet'!$B$10,Paramètres!$A$1:$I$89,7,0))</f>
        <v>0.1125</v>
      </c>
      <c r="AS33" s="16">
        <f>IF(ISNA(VLOOKUP(A33,'Données projet'!$A$61:$I$81,6,0)),0%,VLOOKUP(A33,'Données projet'!$A$61:$I$81,6,0)*VLOOKUP('Données projet'!$B$10,Paramètres!$A$1:$I$89,7,0))</f>
        <v>0.16650000000000001</v>
      </c>
      <c r="AT33" s="16">
        <f>IF(ISNA(VLOOKUP(A33,'Données projet'!$A$61:$I$81,7,0)),0%,VLOOKUP(A33,'Données projet'!$A$61:$I$81,7,0))</f>
        <v>0.38</v>
      </c>
      <c r="AU33" s="21">
        <f>EXP(-LN(2)/35)*AU32+(1-EXP(-LN(2)/35))/(LN(2)/35)*AQ33*AR33*VLOOKUP('Données projet'!$B$10,Paramètres!$A$1:$I$89,3,0)*0.475*44/12</f>
        <v>12.873535658391557</v>
      </c>
      <c r="AV33" s="21">
        <f>EXP(-LN(2)/25)*AV32+(1-EXP(-LN(2)/25))/(LN(2)/25)*Calculateur!AQ33*Calculateur!AS33*VLOOKUP('Données projet'!$B$10,Paramètres!$A$1:$I$89,3,0)*0.475*44/12</f>
        <v>18.324338635370538</v>
      </c>
      <c r="AW33" s="21">
        <f>EXP(-LN(2)/2)*AW32+(1-EXP(-LN(2)/2))/(LN(2)/2)*AQ33*AT33*VLOOKUP('Données projet'!$B$10,Paramètres!$A$1:$I$89,3,0)*0.475*44/12</f>
        <v>18.956355281136901</v>
      </c>
      <c r="AX33" s="21">
        <f t="shared" si="6"/>
        <v>50.154229574898991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124.54817142857152</v>
      </c>
      <c r="BF33" s="13">
        <f t="shared" si="37"/>
        <v>32.733477997934884</v>
      </c>
      <c r="BG33" s="20">
        <f t="shared" si="7"/>
        <v>273.93220608449866</v>
      </c>
      <c r="BH33" s="58">
        <f t="shared" si="8"/>
        <v>545.57517605771545</v>
      </c>
      <c r="BI33" s="58">
        <f ca="1">AVERAGE(OFFSET($BH$3,0,0,'Données projet'!$E$11+1,1))-AVERAGE(OFFSET($H$3,0,0,'Données projet'!$E$11+1,1))</f>
        <v>724.99760740673071</v>
      </c>
      <c r="BJ33" s="58">
        <f t="shared" si="38"/>
        <v>318.24184272438208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4.0942857142857143</v>
      </c>
      <c r="BY33" s="12">
        <f>IF('Données projet'!$A$114&gt;35,BY32+BX33-CG32,IF(A33&lt;'Données projet'!$A$114,$BV$205^A33,IF(A33='Données projet'!$A$114,'Données projet'!$B$114,BY32+BX33-CG32)))</f>
        <v>122.82857142857151</v>
      </c>
      <c r="BZ33" s="13">
        <f>BY33*VLOOKUP('Données projet'!$B$12,Paramètres!$A$1:$I$89,3,0)*VLOOKUP('Données projet'!$B$12,Paramètres!$A$1:$I$89,5,0)</f>
        <v>116.88366857142864</v>
      </c>
      <c r="CA33" s="13">
        <f t="shared" si="39"/>
        <v>30.947056848939916</v>
      </c>
      <c r="CB33" s="20">
        <f t="shared" si="10"/>
        <v>257.47184677380858</v>
      </c>
      <c r="CC33" s="58">
        <f t="shared" si="11"/>
        <v>529.11481674702532</v>
      </c>
      <c r="CD33" s="58">
        <f ca="1">AVERAGE(OFFSET($CC$3,0,0,'Données projet'!$E$12+1,1))-AVERAGE(OFFSET($H$3,0,0,'Données projet'!$E$12+1,1))</f>
        <v>684.45757350513315</v>
      </c>
      <c r="CE33" s="58">
        <f t="shared" si="40"/>
        <v>301.78148341369194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8" t="e">
        <f t="shared" si="14"/>
        <v>#N/A</v>
      </c>
      <c r="CY33" s="58" t="e">
        <f ca="1">AVERAGE(OFFSET($CX$3,0,0,'Données projet'!$E$13+1,1))-AVERAGE(OFFSET($H$3,0,0,'Données projet'!$E$13+1,1))</f>
        <v>#N/A</v>
      </c>
      <c r="CZ33" s="58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8" t="e">
        <f t="shared" si="17"/>
        <v>#N/A</v>
      </c>
      <c r="DT33" s="58" t="e">
        <f ca="1">AVERAGE(OFFSET($DS$3,0,0,'Données projet'!$E$14+1,1))-AVERAGE(OFFSET($H$3,0,0,'Données projet'!$E$14+1,1))</f>
        <v>#N/A</v>
      </c>
      <c r="DU33" s="58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8" t="e">
        <f t="shared" si="20"/>
        <v>#N/A</v>
      </c>
      <c r="EO33" s="58" t="e">
        <f ca="1">AVERAGE(OFFSET($EN$3,0,0,'Données projet'!$E$15+1,1))-AVERAGE(OFFSET($H$3,0,0,'Données projet'!$E$15+1,1))</f>
        <v>#N/A</v>
      </c>
      <c r="EP33" s="58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8" t="e">
        <f t="shared" si="23"/>
        <v>#N/A</v>
      </c>
      <c r="FJ33" s="58" t="e">
        <f ca="1">AVERAGE(OFFSET($FI$3,0,0,'Données projet'!$E$16+1,1))-AVERAGE(OFFSET($H$3,0,0,'Données projet'!$E$16+1,1))</f>
        <v>#N/A</v>
      </c>
      <c r="FK33" s="58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8" t="e">
        <f t="shared" si="26"/>
        <v>#N/A</v>
      </c>
      <c r="GE33" s="58" t="e">
        <f ca="1">AVERAGE(OFFSET($GD$3,0,0,'Données projet'!$E$17+1,1))-AVERAGE(OFFSET($H$3,0,0,'Données projet'!$E$17+1,1))</f>
        <v>#N/A</v>
      </c>
      <c r="GF33" s="58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64.084446356331853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8" t="e">
        <f t="shared" si="29"/>
        <v>#N/A</v>
      </c>
      <c r="GZ33" s="58" t="e">
        <f ca="1">AVERAGE(OFFSET($GY$3,0,0,'Données projet'!$E$18+1,1))-AVERAGE(OFFSET($H$3,0,0,'Données projet'!$E$18+1,1))</f>
        <v>#N/A</v>
      </c>
      <c r="HA33" s="58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2">
        <f>'Scénario référence'!$B$16*5+'Scénario référence'!$B$17*0+'Scénario référence'!$B$18*5</f>
        <v>2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7.333333333333333</v>
      </c>
      <c r="H34" s="66">
        <f t="shared" si="1"/>
        <v>227.33333333333334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4.0942857142857143</v>
      </c>
      <c r="N34" s="13">
        <f>IF('Données projet'!$A$36&gt;35,N33+M34-V33,IF(A34&lt;'Données projet'!$A$36,$K$205^A34,IF(A34='Données projet'!$A$36,'Données projet'!$B$36,N33+M34-V33)))</f>
        <v>126.92285714285723</v>
      </c>
      <c r="O34" s="13">
        <f>N34*VLOOKUP('Données projet'!$B$9,Paramètres!$A$1:$I$89,3,0)*VLOOKUP('Données projet'!$B$9,Paramètres!$A$1:$I$89,5,0)</f>
        <v>114.83980114285721</v>
      </c>
      <c r="P34" s="13">
        <f t="shared" si="33"/>
        <v>30.468406249196239</v>
      </c>
      <c r="Q34" s="20">
        <f t="shared" si="2"/>
        <v>253.07846120782642</v>
      </c>
      <c r="R34" s="58">
        <f t="shared" si="0"/>
        <v>525.09771049295341</v>
      </c>
      <c r="S34" s="58">
        <f ca="1">AVERAGE(OFFSET($R$3,0,0,'Données projet'!$E$9+1,1))-AVERAGE(OFFSET($H$3,0,0,'Données projet'!$E$9+1,1))</f>
        <v>654.0179680178212</v>
      </c>
      <c r="T34" s="58">
        <f t="shared" si="34"/>
        <v>289.42065570013369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20.558571428571433</v>
      </c>
      <c r="AI34" s="13">
        <f>IF('Données projet'!$A$62&gt;35,AI33+AH34-AQ33,IF(A34&lt;'Données projet'!$A$62,$AF$205^A34,IF(A34='Données projet'!$A$62,'Données projet'!$B$62,AI33+AH34-AQ33)))</f>
        <v>213.81857142857149</v>
      </c>
      <c r="AJ34" s="13">
        <f>AI34*VLOOKUP('Données projet'!$B$10,Paramètres!$A$1:$I$89,3,0)*VLOOKUP('Données projet'!$B$10,Paramètres!$A$1:$I$89,5,0)</f>
        <v>127.86350571428575</v>
      </c>
      <c r="AK34" s="13">
        <f t="shared" si="35"/>
        <v>33.502203116595986</v>
      </c>
      <c r="AL34" s="20">
        <f t="shared" si="4"/>
        <v>281.04527621378566</v>
      </c>
      <c r="AM34" s="58">
        <f t="shared" si="5"/>
        <v>553.06452549891264</v>
      </c>
      <c r="AN34" s="58">
        <f ca="1">AVERAGE(OFFSET($AM$3,0,0,'Données projet'!$E$10+1,1))-AVERAGE(OFFSET($H$3,0,0,'Données projet'!$E$10+1,1))</f>
        <v>447.44638185108147</v>
      </c>
      <c r="AO34" s="58">
        <f t="shared" si="36"/>
        <v>384.84260115068605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12.621093476211922</v>
      </c>
      <c r="AV34" s="21">
        <f>EXP(-LN(2)/25)*AV33+(1-EXP(-LN(2)/25))/(LN(2)/25)*Calculateur!AQ34*Calculateur!AS34*VLOOKUP('Données projet'!$B$10,Paramètres!$A$1:$I$89,3,0)*0.475*44/12</f>
        <v>17.823258631751241</v>
      </c>
      <c r="AW34" s="21">
        <f>EXP(-LN(2)/2)*AW33+(1-EXP(-LN(2)/2))/(LN(2)/2)*AQ34*AT34*VLOOKUP('Données projet'!$B$10,Paramètres!$A$1:$I$89,3,0)*0.475*44/12</f>
        <v>13.404167365873326</v>
      </c>
      <c r="AX34" s="21">
        <f t="shared" si="6"/>
        <v>43.84851947383649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128.69977714285722</v>
      </c>
      <c r="BF34" s="13">
        <f t="shared" si="37"/>
        <v>33.69574046316044</v>
      </c>
      <c r="BG34" s="20">
        <f t="shared" si="7"/>
        <v>282.83885983048071</v>
      </c>
      <c r="BH34" s="58">
        <f t="shared" si="8"/>
        <v>554.8581091156077</v>
      </c>
      <c r="BI34" s="58">
        <f ca="1">AVERAGE(OFFSET($BH$3,0,0,'Données projet'!$E$11+1,1))-AVERAGE(OFFSET($H$3,0,0,'Données projet'!$E$11+1,1))</f>
        <v>724.99760740673071</v>
      </c>
      <c r="BJ34" s="58">
        <f t="shared" si="38"/>
        <v>318.24184272438208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4.0942857142857143</v>
      </c>
      <c r="BY34" s="12">
        <f>IF('Données projet'!$A$114&gt;35,BY33+BX34-CG33,IF(A34&lt;'Données projet'!$A$114,$BV$205^A34,IF(A34='Données projet'!$A$114,'Données projet'!$B$114,BY33+BX34-CG33)))</f>
        <v>126.92285714285723</v>
      </c>
      <c r="BZ34" s="13">
        <f>BY34*VLOOKUP('Données projet'!$B$12,Paramètres!$A$1:$I$89,3,0)*VLOOKUP('Données projet'!$B$12,Paramètres!$A$1:$I$89,5,0)</f>
        <v>120.77979085714293</v>
      </c>
      <c r="CA34" s="13">
        <f t="shared" si="39"/>
        <v>31.856804087434281</v>
      </c>
      <c r="CB34" s="20">
        <f t="shared" si="10"/>
        <v>265.842069528472</v>
      </c>
      <c r="CC34" s="58">
        <f t="shared" si="11"/>
        <v>537.86131881359904</v>
      </c>
      <c r="CD34" s="58">
        <f ca="1">AVERAGE(OFFSET($CC$3,0,0,'Données projet'!$E$12+1,1))-AVERAGE(OFFSET($H$3,0,0,'Données projet'!$E$12+1,1))</f>
        <v>684.45757350513315</v>
      </c>
      <c r="CE34" s="58">
        <f t="shared" si="40"/>
        <v>301.78148341369194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8" t="e">
        <f t="shared" si="14"/>
        <v>#N/A</v>
      </c>
      <c r="CY34" s="58" t="e">
        <f ca="1">AVERAGE(OFFSET($CX$3,0,0,'Données projet'!$E$13+1,1))-AVERAGE(OFFSET($H$3,0,0,'Données projet'!$E$13+1,1))</f>
        <v>#N/A</v>
      </c>
      <c r="CZ34" s="58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8" t="e">
        <f t="shared" si="17"/>
        <v>#N/A</v>
      </c>
      <c r="DT34" s="58" t="e">
        <f ca="1">AVERAGE(OFFSET($DS$3,0,0,'Données projet'!$E$14+1,1))-AVERAGE(OFFSET($H$3,0,0,'Données projet'!$E$14+1,1))</f>
        <v>#N/A</v>
      </c>
      <c r="DU34" s="58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8" t="e">
        <f t="shared" si="20"/>
        <v>#N/A</v>
      </c>
      <c r="EO34" s="58" t="e">
        <f ca="1">AVERAGE(OFFSET($EN$3,0,0,'Données projet'!$E$15+1,1))-AVERAGE(OFFSET($H$3,0,0,'Données projet'!$E$15+1,1))</f>
        <v>#N/A</v>
      </c>
      <c r="EP34" s="58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8" t="e">
        <f t="shared" si="23"/>
        <v>#N/A</v>
      </c>
      <c r="FJ34" s="58" t="e">
        <f ca="1">AVERAGE(OFFSET($FI$3,0,0,'Données projet'!$E$16+1,1))-AVERAGE(OFFSET($H$3,0,0,'Données projet'!$E$16+1,1))</f>
        <v>#N/A</v>
      </c>
      <c r="FK34" s="58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8" t="e">
        <f t="shared" si="26"/>
        <v>#N/A</v>
      </c>
      <c r="GE34" s="58" t="e">
        <f ca="1">AVERAGE(OFFSET($GD$3,0,0,'Données projet'!$E$17+1,1))-AVERAGE(OFFSET($H$3,0,0,'Données projet'!$E$17+1,1))</f>
        <v>#N/A</v>
      </c>
      <c r="GF34" s="58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64.187067986852824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8" t="e">
        <f t="shared" si="29"/>
        <v>#N/A</v>
      </c>
      <c r="GZ34" s="58" t="e">
        <f ca="1">AVERAGE(OFFSET($GY$3,0,0,'Données projet'!$E$18+1,1))-AVERAGE(OFFSET($H$3,0,0,'Données projet'!$E$18+1,1))</f>
        <v>#N/A</v>
      </c>
      <c r="HA34" s="58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2">
        <f>'Scénario référence'!$B$16*5+'Scénario référence'!$B$17*0+'Scénario référence'!$B$18*5</f>
        <v>2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7.333333333333333</v>
      </c>
      <c r="H35" s="66">
        <f t="shared" si="1"/>
        <v>227.33333333333334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4.0942857142857143</v>
      </c>
      <c r="N35" s="13">
        <f>IF('Données projet'!$A$36&gt;35,N34+M35-V34,IF(A35&lt;'Données projet'!$A$36,$K$205^A35,IF(A35='Données projet'!$A$36,'Données projet'!$B$36,N34+M35-V34)))</f>
        <v>131.01714285714294</v>
      </c>
      <c r="O35" s="13">
        <f>N35*VLOOKUP('Données projet'!$B$9,Paramètres!$A$1:$I$89,3,0)*VLOOKUP('Données projet'!$B$9,Paramètres!$A$1:$I$89,5,0)</f>
        <v>118.54431085714293</v>
      </c>
      <c r="P35" s="13">
        <f t="shared" si="33"/>
        <v>31.335242916471387</v>
      </c>
      <c r="Q35" s="20">
        <f t="shared" ref="Q35:Q66" si="53">(O35+P35)*0.475*44/12</f>
        <v>261.04022282237821</v>
      </c>
      <c r="R35" s="58">
        <f t="shared" si="0"/>
        <v>533.42922381458834</v>
      </c>
      <c r="S35" s="58">
        <f ca="1">AVERAGE(OFFSET($R$3,0,0,'Données projet'!$E$9+1,1))-AVERAGE(OFFSET($H$3,0,0,'Données projet'!$E$9+1,1))</f>
        <v>654.0179680178212</v>
      </c>
      <c r="T35" s="58">
        <f t="shared" si="34"/>
        <v>289.42065570013369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20.558571428571433</v>
      </c>
      <c r="AI35" s="13">
        <f>IF('Données projet'!$A$62&gt;35,AI34+AH35-AQ34,IF(A35&lt;'Données projet'!$A$62,$AF$205^A35,IF(A35='Données projet'!$A$62,'Données projet'!$B$62,AI34+AH35-AQ34)))</f>
        <v>234.37714285714293</v>
      </c>
      <c r="AJ35" s="13">
        <f>AI35*VLOOKUP('Données projet'!$B$10,Paramètres!$A$1:$I$89,3,0)*VLOOKUP('Données projet'!$B$10,Paramètres!$A$1:$I$89,5,0)</f>
        <v>140.15753142857147</v>
      </c>
      <c r="AK35" s="13">
        <f t="shared" si="35"/>
        <v>36.333091370804844</v>
      </c>
      <c r="AL35" s="20">
        <f t="shared" si="4"/>
        <v>307.38783470891377</v>
      </c>
      <c r="AM35" s="58">
        <f t="shared" si="5"/>
        <v>579.7768357011239</v>
      </c>
      <c r="AN35" s="58">
        <f ca="1">AVERAGE(OFFSET($AM$3,0,0,'Données projet'!$E$10+1,1))-AVERAGE(OFFSET($H$3,0,0,'Données projet'!$E$10+1,1))</f>
        <v>447.44638185108147</v>
      </c>
      <c r="AO35" s="58">
        <f t="shared" si="36"/>
        <v>384.84260115068605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12.373601531250301</v>
      </c>
      <c r="AV35" s="21">
        <f>EXP(-LN(2)/25)*AV34+(1-EXP(-LN(2)/25))/(LN(2)/25)*Calculateur!AQ35*Calculateur!AS35*VLOOKUP('Données projet'!$B$10,Paramètres!$A$1:$I$89,3,0)*0.475*44/12</f>
        <v>17.335880687181568</v>
      </c>
      <c r="AW35" s="21">
        <f>EXP(-LN(2)/2)*AW34+(1-EXP(-LN(2)/2))/(LN(2)/2)*AQ35*AT35*VLOOKUP('Données projet'!$B$10,Paramètres!$A$1:$I$89,3,0)*0.475*44/12</f>
        <v>9.4781776405684521</v>
      </c>
      <c r="AX35" s="21">
        <f t="shared" si="6"/>
        <v>39.18765985900032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132.85138285714297</v>
      </c>
      <c r="BF35" s="13">
        <f t="shared" si="37"/>
        <v>34.654395902029187</v>
      </c>
      <c r="BG35" s="20">
        <f t="shared" si="7"/>
        <v>291.73923133889144</v>
      </c>
      <c r="BH35" s="58">
        <f t="shared" si="8"/>
        <v>564.12823233110157</v>
      </c>
      <c r="BI35" s="58">
        <f ca="1">AVERAGE(OFFSET($BH$3,0,0,'Données projet'!$E$11+1,1))-AVERAGE(OFFSET($H$3,0,0,'Données projet'!$E$11+1,1))</f>
        <v>724.99760740673071</v>
      </c>
      <c r="BJ35" s="58">
        <f t="shared" si="38"/>
        <v>318.24184272438208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4.0942857142857143</v>
      </c>
      <c r="BY35" s="12">
        <f>IF('Données projet'!$A$114&gt;35,BY34+BX35-CG34,IF(A35&lt;'Données projet'!$A$114,$BV$205^A35,IF(A35='Données projet'!$A$114,'Données projet'!$B$114,BY34+BX35-CG34)))</f>
        <v>131.01714285714294</v>
      </c>
      <c r="BZ35" s="13">
        <f>BY35*VLOOKUP('Données projet'!$B$12,Paramètres!$A$1:$I$89,3,0)*VLOOKUP('Données projet'!$B$12,Paramètres!$A$1:$I$89,5,0)</f>
        <v>124.67591314285721</v>
      </c>
      <c r="CA35" s="13">
        <f t="shared" si="39"/>
        <v>32.763141152108169</v>
      </c>
      <c r="CB35" s="20">
        <f t="shared" si="10"/>
        <v>274.20635289706468</v>
      </c>
      <c r="CC35" s="58">
        <f t="shared" si="11"/>
        <v>546.59535388927475</v>
      </c>
      <c r="CD35" s="58">
        <f ca="1">AVERAGE(OFFSET($CC$3,0,0,'Données projet'!$E$12+1,1))-AVERAGE(OFFSET($H$3,0,0,'Données projet'!$E$12+1,1))</f>
        <v>684.45757350513315</v>
      </c>
      <c r="CE35" s="58">
        <f t="shared" si="40"/>
        <v>301.78148341369194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8" t="e">
        <f t="shared" si="14"/>
        <v>#N/A</v>
      </c>
      <c r="CY35" s="58" t="e">
        <f ca="1">AVERAGE(OFFSET($CX$3,0,0,'Données projet'!$E$13+1,1))-AVERAGE(OFFSET($H$3,0,0,'Données projet'!$E$13+1,1))</f>
        <v>#N/A</v>
      </c>
      <c r="CZ35" s="58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8" t="e">
        <f t="shared" si="17"/>
        <v>#N/A</v>
      </c>
      <c r="DT35" s="58" t="e">
        <f ca="1">AVERAGE(OFFSET($DS$3,0,0,'Données projet'!$E$14+1,1))-AVERAGE(OFFSET($H$3,0,0,'Données projet'!$E$14+1,1))</f>
        <v>#N/A</v>
      </c>
      <c r="DU35" s="58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8" t="e">
        <f t="shared" si="20"/>
        <v>#N/A</v>
      </c>
      <c r="EO35" s="58" t="e">
        <f ca="1">AVERAGE(OFFSET($EN$3,0,0,'Données projet'!$E$15+1,1))-AVERAGE(OFFSET($H$3,0,0,'Données projet'!$E$15+1,1))</f>
        <v>#N/A</v>
      </c>
      <c r="EP35" s="58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8" t="e">
        <f t="shared" si="23"/>
        <v>#N/A</v>
      </c>
      <c r="FJ35" s="58" t="e">
        <f ca="1">AVERAGE(OFFSET($FI$3,0,0,'Données projet'!$E$16+1,1))-AVERAGE(OFFSET($H$3,0,0,'Données projet'!$E$16+1,1))</f>
        <v>#N/A</v>
      </c>
      <c r="FK35" s="58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8" t="e">
        <f t="shared" si="26"/>
        <v>#N/A</v>
      </c>
      <c r="GE35" s="58" t="e">
        <f ca="1">AVERAGE(OFFSET($GD$3,0,0,'Données projet'!$E$17+1,1))-AVERAGE(OFFSET($H$3,0,0,'Données projet'!$E$17+1,1))</f>
        <v>#N/A</v>
      </c>
      <c r="GF35" s="58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64.287909361511851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8" t="e">
        <f t="shared" si="29"/>
        <v>#N/A</v>
      </c>
      <c r="GZ35" s="58" t="e">
        <f ca="1">AVERAGE(OFFSET($GY$3,0,0,'Données projet'!$E$18+1,1))-AVERAGE(OFFSET($H$3,0,0,'Données projet'!$E$18+1,1))</f>
        <v>#N/A</v>
      </c>
      <c r="HA35" s="58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2">
        <f>'Scénario référence'!$B$16*5+'Scénario référence'!$B$17*0+'Scénario référence'!$B$18*5</f>
        <v>2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7.333333333333333</v>
      </c>
      <c r="H36" s="66">
        <f t="shared" si="1"/>
        <v>227.33333333333334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4.0942857142857143</v>
      </c>
      <c r="N36" s="13">
        <f>IF('Données projet'!$A$36&gt;35,N35+M36-V35,IF(A36&lt;'Données projet'!$A$36,$K$205^A36,IF(A36='Données projet'!$A$36,'Données projet'!$B$36,N35+M36-V35)))</f>
        <v>135.11142857142866</v>
      </c>
      <c r="O36" s="13">
        <f>N36*VLOOKUP('Données projet'!$B$9,Paramètres!$A$1:$I$89,3,0)*VLOOKUP('Données projet'!$B$9,Paramètres!$A$1:$I$89,5,0)</f>
        <v>122.24882057142865</v>
      </c>
      <c r="P36" s="13">
        <f t="shared" si="33"/>
        <v>32.198931651835657</v>
      </c>
      <c r="Q36" s="20">
        <f t="shared" si="53"/>
        <v>268.99650178885196</v>
      </c>
      <c r="R36" s="58">
        <f t="shared" si="0"/>
        <v>541.7488401226683</v>
      </c>
      <c r="S36" s="58">
        <f ca="1">AVERAGE(OFFSET($R$3,0,0,'Données projet'!$E$9+1,1))-AVERAGE(OFFSET($H$3,0,0,'Données projet'!$E$9+1,1))</f>
        <v>654.0179680178212</v>
      </c>
      <c r="T36" s="58">
        <f t="shared" si="34"/>
        <v>289.42065570013369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20.558571428571433</v>
      </c>
      <c r="AI36" s="13">
        <f>IF('Données projet'!$A$62&gt;35,AI35+AH36-AQ35,IF(A36&lt;'Données projet'!$A$62,$AF$205^A36,IF(A36='Données projet'!$A$62,'Données projet'!$B$62,AI35+AH36-AQ35)))</f>
        <v>254.93571428571437</v>
      </c>
      <c r="AJ36" s="13">
        <f>AI36*VLOOKUP('Données projet'!$B$10,Paramètres!$A$1:$I$89,3,0)*VLOOKUP('Données projet'!$B$10,Paramètres!$A$1:$I$89,5,0)</f>
        <v>152.45155714285721</v>
      </c>
      <c r="AK36" s="13">
        <f t="shared" si="35"/>
        <v>39.135184034397454</v>
      </c>
      <c r="AL36" s="20">
        <f t="shared" si="4"/>
        <v>333.68024088371857</v>
      </c>
      <c r="AM36" s="58">
        <f t="shared" si="5"/>
        <v>606.43257921753491</v>
      </c>
      <c r="AN36" s="58">
        <f ca="1">AVERAGE(OFFSET($AM$3,0,0,'Données projet'!$E$10+1,1))-AVERAGE(OFFSET($H$3,0,0,'Données projet'!$E$10+1,1))</f>
        <v>447.44638185108147</v>
      </c>
      <c r="AO36" s="58">
        <f t="shared" si="36"/>
        <v>384.84260115068605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12.130962752374197</v>
      </c>
      <c r="AV36" s="21">
        <f>EXP(-LN(2)/25)*AV35+(1-EXP(-LN(2)/25))/(LN(2)/25)*Calculateur!AQ36*Calculateur!AS36*VLOOKUP('Données projet'!$B$10,Paramètres!$A$1:$I$89,3,0)*0.475*44/12</f>
        <v>16.861830118136243</v>
      </c>
      <c r="AW36" s="21">
        <f>EXP(-LN(2)/2)*AW35+(1-EXP(-LN(2)/2))/(LN(2)/2)*AQ36*AT36*VLOOKUP('Données projet'!$B$10,Paramètres!$A$1:$I$89,3,0)*0.475*44/12</f>
        <v>6.7020836829366646</v>
      </c>
      <c r="AX36" s="21">
        <f t="shared" si="6"/>
        <v>35.694876553447109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137.00298857142866</v>
      </c>
      <c r="BF36" s="13">
        <f t="shared" si="37"/>
        <v>35.609569967576427</v>
      </c>
      <c r="BG36" s="20">
        <f t="shared" si="7"/>
        <v>300.63353945543383</v>
      </c>
      <c r="BH36" s="58">
        <f t="shared" si="8"/>
        <v>573.38587778925012</v>
      </c>
      <c r="BI36" s="58">
        <f ca="1">AVERAGE(OFFSET($BH$3,0,0,'Données projet'!$E$11+1,1))-AVERAGE(OFFSET($H$3,0,0,'Données projet'!$E$11+1,1))</f>
        <v>724.99760740673071</v>
      </c>
      <c r="BJ36" s="58">
        <f t="shared" si="38"/>
        <v>318.24184272438208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4.0942857142857143</v>
      </c>
      <c r="BY36" s="12">
        <f>IF('Données projet'!$A$114&gt;35,BY35+BX36-CG35,IF(A36&lt;'Données projet'!$A$114,$BV$205^A36,IF(A36='Données projet'!$A$114,'Données projet'!$B$114,BY35+BX36-CG35)))</f>
        <v>135.11142857142866</v>
      </c>
      <c r="BZ36" s="13">
        <f>BY36*VLOOKUP('Données projet'!$B$12,Paramètres!$A$1:$I$89,3,0)*VLOOKUP('Données projet'!$B$12,Paramètres!$A$1:$I$89,5,0)</f>
        <v>128.5720354285715</v>
      </c>
      <c r="CA36" s="13">
        <f t="shared" si="39"/>
        <v>33.666186838514868</v>
      </c>
      <c r="CB36" s="20">
        <f t="shared" si="10"/>
        <v>282.56490378184208</v>
      </c>
      <c r="CC36" s="58">
        <f t="shared" si="11"/>
        <v>555.31724211565847</v>
      </c>
      <c r="CD36" s="58">
        <f ca="1">AVERAGE(OFFSET($CC$3,0,0,'Données projet'!$E$12+1,1))-AVERAGE(OFFSET($H$3,0,0,'Données projet'!$E$12+1,1))</f>
        <v>684.45757350513315</v>
      </c>
      <c r="CE36" s="58">
        <f t="shared" si="40"/>
        <v>301.78148341369194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8" t="e">
        <f t="shared" si="14"/>
        <v>#N/A</v>
      </c>
      <c r="CY36" s="58" t="e">
        <f ca="1">AVERAGE(OFFSET($CX$3,0,0,'Données projet'!$E$13+1,1))-AVERAGE(OFFSET($H$3,0,0,'Données projet'!$E$13+1,1))</f>
        <v>#N/A</v>
      </c>
      <c r="CZ36" s="58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8" t="e">
        <f t="shared" si="17"/>
        <v>#N/A</v>
      </c>
      <c r="DT36" s="58" t="e">
        <f ca="1">AVERAGE(OFFSET($DS$3,0,0,'Données projet'!$E$14+1,1))-AVERAGE(OFFSET($H$3,0,0,'Données projet'!$E$14+1,1))</f>
        <v>#N/A</v>
      </c>
      <c r="DU36" s="58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8" t="e">
        <f t="shared" si="20"/>
        <v>#N/A</v>
      </c>
      <c r="EO36" s="58" t="e">
        <f ca="1">AVERAGE(OFFSET($EN$3,0,0,'Données projet'!$E$15+1,1))-AVERAGE(OFFSET($H$3,0,0,'Données projet'!$E$15+1,1))</f>
        <v>#N/A</v>
      </c>
      <c r="EP36" s="58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8" t="e">
        <f t="shared" si="23"/>
        <v>#N/A</v>
      </c>
      <c r="FJ36" s="58" t="e">
        <f ca="1">AVERAGE(OFFSET($FI$3,0,0,'Données projet'!$E$16+1,1))-AVERAGE(OFFSET($H$3,0,0,'Données projet'!$E$16+1,1))</f>
        <v>#N/A</v>
      </c>
      <c r="FK36" s="58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8" t="e">
        <f t="shared" si="26"/>
        <v>#N/A</v>
      </c>
      <c r="GE36" s="58" t="e">
        <f ca="1">AVERAGE(OFFSET($GD$3,0,0,'Données projet'!$E$17+1,1))-AVERAGE(OFFSET($H$3,0,0,'Données projet'!$E$17+1,1))</f>
        <v>#N/A</v>
      </c>
      <c r="GF36" s="58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64.387001363768093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8" t="e">
        <f t="shared" si="29"/>
        <v>#N/A</v>
      </c>
      <c r="GZ36" s="58" t="e">
        <f ca="1">AVERAGE(OFFSET($GY$3,0,0,'Données projet'!$E$18+1,1))-AVERAGE(OFFSET($H$3,0,0,'Données projet'!$E$18+1,1))</f>
        <v>#N/A</v>
      </c>
      <c r="HA36" s="58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2">
        <f>'Scénario référence'!$B$16*5+'Scénario référence'!$B$17*0+'Scénario référence'!$B$18*5</f>
        <v>2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7.333333333333333</v>
      </c>
      <c r="H37" s="66">
        <f t="shared" si="1"/>
        <v>227.33333333333334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4.0942857142857143</v>
      </c>
      <c r="N37" s="13">
        <f>IF('Données projet'!$A$36&gt;35,N36+M37-V36,IF(A37&lt;'Données projet'!$A$36,$K$205^A37,IF(A37='Données projet'!$A$36,'Données projet'!$B$36,N36+M37-V36)))</f>
        <v>139.20571428571438</v>
      </c>
      <c r="O37" s="13">
        <f>N37*VLOOKUP('Données projet'!$B$9,Paramètres!$A$1:$I$89,3,0)*VLOOKUP('Données projet'!$B$9,Paramètres!$A$1:$I$89,5,0)</f>
        <v>125.95333028571436</v>
      </c>
      <c r="P37" s="13">
        <f t="shared" si="33"/>
        <v>33.059578796189285</v>
      </c>
      <c r="Q37" s="20">
        <f t="shared" si="53"/>
        <v>276.94748331764885</v>
      </c>
      <c r="R37" s="58">
        <f t="shared" si="0"/>
        <v>550.05685590249516</v>
      </c>
      <c r="S37" s="58">
        <f ca="1">AVERAGE(OFFSET($R$3,0,0,'Données projet'!$E$9+1,1))-AVERAGE(OFFSET($H$3,0,0,'Données projet'!$E$9+1,1))</f>
        <v>654.0179680178212</v>
      </c>
      <c r="T37" s="58">
        <f t="shared" si="34"/>
        <v>289.42065570013369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20.558571428571433</v>
      </c>
      <c r="AI37" s="13">
        <f>IF('Données projet'!$A$62&gt;35,AI36+AH37-AQ36,IF(A37&lt;'Données projet'!$A$62,$AF$205^A37,IF(A37='Données projet'!$A$62,'Données projet'!$B$62,AI36+AH37-AQ36)))</f>
        <v>275.49428571428581</v>
      </c>
      <c r="AJ37" s="13">
        <f>AI37*VLOOKUP('Données projet'!$B$10,Paramètres!$A$1:$I$89,3,0)*VLOOKUP('Données projet'!$B$10,Paramètres!$A$1:$I$89,5,0)</f>
        <v>164.74558285714292</v>
      </c>
      <c r="AK37" s="13">
        <f t="shared" si="35"/>
        <v>41.911067251007644</v>
      </c>
      <c r="AL37" s="20">
        <f t="shared" si="4"/>
        <v>359.9269989383622</v>
      </c>
      <c r="AM37" s="58">
        <f t="shared" si="5"/>
        <v>633.03637152320857</v>
      </c>
      <c r="AN37" s="58">
        <f ca="1">AVERAGE(OFFSET($AM$3,0,0,'Données projet'!$E$10+1,1))-AVERAGE(OFFSET($H$3,0,0,'Données projet'!$E$10+1,1))</f>
        <v>447.44638185108147</v>
      </c>
      <c r="AO37" s="58">
        <f t="shared" si="36"/>
        <v>384.84260115068605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11.893081971956812</v>
      </c>
      <c r="AV37" s="21">
        <f>EXP(-LN(2)/25)*AV36+(1-EXP(-LN(2)/25))/(LN(2)/25)*Calculateur!AQ37*Calculateur!AS37*VLOOKUP('Données projet'!$B$10,Paramètres!$A$1:$I$89,3,0)*0.475*44/12</f>
        <v>16.400742486830701</v>
      </c>
      <c r="AW37" s="21">
        <f>EXP(-LN(2)/2)*AW36+(1-EXP(-LN(2)/2))/(LN(2)/2)*AQ37*AT37*VLOOKUP('Données projet'!$B$10,Paramètres!$A$1:$I$89,3,0)*0.475*44/12</f>
        <v>4.739088820284227</v>
      </c>
      <c r="AX37" s="21">
        <f t="shared" si="6"/>
        <v>33.032913279071735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141.15459428571441</v>
      </c>
      <c r="BF37" s="13">
        <f t="shared" si="37"/>
        <v>36.561380264751591</v>
      </c>
      <c r="BG37" s="20">
        <f t="shared" si="7"/>
        <v>309.52198900872827</v>
      </c>
      <c r="BH37" s="58">
        <f t="shared" si="8"/>
        <v>582.63136159357464</v>
      </c>
      <c r="BI37" s="58">
        <f ca="1">AVERAGE(OFFSET($BH$3,0,0,'Données projet'!$E$11+1,1))-AVERAGE(OFFSET($H$3,0,0,'Données projet'!$E$11+1,1))</f>
        <v>724.99760740673071</v>
      </c>
      <c r="BJ37" s="58">
        <f t="shared" si="38"/>
        <v>318.24184272438208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4.0942857142857143</v>
      </c>
      <c r="BY37" s="12">
        <f>IF('Données projet'!$A$114&gt;35,BY36+BX37-CG36,IF(A37&lt;'Données projet'!$A$114,$BV$205^A37,IF(A37='Données projet'!$A$114,'Données projet'!$B$114,BY36+BX37-CG36)))</f>
        <v>139.20571428571438</v>
      </c>
      <c r="BZ37" s="13">
        <f>BY37*VLOOKUP('Données projet'!$B$12,Paramètres!$A$1:$I$89,3,0)*VLOOKUP('Données projet'!$B$12,Paramètres!$A$1:$I$89,5,0)</f>
        <v>132.46815771428581</v>
      </c>
      <c r="CA37" s="13">
        <f t="shared" si="39"/>
        <v>34.566052333343904</v>
      </c>
      <c r="CB37" s="20">
        <f t="shared" si="10"/>
        <v>290.91791583295509</v>
      </c>
      <c r="CC37" s="58">
        <f t="shared" si="11"/>
        <v>564.0272884178014</v>
      </c>
      <c r="CD37" s="58">
        <f ca="1">AVERAGE(OFFSET($CC$3,0,0,'Données projet'!$E$12+1,1))-AVERAGE(OFFSET($H$3,0,0,'Données projet'!$E$12+1,1))</f>
        <v>684.45757350513315</v>
      </c>
      <c r="CE37" s="58">
        <f t="shared" si="40"/>
        <v>301.78148341369194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8" t="e">
        <f t="shared" si="14"/>
        <v>#N/A</v>
      </c>
      <c r="CY37" s="58" t="e">
        <f ca="1">AVERAGE(OFFSET($CX$3,0,0,'Données projet'!$E$13+1,1))-AVERAGE(OFFSET($H$3,0,0,'Données projet'!$E$13+1,1))</f>
        <v>#N/A</v>
      </c>
      <c r="CZ37" s="58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8" t="e">
        <f t="shared" si="17"/>
        <v>#N/A</v>
      </c>
      <c r="DT37" s="58" t="e">
        <f ca="1">AVERAGE(OFFSET($DS$3,0,0,'Données projet'!$E$14+1,1))-AVERAGE(OFFSET($H$3,0,0,'Données projet'!$E$14+1,1))</f>
        <v>#N/A</v>
      </c>
      <c r="DU37" s="58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8" t="e">
        <f t="shared" si="20"/>
        <v>#N/A</v>
      </c>
      <c r="EO37" s="58" t="e">
        <f ca="1">AVERAGE(OFFSET($EN$3,0,0,'Données projet'!$E$15+1,1))-AVERAGE(OFFSET($H$3,0,0,'Données projet'!$E$15+1,1))</f>
        <v>#N/A</v>
      </c>
      <c r="EP37" s="58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8" t="e">
        <f t="shared" si="23"/>
        <v>#N/A</v>
      </c>
      <c r="FJ37" s="58" t="e">
        <f ca="1">AVERAGE(OFFSET($FI$3,0,0,'Données projet'!$E$16+1,1))-AVERAGE(OFFSET($H$3,0,0,'Données projet'!$E$16+1,1))</f>
        <v>#N/A</v>
      </c>
      <c r="FK37" s="58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8" t="e">
        <f t="shared" si="26"/>
        <v>#N/A</v>
      </c>
      <c r="GE37" s="58" t="e">
        <f ca="1">AVERAGE(OFFSET($GD$3,0,0,'Données projet'!$E$17+1,1))-AVERAGE(OFFSET($H$3,0,0,'Données projet'!$E$17+1,1))</f>
        <v>#N/A</v>
      </c>
      <c r="GF37" s="58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64.484374341321711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8" t="e">
        <f t="shared" si="29"/>
        <v>#N/A</v>
      </c>
      <c r="GZ37" s="58" t="e">
        <f ca="1">AVERAGE(OFFSET($GY$3,0,0,'Données projet'!$E$18+1,1))-AVERAGE(OFFSET($H$3,0,0,'Données projet'!$E$18+1,1))</f>
        <v>#N/A</v>
      </c>
      <c r="HA37" s="58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2">
        <f>'Scénario référence'!$B$16*5+'Scénario référence'!$B$17*0+'Scénario référence'!$B$18*5</f>
        <v>2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7.333333333333333</v>
      </c>
      <c r="H38" s="66">
        <f t="shared" si="1"/>
        <v>227.33333333333334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4.0942857142857143</v>
      </c>
      <c r="N38" s="13">
        <f>IF('Données projet'!$A$36&gt;35,N37+M38-V37,IF(A38&lt;'Données projet'!$A$36,$K$205^A38,IF(A38='Données projet'!$A$36,'Données projet'!$B$36,N37+M38-V37)))</f>
        <v>143.3000000000001</v>
      </c>
      <c r="O38" s="13">
        <f>N38*VLOOKUP('Données projet'!$B$9,Paramètres!$A$1:$I$89,3,0)*VLOOKUP('Données projet'!$B$9,Paramètres!$A$1:$I$89,5,0)</f>
        <v>129.65784000000008</v>
      </c>
      <c r="P38" s="13">
        <f t="shared" si="33"/>
        <v>33.917284079455818</v>
      </c>
      <c r="Q38" s="20">
        <f t="shared" si="53"/>
        <v>284.89334110505234</v>
      </c>
      <c r="R38" s="58">
        <f t="shared" si="0"/>
        <v>558.35355419488212</v>
      </c>
      <c r="S38" s="58">
        <f ca="1">AVERAGE(OFFSET($R$3,0,0,'Données projet'!$E$9+1,1))-AVERAGE(OFFSET($H$3,0,0,'Données projet'!$E$9+1,1))</f>
        <v>654.0179680178212</v>
      </c>
      <c r="T38" s="58">
        <f t="shared" si="34"/>
        <v>289.42065570013369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20.558571428571433</v>
      </c>
      <c r="AI38" s="13">
        <f>IF('Données projet'!$A$62&gt;35,AI37+AH38-AQ37,IF(A38&lt;'Données projet'!$A$62,$AF$205^A38,IF(A38='Données projet'!$A$62,'Données projet'!$B$62,AI37+AH38-AQ37)))</f>
        <v>296.05285714285725</v>
      </c>
      <c r="AJ38" s="13">
        <f>AI38*VLOOKUP('Données projet'!$B$10,Paramètres!$A$1:$I$89,3,0)*VLOOKUP('Données projet'!$B$10,Paramètres!$A$1:$I$89,5,0)</f>
        <v>177.03960857142866</v>
      </c>
      <c r="AK38" s="13">
        <f t="shared" si="35"/>
        <v>44.662919284644808</v>
      </c>
      <c r="AL38" s="20">
        <f t="shared" si="4"/>
        <v>386.13190268266129</v>
      </c>
      <c r="AM38" s="58">
        <f t="shared" si="5"/>
        <v>659.59211577249107</v>
      </c>
      <c r="AN38" s="58">
        <f ca="1">AVERAGE(OFFSET($AM$3,0,0,'Données projet'!$E$10+1,1))-AVERAGE(OFFSET($H$3,0,0,'Données projet'!$E$10+1,1))</f>
        <v>447.44638185108147</v>
      </c>
      <c r="AO38" s="58">
        <f t="shared" si="36"/>
        <v>384.84260115068605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11.659865888550463</v>
      </c>
      <c r="AV38" s="21">
        <f>EXP(-LN(2)/25)*AV37+(1-EXP(-LN(2)/25))/(LN(2)/25)*Calculateur!AQ38*Calculateur!AS38*VLOOKUP('Données projet'!$B$10,Paramètres!$A$1:$I$89,3,0)*0.475*44/12</f>
        <v>15.952263321050753</v>
      </c>
      <c r="AW38" s="21">
        <f>EXP(-LN(2)/2)*AW37+(1-EXP(-LN(2)/2))/(LN(2)/2)*AQ38*AT38*VLOOKUP('Données projet'!$B$10,Paramètres!$A$1:$I$89,3,0)*0.475*44/12</f>
        <v>3.3510418414683327</v>
      </c>
      <c r="AX38" s="21">
        <f t="shared" si="6"/>
        <v>30.963171051069548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145.3062000000001</v>
      </c>
      <c r="BF38" s="13">
        <f t="shared" si="37"/>
        <v>37.509937087266451</v>
      </c>
      <c r="BG38" s="20">
        <f t="shared" si="7"/>
        <v>318.40477209365588</v>
      </c>
      <c r="BH38" s="58">
        <f t="shared" si="8"/>
        <v>591.86498518348571</v>
      </c>
      <c r="BI38" s="58">
        <f ca="1">AVERAGE(OFFSET($BH$3,0,0,'Données projet'!$E$11+1,1))-AVERAGE(OFFSET($H$3,0,0,'Données projet'!$E$11+1,1))</f>
        <v>724.99760740673071</v>
      </c>
      <c r="BJ38" s="58">
        <f t="shared" si="38"/>
        <v>318.24184272438208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4.0942857142857143</v>
      </c>
      <c r="BY38" s="12">
        <f>IF('Données projet'!$A$114&gt;35,BY37+BX38-CG37,IF(A38&lt;'Données projet'!$A$114,$BV$205^A38,IF(A38='Données projet'!$A$114,'Données projet'!$B$114,BY37+BX38-CG37)))</f>
        <v>143.3000000000001</v>
      </c>
      <c r="BZ38" s="13">
        <f>BY38*VLOOKUP('Données projet'!$B$12,Paramètres!$A$1:$I$89,3,0)*VLOOKUP('Données projet'!$B$12,Paramètres!$A$1:$I$89,5,0)</f>
        <v>136.36428000000009</v>
      </c>
      <c r="CA38" s="13">
        <f t="shared" si="39"/>
        <v>35.462841911056067</v>
      </c>
      <c r="CB38" s="20">
        <f t="shared" si="10"/>
        <v>299.26557066175616</v>
      </c>
      <c r="CC38" s="58">
        <f t="shared" si="11"/>
        <v>572.72578375158594</v>
      </c>
      <c r="CD38" s="58">
        <f ca="1">AVERAGE(OFFSET($CC$3,0,0,'Données projet'!$E$12+1,1))-AVERAGE(OFFSET($H$3,0,0,'Données projet'!$E$12+1,1))</f>
        <v>684.45757350513315</v>
      </c>
      <c r="CE38" s="58">
        <f t="shared" si="40"/>
        <v>301.78148341369194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8" t="e">
        <f t="shared" si="14"/>
        <v>#N/A</v>
      </c>
      <c r="CY38" s="58" t="e">
        <f ca="1">AVERAGE(OFFSET($CX$3,0,0,'Données projet'!$E$13+1,1))-AVERAGE(OFFSET($H$3,0,0,'Données projet'!$E$13+1,1))</f>
        <v>#N/A</v>
      </c>
      <c r="CZ38" s="58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8" t="e">
        <f t="shared" si="17"/>
        <v>#N/A</v>
      </c>
      <c r="DT38" s="58" t="e">
        <f ca="1">AVERAGE(OFFSET($DS$3,0,0,'Données projet'!$E$14+1,1))-AVERAGE(OFFSET($H$3,0,0,'Données projet'!$E$14+1,1))</f>
        <v>#N/A</v>
      </c>
      <c r="DU38" s="58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8" t="e">
        <f t="shared" si="20"/>
        <v>#N/A</v>
      </c>
      <c r="EO38" s="58" t="e">
        <f ca="1">AVERAGE(OFFSET($EN$3,0,0,'Données projet'!$E$15+1,1))-AVERAGE(OFFSET($H$3,0,0,'Données projet'!$E$15+1,1))</f>
        <v>#N/A</v>
      </c>
      <c r="EP38" s="58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8" t="e">
        <f t="shared" si="23"/>
        <v>#N/A</v>
      </c>
      <c r="FJ38" s="58" t="e">
        <f ca="1">AVERAGE(OFFSET($FI$3,0,0,'Données projet'!$E$16+1,1))-AVERAGE(OFFSET($H$3,0,0,'Données projet'!$E$16+1,1))</f>
        <v>#N/A</v>
      </c>
      <c r="FK38" s="58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8" t="e">
        <f t="shared" si="26"/>
        <v>#N/A</v>
      </c>
      <c r="GE38" s="58" t="e">
        <f ca="1">AVERAGE(OFFSET($GD$3,0,0,'Données projet'!$E$17+1,1))-AVERAGE(OFFSET($H$3,0,0,'Données projet'!$E$17+1,1))</f>
        <v>#N/A</v>
      </c>
      <c r="GF38" s="58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64.580058115408121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8" t="e">
        <f t="shared" si="29"/>
        <v>#N/A</v>
      </c>
      <c r="GZ38" s="58" t="e">
        <f ca="1">AVERAGE(OFFSET($GY$3,0,0,'Données projet'!$E$18+1,1))-AVERAGE(OFFSET($H$3,0,0,'Données projet'!$E$18+1,1))</f>
        <v>#N/A</v>
      </c>
      <c r="HA38" s="58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2">
        <f>'Scénario référence'!$B$16*5+'Scénario référence'!$B$17*0+'Scénario référence'!$B$18*5</f>
        <v>2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7.333333333333333</v>
      </c>
      <c r="H39" s="66">
        <f t="shared" si="1"/>
        <v>227.33333333333334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4.0942857142857143</v>
      </c>
      <c r="N39" s="13">
        <f>IF('Données projet'!$A$36&gt;35,N38+M39-V38,IF(A39&lt;'Données projet'!$A$36,$K$205^A39,IF(A39='Données projet'!$A$36,'Données projet'!$B$36,N38+M39-V38)))</f>
        <v>147.39428571428581</v>
      </c>
      <c r="O39" s="13">
        <f>N39*VLOOKUP('Données projet'!$B$9,Paramètres!$A$1:$I$89,3,0)*VLOOKUP('Données projet'!$B$9,Paramètres!$A$1:$I$89,5,0)</f>
        <v>133.36234971428578</v>
      </c>
      <c r="P39" s="13">
        <f t="shared" si="33"/>
        <v>34.772141208569977</v>
      </c>
      <c r="Q39" s="20">
        <f t="shared" si="53"/>
        <v>292.83423835730713</v>
      </c>
      <c r="R39" s="58">
        <f t="shared" si="0"/>
        <v>566.63920565372086</v>
      </c>
      <c r="S39" s="58">
        <f ca="1">AVERAGE(OFFSET($R$3,0,0,'Données projet'!$E$9+1,1))-AVERAGE(OFFSET($H$3,0,0,'Données projet'!$E$9+1,1))</f>
        <v>654.0179680178212</v>
      </c>
      <c r="T39" s="58">
        <f t="shared" si="34"/>
        <v>289.42065570013369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20.558571428571433</v>
      </c>
      <c r="AI39" s="13">
        <f>IF('Données projet'!$A$62&gt;35,AI38+AH39-AQ38,IF(A39&lt;'Données projet'!$A$62,$AF$205^A39,IF(A39='Données projet'!$A$62,'Données projet'!$B$62,AI38+AH39-AQ38)))</f>
        <v>316.61142857142869</v>
      </c>
      <c r="AJ39" s="13">
        <f>AI39*VLOOKUP('Données projet'!$B$10,Paramètres!$A$1:$I$89,3,0)*VLOOKUP('Données projet'!$B$10,Paramètres!$A$1:$I$89,5,0)</f>
        <v>189.33363428571437</v>
      </c>
      <c r="AK39" s="13">
        <f t="shared" si="35"/>
        <v>47.392598742151947</v>
      </c>
      <c r="AL39" s="20">
        <f t="shared" si="4"/>
        <v>412.2981891902005</v>
      </c>
      <c r="AM39" s="58">
        <f t="shared" si="5"/>
        <v>686.10315648661424</v>
      </c>
      <c r="AN39" s="58">
        <f ca="1">AVERAGE(OFFSET($AM$3,0,0,'Données projet'!$E$10+1,1))-AVERAGE(OFFSET($H$3,0,0,'Données projet'!$E$10+1,1))</f>
        <v>447.44638185108147</v>
      </c>
      <c r="AO39" s="58">
        <f t="shared" si="36"/>
        <v>384.84260115068605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11.431223030291948</v>
      </c>
      <c r="AV39" s="21">
        <f>EXP(-LN(2)/25)*AV38+(1-EXP(-LN(2)/25))/(LN(2)/25)*Calculateur!AQ39*Calculateur!AS39*VLOOKUP('Données projet'!$B$10,Paramètres!$A$1:$I$89,3,0)*0.475*44/12</f>
        <v>15.516047841643552</v>
      </c>
      <c r="AW39" s="21">
        <f>EXP(-LN(2)/2)*AW38+(1-EXP(-LN(2)/2))/(LN(2)/2)*AQ39*AT39*VLOOKUP('Données projet'!$B$10,Paramètres!$A$1:$I$89,3,0)*0.475*44/12</f>
        <v>2.3695444101421139</v>
      </c>
      <c r="AX39" s="21">
        <f t="shared" si="6"/>
        <v>29.316815282077616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149.45780571428583</v>
      </c>
      <c r="BF39" s="13">
        <f t="shared" si="37"/>
        <v>38.455344067865383</v>
      </c>
      <c r="BG39" s="20">
        <f t="shared" si="7"/>
        <v>327.2820692039133</v>
      </c>
      <c r="BH39" s="58">
        <f t="shared" si="8"/>
        <v>601.08703650032703</v>
      </c>
      <c r="BI39" s="58">
        <f ca="1">AVERAGE(OFFSET($BH$3,0,0,'Données projet'!$E$11+1,1))-AVERAGE(OFFSET($H$3,0,0,'Données projet'!$E$11+1,1))</f>
        <v>724.99760740673071</v>
      </c>
      <c r="BJ39" s="58">
        <f t="shared" si="38"/>
        <v>318.24184272438208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4.0942857142857143</v>
      </c>
      <c r="BY39" s="12">
        <f>IF('Données projet'!$A$114&gt;35,BY38+BX39-CG38,IF(A39&lt;'Données projet'!$A$114,$BV$205^A39,IF(A39='Données projet'!$A$114,'Données projet'!$B$114,BY38+BX39-CG38)))</f>
        <v>147.39428571428581</v>
      </c>
      <c r="BZ39" s="13">
        <f>BY39*VLOOKUP('Données projet'!$B$12,Paramètres!$A$1:$I$89,3,0)*VLOOKUP('Données projet'!$B$12,Paramètres!$A$1:$I$89,5,0)</f>
        <v>140.26040228571438</v>
      </c>
      <c r="CA39" s="13">
        <f t="shared" si="39"/>
        <v>36.356653548665221</v>
      </c>
      <c r="CB39" s="20">
        <f t="shared" si="10"/>
        <v>307.60803891154438</v>
      </c>
      <c r="CC39" s="58">
        <f t="shared" si="11"/>
        <v>581.41300620795812</v>
      </c>
      <c r="CD39" s="58">
        <f ca="1">AVERAGE(OFFSET($CC$3,0,0,'Données projet'!$E$12+1,1))-AVERAGE(OFFSET($H$3,0,0,'Données projet'!$E$12+1,1))</f>
        <v>684.45757350513315</v>
      </c>
      <c r="CE39" s="58">
        <f t="shared" si="40"/>
        <v>301.78148341369194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8" t="e">
        <f t="shared" si="14"/>
        <v>#N/A</v>
      </c>
      <c r="CY39" s="58" t="e">
        <f ca="1">AVERAGE(OFFSET($CX$3,0,0,'Données projet'!$E$13+1,1))-AVERAGE(OFFSET($H$3,0,0,'Données projet'!$E$13+1,1))</f>
        <v>#N/A</v>
      </c>
      <c r="CZ39" s="58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8" t="e">
        <f t="shared" si="17"/>
        <v>#N/A</v>
      </c>
      <c r="DT39" s="58" t="e">
        <f ca="1">AVERAGE(OFFSET($DS$3,0,0,'Données projet'!$E$14+1,1))-AVERAGE(OFFSET($H$3,0,0,'Données projet'!$E$14+1,1))</f>
        <v>#N/A</v>
      </c>
      <c r="DU39" s="58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8" t="e">
        <f t="shared" si="20"/>
        <v>#N/A</v>
      </c>
      <c r="EO39" s="58" t="e">
        <f ca="1">AVERAGE(OFFSET($EN$3,0,0,'Données projet'!$E$15+1,1))-AVERAGE(OFFSET($H$3,0,0,'Données projet'!$E$15+1,1))</f>
        <v>#N/A</v>
      </c>
      <c r="EP39" s="58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8" t="e">
        <f t="shared" si="23"/>
        <v>#N/A</v>
      </c>
      <c r="FJ39" s="58" t="e">
        <f ca="1">AVERAGE(OFFSET($FI$3,0,0,'Données projet'!$E$16+1,1))-AVERAGE(OFFSET($H$3,0,0,'Données projet'!$E$16+1,1))</f>
        <v>#N/A</v>
      </c>
      <c r="FK39" s="58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8" t="e">
        <f t="shared" si="26"/>
        <v>#N/A</v>
      </c>
      <c r="GE39" s="58" t="e">
        <f ca="1">AVERAGE(OFFSET($GD$3,0,0,'Données projet'!$E$17+1,1))-AVERAGE(OFFSET($H$3,0,0,'Données projet'!$E$17+1,1))</f>
        <v>#N/A</v>
      </c>
      <c r="GF39" s="58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64.674081989931025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8" t="e">
        <f t="shared" si="29"/>
        <v>#N/A</v>
      </c>
      <c r="GZ39" s="58" t="e">
        <f ca="1">AVERAGE(OFFSET($GY$3,0,0,'Données projet'!$E$18+1,1))-AVERAGE(OFFSET($H$3,0,0,'Données projet'!$E$18+1,1))</f>
        <v>#N/A</v>
      </c>
      <c r="HA39" s="58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2">
        <f>'Scénario référence'!$B$16*5+'Scénario référence'!$B$17*0+'Scénario référence'!$B$18*5</f>
        <v>2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7.333333333333333</v>
      </c>
      <c r="H40" s="66">
        <f t="shared" si="1"/>
        <v>227.33333333333334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4.0942857142857143</v>
      </c>
      <c r="N40" s="13">
        <f>IF('Données projet'!$A$36&gt;35,N39+M40-V39,IF(A40&lt;'Données projet'!$A$36,$K$205^A40,IF(A40='Données projet'!$A$36,'Données projet'!$B$36,N39+M40-V39)))</f>
        <v>151.48857142857153</v>
      </c>
      <c r="O40" s="13">
        <f>N40*VLOOKUP('Données projet'!$B$9,Paramètres!$A$1:$I$89,3,0)*VLOOKUP('Données projet'!$B$9,Paramètres!$A$1:$I$89,5,0)</f>
        <v>137.06685942857152</v>
      </c>
      <c r="P40" s="13">
        <f t="shared" si="33"/>
        <v>35.624238388297236</v>
      </c>
      <c r="Q40" s="20">
        <f t="shared" si="53"/>
        <v>300.77032869771307</v>
      </c>
      <c r="R40" s="58">
        <f t="shared" si="0"/>
        <v>574.91406948598149</v>
      </c>
      <c r="S40" s="58">
        <f ca="1">AVERAGE(OFFSET($R$3,0,0,'Données projet'!$E$9+1,1))-AVERAGE(OFFSET($H$3,0,0,'Données projet'!$E$9+1,1))</f>
        <v>654.0179680178212</v>
      </c>
      <c r="T40" s="58">
        <f t="shared" si="34"/>
        <v>289.42065570013369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337.17</v>
      </c>
      <c r="AG40" s="12">
        <f>VLOOKUP(A40,'Données projet'!$A$61:$I$81,9,0)</f>
        <v>20.558571428571433</v>
      </c>
      <c r="AH40" s="12">
        <f t="array" ref="AH40">INDEX(AG:AG,MIN(IF(ISNUMBER(AG40:AG236),ROW(AG40:AG236),"")))</f>
        <v>20.558571428571433</v>
      </c>
      <c r="AI40" s="13">
        <f>IF('Données projet'!$A$62&gt;35,AI39+AH40-AQ39,IF(A40&lt;'Données projet'!$A$62,$AF$205^A40,IF(A40='Données projet'!$A$62,'Données projet'!$B$62,AI39+AH40-AQ39)))</f>
        <v>337.17000000000013</v>
      </c>
      <c r="AJ40" s="13">
        <f>AI40*VLOOKUP('Données projet'!$B$10,Paramètres!$A$1:$I$89,3,0)*VLOOKUP('Données projet'!$B$10,Paramètres!$A$1:$I$89,5,0)</f>
        <v>201.62766000000011</v>
      </c>
      <c r="AK40" s="13">
        <f t="shared" si="35"/>
        <v>50.101709210742541</v>
      </c>
      <c r="AL40" s="20">
        <f t="shared" si="4"/>
        <v>438.42865137537677</v>
      </c>
      <c r="AM40" s="58">
        <f t="shared" si="5"/>
        <v>712.57239216364519</v>
      </c>
      <c r="AN40" s="58">
        <f ca="1">AVERAGE(OFFSET($AM$3,0,0,'Données projet'!$E$10+1,1))-AVERAGE(OFFSET($H$3,0,0,'Données projet'!$E$10+1,1))</f>
        <v>447.44638185108147</v>
      </c>
      <c r="AO40" s="58">
        <f t="shared" si="36"/>
        <v>384.84260115068605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54.640000000000043</v>
      </c>
      <c r="AR40" s="16">
        <f>IF(ISNA(VLOOKUP(A40,'Données projet'!$A$61:$I$81,5,0)),0%,VLOOKUP(A40,'Données projet'!$A$61:$I$81,5,0)*VLOOKUP('Données projet'!$B$10,Paramètres!$A$1:$I$89,7,0))</f>
        <v>0.27</v>
      </c>
      <c r="AS40" s="16">
        <f>IF(ISNA(VLOOKUP(A40,'Données projet'!$A$61:$I$81,6,0)),0%,VLOOKUP(A40,'Données projet'!$A$61:$I$81,6,0)*VLOOKUP('Données projet'!$B$10,Paramètres!$A$1:$I$89,7,0))</f>
        <v>9.0000000000000011E-2</v>
      </c>
      <c r="AT40" s="16">
        <f>IF(ISNA(VLOOKUP(A40,'Données projet'!$A$61:$I$81,7,0)),0%,VLOOKUP(A40,'Données projet'!$A$61:$I$81,7,0))</f>
        <v>0.2</v>
      </c>
      <c r="AU40" s="21">
        <f>EXP(-LN(2)/35)*AU39+(1-EXP(-LN(2)/35))/(LN(2)/35)*AQ40*AR40*VLOOKUP('Données projet'!$B$10,Paramètres!$A$1:$I$89,3,0)*0.475*44/12</f>
        <v>22.910246697754168</v>
      </c>
      <c r="AV40" s="21">
        <f>EXP(-LN(2)/25)*AV39+(1-EXP(-LN(2)/25))/(LN(2)/25)*Calculateur!AQ40*Calculateur!AS40*VLOOKUP('Données projet'!$B$10,Paramètres!$A$1:$I$89,3,0)*0.475*44/12</f>
        <v>18.977461726820014</v>
      </c>
      <c r="AW40" s="21">
        <f>EXP(-LN(2)/2)*AW39+(1-EXP(-LN(2)/2))/(LN(2)/2)*AQ40*AT40*VLOOKUP('Données projet'!$B$10,Paramètres!$A$1:$I$89,3,0)*0.475*44/12</f>
        <v>9.0745955800609668</v>
      </c>
      <c r="AX40" s="21">
        <f t="shared" si="6"/>
        <v>50.962304004635151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153.60941142857155</v>
      </c>
      <c r="BF40" s="13">
        <f t="shared" si="37"/>
        <v>39.397698754311712</v>
      </c>
      <c r="BG40" s="20">
        <f t="shared" si="7"/>
        <v>336.15405023518832</v>
      </c>
      <c r="BH40" s="58">
        <f t="shared" si="8"/>
        <v>610.29779102345674</v>
      </c>
      <c r="BI40" s="58">
        <f ca="1">AVERAGE(OFFSET($BH$3,0,0,'Données projet'!$E$11+1,1))-AVERAGE(OFFSET($H$3,0,0,'Données projet'!$E$11+1,1))</f>
        <v>724.99760740673071</v>
      </c>
      <c r="BJ40" s="58">
        <f t="shared" si="38"/>
        <v>318.24184272438208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4.0942857142857143</v>
      </c>
      <c r="BY40" s="12">
        <f>IF('Données projet'!$A$114&gt;35,BY39+BX40-CG39,IF(A40&lt;'Données projet'!$A$114,$BV$205^A40,IF(A40='Données projet'!$A$114,'Données projet'!$B$114,BY39+BX40-CG39)))</f>
        <v>151.48857142857153</v>
      </c>
      <c r="BZ40" s="13">
        <f>BY40*VLOOKUP('Données projet'!$B$12,Paramètres!$A$1:$I$89,3,0)*VLOOKUP('Données projet'!$B$12,Paramètres!$A$1:$I$89,5,0)</f>
        <v>144.15652457142866</v>
      </c>
      <c r="CA40" s="13">
        <f t="shared" si="39"/>
        <v>37.247579470290766</v>
      </c>
      <c r="CB40" s="20">
        <f t="shared" si="10"/>
        <v>315.94548120599461</v>
      </c>
      <c r="CC40" s="58">
        <f t="shared" si="11"/>
        <v>590.08922199426297</v>
      </c>
      <c r="CD40" s="58">
        <f ca="1">AVERAGE(OFFSET($CC$3,0,0,'Données projet'!$E$12+1,1))-AVERAGE(OFFSET($H$3,0,0,'Données projet'!$E$12+1,1))</f>
        <v>684.45757350513315</v>
      </c>
      <c r="CE40" s="58">
        <f t="shared" si="40"/>
        <v>301.78148341369194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8" t="e">
        <f t="shared" si="14"/>
        <v>#N/A</v>
      </c>
      <c r="CY40" s="58" t="e">
        <f ca="1">AVERAGE(OFFSET($CX$3,0,0,'Données projet'!$E$13+1,1))-AVERAGE(OFFSET($H$3,0,0,'Données projet'!$E$13+1,1))</f>
        <v>#N/A</v>
      </c>
      <c r="CZ40" s="58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8" t="e">
        <f t="shared" si="17"/>
        <v>#N/A</v>
      </c>
      <c r="DT40" s="58" t="e">
        <f ca="1">AVERAGE(OFFSET($DS$3,0,0,'Données projet'!$E$14+1,1))-AVERAGE(OFFSET($H$3,0,0,'Données projet'!$E$14+1,1))</f>
        <v>#N/A</v>
      </c>
      <c r="DU40" s="58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8" t="e">
        <f t="shared" si="20"/>
        <v>#N/A</v>
      </c>
      <c r="EO40" s="58" t="e">
        <f ca="1">AVERAGE(OFFSET($EN$3,0,0,'Données projet'!$E$15+1,1))-AVERAGE(OFFSET($H$3,0,0,'Données projet'!$E$15+1,1))</f>
        <v>#N/A</v>
      </c>
      <c r="EP40" s="58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8" t="e">
        <f t="shared" si="23"/>
        <v>#N/A</v>
      </c>
      <c r="FJ40" s="58" t="e">
        <f ca="1">AVERAGE(OFFSET($FI$3,0,0,'Données projet'!$E$16+1,1))-AVERAGE(OFFSET($H$3,0,0,'Données projet'!$E$16+1,1))</f>
        <v>#N/A</v>
      </c>
      <c r="FK40" s="58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8" t="e">
        <f t="shared" si="26"/>
        <v>#N/A</v>
      </c>
      <c r="GE40" s="58" t="e">
        <f ca="1">AVERAGE(OFFSET($GD$3,0,0,'Données projet'!$E$17+1,1))-AVERAGE(OFFSET($H$3,0,0,'Données projet'!$E$17+1,1))</f>
        <v>#N/A</v>
      </c>
      <c r="GF40" s="58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64.76647476043685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8" t="e">
        <f t="shared" si="29"/>
        <v>#N/A</v>
      </c>
      <c r="GZ40" s="58" t="e">
        <f ca="1">AVERAGE(OFFSET($GY$3,0,0,'Données projet'!$E$18+1,1))-AVERAGE(OFFSET($H$3,0,0,'Données projet'!$E$18+1,1))</f>
        <v>#N/A</v>
      </c>
      <c r="HA40" s="58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2">
        <f>'Scénario référence'!$B$16*5+'Scénario référence'!$B$17*0+'Scénario référence'!$B$18*5</f>
        <v>2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7.333333333333333</v>
      </c>
      <c r="H41" s="66">
        <f t="shared" si="1"/>
        <v>227.33333333333334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4.0942857142857143</v>
      </c>
      <c r="N41" s="13">
        <f>IF('Données projet'!$A$36&gt;35,N40+M41-V40,IF(A41&lt;'Données projet'!$A$36,$K$205^A41,IF(A41='Données projet'!$A$36,'Données projet'!$B$36,N40+M41-V40)))</f>
        <v>155.58285714285725</v>
      </c>
      <c r="O41" s="13">
        <f>N41*VLOOKUP('Données projet'!$B$9,Paramètres!$A$1:$I$89,3,0)*VLOOKUP('Données projet'!$B$9,Paramètres!$A$1:$I$89,5,0)</f>
        <v>140.77136914285722</v>
      </c>
      <c r="P41" s="13">
        <f t="shared" si="33"/>
        <v>36.473658784165018</v>
      </c>
      <c r="Q41" s="20">
        <f t="shared" si="53"/>
        <v>308.70175697289704</v>
      </c>
      <c r="R41" s="58">
        <f t="shared" si="0"/>
        <v>583.17839429032051</v>
      </c>
      <c r="S41" s="58">
        <f ca="1">AVERAGE(OFFSET($R$3,0,0,'Données projet'!$E$9+1,1))-AVERAGE(OFFSET($H$3,0,0,'Données projet'!$E$9+1,1))</f>
        <v>654.0179680178212</v>
      </c>
      <c r="T41" s="58">
        <f t="shared" si="34"/>
        <v>289.42065570013369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20.414444444444445</v>
      </c>
      <c r="AI41" s="13">
        <f>IF('Données projet'!$A$62&gt;35,AI40+AH41-AQ40,IF(A41&lt;'Données projet'!$A$62,$AF$205^A41,IF(A41='Données projet'!$A$62,'Données projet'!$B$62,AI40+AH41-AQ40)))</f>
        <v>302.94444444444451</v>
      </c>
      <c r="AJ41" s="13">
        <f>AI41*VLOOKUP('Données projet'!$B$10,Paramètres!$A$1:$I$89,3,0)*VLOOKUP('Données projet'!$B$10,Paramètres!$A$1:$I$89,5,0)</f>
        <v>181.16077777777784</v>
      </c>
      <c r="AK41" s="13">
        <f t="shared" si="35"/>
        <v>45.580341141333527</v>
      </c>
      <c r="AL41" s="20">
        <f t="shared" si="4"/>
        <v>394.90744878411897</v>
      </c>
      <c r="AM41" s="58">
        <f t="shared" si="5"/>
        <v>669.38408610154238</v>
      </c>
      <c r="AN41" s="58">
        <f ca="1">AVERAGE(OFFSET($AM$3,0,0,'Données projet'!$E$10+1,1))-AVERAGE(OFFSET($H$3,0,0,'Données projet'!$E$10+1,1))</f>
        <v>447.44638185108147</v>
      </c>
      <c r="AO41" s="58">
        <f t="shared" si="36"/>
        <v>384.84260115068605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22.460990733881889</v>
      </c>
      <c r="AV41" s="21">
        <f>EXP(-LN(2)/25)*AV40+(1-EXP(-LN(2)/25))/(LN(2)/25)*Calculateur!AQ41*Calculateur!AS41*VLOOKUP('Données projet'!$B$10,Paramètres!$A$1:$I$89,3,0)*0.475*44/12</f>
        <v>18.458522037918783</v>
      </c>
      <c r="AW41" s="21">
        <f>EXP(-LN(2)/2)*AW40+(1-EXP(-LN(2)/2))/(LN(2)/2)*AQ41*AT41*VLOOKUP('Données projet'!$B$10,Paramètres!$A$1:$I$89,3,0)*0.475*44/12</f>
        <v>6.4167080711865818</v>
      </c>
      <c r="AX41" s="21">
        <f t="shared" si="6"/>
        <v>47.336220842987252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157.76101714285727</v>
      </c>
      <c r="BF41" s="13">
        <f t="shared" si="37"/>
        <v>40.337093121354812</v>
      </c>
      <c r="BG41" s="20">
        <f t="shared" si="7"/>
        <v>345.02087537683605</v>
      </c>
      <c r="BH41" s="58">
        <f t="shared" si="8"/>
        <v>619.49751269425951</v>
      </c>
      <c r="BI41" s="58">
        <f ca="1">AVERAGE(OFFSET($BH$3,0,0,'Données projet'!$E$11+1,1))-AVERAGE(OFFSET($H$3,0,0,'Données projet'!$E$11+1,1))</f>
        <v>724.99760740673071</v>
      </c>
      <c r="BJ41" s="58">
        <f t="shared" si="38"/>
        <v>318.24184272438208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4.0942857142857143</v>
      </c>
      <c r="BY41" s="12">
        <f>IF('Données projet'!$A$114&gt;35,BY40+BX41-CG40,IF(A41&lt;'Données projet'!$A$114,$BV$205^A41,IF(A41='Données projet'!$A$114,'Données projet'!$B$114,BY40+BX41-CG40)))</f>
        <v>155.58285714285725</v>
      </c>
      <c r="BZ41" s="13">
        <f>BY41*VLOOKUP('Données projet'!$B$12,Paramètres!$A$1:$I$89,3,0)*VLOOKUP('Données projet'!$B$12,Paramètres!$A$1:$I$89,5,0)</f>
        <v>148.05264685714295</v>
      </c>
      <c r="CA41" s="13">
        <f t="shared" si="39"/>
        <v>38.135706631183687</v>
      </c>
      <c r="CB41" s="20">
        <f t="shared" si="10"/>
        <v>324.27804899216886</v>
      </c>
      <c r="CC41" s="58">
        <f t="shared" si="11"/>
        <v>598.75468630959233</v>
      </c>
      <c r="CD41" s="58">
        <f ca="1">AVERAGE(OFFSET($CC$3,0,0,'Données projet'!$E$12+1,1))-AVERAGE(OFFSET($H$3,0,0,'Données projet'!$E$12+1,1))</f>
        <v>684.45757350513315</v>
      </c>
      <c r="CE41" s="58">
        <f t="shared" si="40"/>
        <v>301.78148341369194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8" t="e">
        <f t="shared" si="14"/>
        <v>#N/A</v>
      </c>
      <c r="CY41" s="58" t="e">
        <f ca="1">AVERAGE(OFFSET($CX$3,0,0,'Données projet'!$E$13+1,1))-AVERAGE(OFFSET($H$3,0,0,'Données projet'!$E$13+1,1))</f>
        <v>#N/A</v>
      </c>
      <c r="CZ41" s="58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8" t="e">
        <f t="shared" si="17"/>
        <v>#N/A</v>
      </c>
      <c r="DT41" s="58" t="e">
        <f ca="1">AVERAGE(OFFSET($DS$3,0,0,'Données projet'!$E$14+1,1))-AVERAGE(OFFSET($H$3,0,0,'Données projet'!$E$14+1,1))</f>
        <v>#N/A</v>
      </c>
      <c r="DU41" s="58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8" t="e">
        <f t="shared" si="20"/>
        <v>#N/A</v>
      </c>
      <c r="EO41" s="58" t="e">
        <f ca="1">AVERAGE(OFFSET($EN$3,0,0,'Données projet'!$E$15+1,1))-AVERAGE(OFFSET($H$3,0,0,'Données projet'!$E$15+1,1))</f>
        <v>#N/A</v>
      </c>
      <c r="EP41" s="58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8" t="e">
        <f t="shared" si="23"/>
        <v>#N/A</v>
      </c>
      <c r="FJ41" s="58" t="e">
        <f ca="1">AVERAGE(OFFSET($FI$3,0,0,'Données projet'!$E$16+1,1))-AVERAGE(OFFSET($H$3,0,0,'Données projet'!$E$16+1,1))</f>
        <v>#N/A</v>
      </c>
      <c r="FK41" s="58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8" t="e">
        <f t="shared" si="26"/>
        <v>#N/A</v>
      </c>
      <c r="GE41" s="58" t="e">
        <f ca="1">AVERAGE(OFFSET($GD$3,0,0,'Données projet'!$E$17+1,1))-AVERAGE(OFFSET($H$3,0,0,'Données projet'!$E$17+1,1))</f>
        <v>#N/A</v>
      </c>
      <c r="GF41" s="58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64.857264722933678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8" t="e">
        <f t="shared" si="29"/>
        <v>#N/A</v>
      </c>
      <c r="GZ41" s="58" t="e">
        <f ca="1">AVERAGE(OFFSET($GY$3,0,0,'Données projet'!$E$18+1,1))-AVERAGE(OFFSET($H$3,0,0,'Données projet'!$E$18+1,1))</f>
        <v>#N/A</v>
      </c>
      <c r="HA41" s="58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2">
        <f>'Scénario référence'!$B$16*5+'Scénario référence'!$B$17*0+'Scénario référence'!$B$18*5</f>
        <v>2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7.333333333333333</v>
      </c>
      <c r="H42" s="66">
        <f t="shared" si="1"/>
        <v>227.33333333333334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4.0942857142857143</v>
      </c>
      <c r="N42" s="13">
        <f>IF('Données projet'!$A$36&gt;35,N41+M42-V41,IF(A42&lt;'Données projet'!$A$36,$K$205^A42,IF(A42='Données projet'!$A$36,'Données projet'!$B$36,N41+M42-V41)))</f>
        <v>159.67714285714297</v>
      </c>
      <c r="O42" s="13">
        <f>N42*VLOOKUP('Données projet'!$B$9,Paramètres!$A$1:$I$89,3,0)*VLOOKUP('Données projet'!$B$9,Paramètres!$A$1:$I$89,5,0)</f>
        <v>144.47587885714296</v>
      </c>
      <c r="P42" s="13">
        <f t="shared" si="33"/>
        <v>37.320480935293446</v>
      </c>
      <c r="Q42" s="20">
        <f t="shared" si="53"/>
        <v>316.62865997182678</v>
      </c>
      <c r="R42" s="58">
        <f t="shared" si="0"/>
        <v>591.43241880786968</v>
      </c>
      <c r="S42" s="58">
        <f ca="1">AVERAGE(OFFSET($R$3,0,0,'Données projet'!$E$9+1,1))-AVERAGE(OFFSET($H$3,0,0,'Données projet'!$E$9+1,1))</f>
        <v>654.0179680178212</v>
      </c>
      <c r="T42" s="58">
        <f t="shared" si="34"/>
        <v>289.42065570013369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20.414444444444445</v>
      </c>
      <c r="AI42" s="13">
        <f>IF('Données projet'!$A$62&gt;35,AI41+AH42-AQ41,IF(A42&lt;'Données projet'!$A$62,$AF$205^A42,IF(A42='Données projet'!$A$62,'Données projet'!$B$62,AI41+AH42-AQ41)))</f>
        <v>323.35888888888894</v>
      </c>
      <c r="AJ42" s="13">
        <f>AI42*VLOOKUP('Données projet'!$B$10,Paramètres!$A$1:$I$89,3,0)*VLOOKUP('Données projet'!$B$10,Paramètres!$A$1:$I$89,5,0)</f>
        <v>193.36861555555561</v>
      </c>
      <c r="AK42" s="13">
        <f t="shared" si="35"/>
        <v>48.283942464442639</v>
      </c>
      <c r="AL42" s="20">
        <f t="shared" si="4"/>
        <v>420.87820521816366</v>
      </c>
      <c r="AM42" s="58">
        <f t="shared" si="5"/>
        <v>695.68196405420645</v>
      </c>
      <c r="AN42" s="58">
        <f ca="1">AVERAGE(OFFSET($AM$3,0,0,'Données projet'!$E$10+1,1))-AVERAGE(OFFSET($H$3,0,0,'Données projet'!$E$10+1,1))</f>
        <v>447.44638185108147</v>
      </c>
      <c r="AO42" s="58">
        <f t="shared" si="36"/>
        <v>384.84260115068605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22.020544405442067</v>
      </c>
      <c r="AV42" s="21">
        <f>EXP(-LN(2)/25)*AV41+(1-EXP(-LN(2)/25))/(LN(2)/25)*Calculateur!AQ42*Calculateur!AS42*VLOOKUP('Données projet'!$B$10,Paramètres!$A$1:$I$89,3,0)*0.475*44/12</f>
        <v>17.953772782100408</v>
      </c>
      <c r="AW42" s="21">
        <f>EXP(-LN(2)/2)*AW41+(1-EXP(-LN(2)/2))/(LN(2)/2)*AQ42*AT42*VLOOKUP('Données projet'!$B$10,Paramètres!$A$1:$I$89,3,0)*0.475*44/12</f>
        <v>4.5372977900304843</v>
      </c>
      <c r="AX42" s="21">
        <f t="shared" si="6"/>
        <v>44.511614977572961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161.91262285714299</v>
      </c>
      <c r="BF42" s="13">
        <f t="shared" si="37"/>
        <v>41.273614027289312</v>
      </c>
      <c r="BG42" s="20">
        <f t="shared" si="7"/>
        <v>353.88269590705289</v>
      </c>
      <c r="BH42" s="58">
        <f t="shared" si="8"/>
        <v>628.68645474309574</v>
      </c>
      <c r="BI42" s="58">
        <f ca="1">AVERAGE(OFFSET($BH$3,0,0,'Données projet'!$E$11+1,1))-AVERAGE(OFFSET($H$3,0,0,'Données projet'!$E$11+1,1))</f>
        <v>724.99760740673071</v>
      </c>
      <c r="BJ42" s="58">
        <f t="shared" si="38"/>
        <v>318.24184272438208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4.0942857142857143</v>
      </c>
      <c r="BY42" s="12">
        <f>IF('Données projet'!$A$114&gt;35,BY41+BX42-CG41,IF(A42&lt;'Données projet'!$A$114,$BV$205^A42,IF(A42='Données projet'!$A$114,'Données projet'!$B$114,BY41+BX42-CG41)))</f>
        <v>159.67714285714297</v>
      </c>
      <c r="BZ42" s="13">
        <f>BY42*VLOOKUP('Données projet'!$B$12,Paramètres!$A$1:$I$89,3,0)*VLOOKUP('Données projet'!$B$12,Paramètres!$A$1:$I$89,5,0)</f>
        <v>151.94876914285726</v>
      </c>
      <c r="CA42" s="13">
        <f t="shared" si="39"/>
        <v>39.021117149369502</v>
      </c>
      <c r="CB42" s="20">
        <f t="shared" si="10"/>
        <v>332.60588529229494</v>
      </c>
      <c r="CC42" s="58">
        <f t="shared" si="11"/>
        <v>607.40964412833773</v>
      </c>
      <c r="CD42" s="58">
        <f ca="1">AVERAGE(OFFSET($CC$3,0,0,'Données projet'!$E$12+1,1))-AVERAGE(OFFSET($H$3,0,0,'Données projet'!$E$12+1,1))</f>
        <v>684.45757350513315</v>
      </c>
      <c r="CE42" s="58">
        <f t="shared" si="40"/>
        <v>301.78148341369194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8" t="e">
        <f t="shared" si="14"/>
        <v>#N/A</v>
      </c>
      <c r="CY42" s="58" t="e">
        <f ca="1">AVERAGE(OFFSET($CX$3,0,0,'Données projet'!$E$13+1,1))-AVERAGE(OFFSET($H$3,0,0,'Données projet'!$E$13+1,1))</f>
        <v>#N/A</v>
      </c>
      <c r="CZ42" s="58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8" t="e">
        <f t="shared" si="17"/>
        <v>#N/A</v>
      </c>
      <c r="DT42" s="58" t="e">
        <f ca="1">AVERAGE(OFFSET($DS$3,0,0,'Données projet'!$E$14+1,1))-AVERAGE(OFFSET($H$3,0,0,'Données projet'!$E$14+1,1))</f>
        <v>#N/A</v>
      </c>
      <c r="DU42" s="58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8" t="e">
        <f t="shared" si="20"/>
        <v>#N/A</v>
      </c>
      <c r="EO42" s="58" t="e">
        <f ca="1">AVERAGE(OFFSET($EN$3,0,0,'Données projet'!$E$15+1,1))-AVERAGE(OFFSET($H$3,0,0,'Données projet'!$E$15+1,1))</f>
        <v>#N/A</v>
      </c>
      <c r="EP42" s="58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8" t="e">
        <f t="shared" si="23"/>
        <v>#N/A</v>
      </c>
      <c r="FJ42" s="58" t="e">
        <f ca="1">AVERAGE(OFFSET($FI$3,0,0,'Données projet'!$E$16+1,1))-AVERAGE(OFFSET($H$3,0,0,'Données projet'!$E$16+1,1))</f>
        <v>#N/A</v>
      </c>
      <c r="FK42" s="58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8" t="e">
        <f t="shared" si="26"/>
        <v>#N/A</v>
      </c>
      <c r="GE42" s="58" t="e">
        <f ca="1">AVERAGE(OFFSET($GD$3,0,0,'Données projet'!$E$17+1,1))-AVERAGE(OFFSET($H$3,0,0,'Données projet'!$E$17+1,1))</f>
        <v>#N/A</v>
      </c>
      <c r="GF42" s="58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64.94647968255714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8" t="e">
        <f t="shared" si="29"/>
        <v>#N/A</v>
      </c>
      <c r="GZ42" s="58" t="e">
        <f ca="1">AVERAGE(OFFSET($GY$3,0,0,'Données projet'!$E$18+1,1))-AVERAGE(OFFSET($H$3,0,0,'Données projet'!$E$18+1,1))</f>
        <v>#N/A</v>
      </c>
      <c r="HA42" s="58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2">
        <f>'Scénario référence'!$B$16*5+'Scénario référence'!$B$17*0+'Scénario référence'!$B$18*5</f>
        <v>2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7.333333333333333</v>
      </c>
      <c r="H43" s="66">
        <f t="shared" si="1"/>
        <v>227.33333333333334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4.0942857142857143</v>
      </c>
      <c r="N43" s="13">
        <f>IF('Données projet'!$A$36&gt;35,N42+M43-V42,IF(A43&lt;'Données projet'!$A$36,$K$205^A43,IF(A43='Données projet'!$A$36,'Données projet'!$B$36,N42+M43-V42)))</f>
        <v>163.77142857142869</v>
      </c>
      <c r="O43" s="13">
        <f>N43*VLOOKUP('Données projet'!$B$9,Paramètres!$A$1:$I$89,3,0)*VLOOKUP('Données projet'!$B$9,Paramètres!$A$1:$I$89,5,0)</f>
        <v>148.18038857142867</v>
      </c>
      <c r="P43" s="13">
        <f t="shared" si="33"/>
        <v>38.16477912369308</v>
      </c>
      <c r="Q43" s="20">
        <f t="shared" si="53"/>
        <v>324.55116706900372</v>
      </c>
      <c r="R43" s="58">
        <f t="shared" si="0"/>
        <v>599.67637259665207</v>
      </c>
      <c r="S43" s="58">
        <f ca="1">AVERAGE(OFFSET($R$3,0,0,'Données projet'!$E$9+1,1))-AVERAGE(OFFSET($H$3,0,0,'Données projet'!$E$9+1,1))</f>
        <v>654.0179680178212</v>
      </c>
      <c r="T43" s="58">
        <f t="shared" si="34"/>
        <v>289.42065570013369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20.414444444444445</v>
      </c>
      <c r="AI43" s="13">
        <f>IF('Données projet'!$A$62&gt;35,AI42+AH43-AQ42,IF(A43&lt;'Données projet'!$A$62,$AF$205^A43,IF(A43='Données projet'!$A$62,'Données projet'!$B$62,AI42+AH43-AQ42)))</f>
        <v>343.77333333333337</v>
      </c>
      <c r="AJ43" s="13">
        <f>AI43*VLOOKUP('Données projet'!$B$10,Paramètres!$A$1:$I$89,3,0)*VLOOKUP('Données projet'!$B$10,Paramètres!$A$1:$I$89,5,0)</f>
        <v>205.57645333333335</v>
      </c>
      <c r="AK43" s="13">
        <f t="shared" si="35"/>
        <v>50.967734985888441</v>
      </c>
      <c r="AL43" s="20">
        <f t="shared" si="4"/>
        <v>446.8144613226446</v>
      </c>
      <c r="AM43" s="58">
        <f t="shared" si="5"/>
        <v>721.93966685029295</v>
      </c>
      <c r="AN43" s="58">
        <f ca="1">AVERAGE(OFFSET($AM$3,0,0,'Données projet'!$E$10+1,1))-AVERAGE(OFFSET($H$3,0,0,'Données projet'!$E$10+1,1))</f>
        <v>447.44638185108147</v>
      </c>
      <c r="AO43" s="58">
        <f t="shared" si="36"/>
        <v>384.84260115068605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21.588734960857213</v>
      </c>
      <c r="AV43" s="21">
        <f>EXP(-LN(2)/25)*AV42+(1-EXP(-LN(2)/25))/(LN(2)/25)*Calculateur!AQ43*Calculateur!AS43*VLOOKUP('Données projet'!$B$10,Paramètres!$A$1:$I$89,3,0)*0.475*44/12</f>
        <v>17.462825921225996</v>
      </c>
      <c r="AW43" s="21">
        <f>EXP(-LN(2)/2)*AW42+(1-EXP(-LN(2)/2))/(LN(2)/2)*AQ43*AT43*VLOOKUP('Données projet'!$B$10,Paramètres!$A$1:$I$89,3,0)*0.475*44/12</f>
        <v>3.2083540355932914</v>
      </c>
      <c r="AX43" s="21">
        <f t="shared" si="6"/>
        <v>42.259914917676497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166.06422857142869</v>
      </c>
      <c r="BF43" s="13">
        <f t="shared" si="37"/>
        <v>42.20734362237048</v>
      </c>
      <c r="BG43" s="20">
        <f t="shared" si="7"/>
        <v>362.73965490420022</v>
      </c>
      <c r="BH43" s="58">
        <f t="shared" si="8"/>
        <v>637.86486043184857</v>
      </c>
      <c r="BI43" s="58">
        <f ca="1">AVERAGE(OFFSET($BH$3,0,0,'Données projet'!$E$11+1,1))-AVERAGE(OFFSET($H$3,0,0,'Données projet'!$E$11+1,1))</f>
        <v>724.99760740673071</v>
      </c>
      <c r="BJ43" s="58">
        <f t="shared" si="38"/>
        <v>318.24184272438208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4.0942857142857143</v>
      </c>
      <c r="BY43" s="12">
        <f>IF('Données projet'!$A$114&gt;35,BY42+BX43-CG42,IF(A43&lt;'Données projet'!$A$114,$BV$205^A43,IF(A43='Données projet'!$A$114,'Données projet'!$B$114,BY42+BX43-CG42)))</f>
        <v>163.77142857142869</v>
      </c>
      <c r="BZ43" s="13">
        <f>BY43*VLOOKUP('Données projet'!$B$12,Paramètres!$A$1:$I$89,3,0)*VLOOKUP('Données projet'!$B$12,Paramètres!$A$1:$I$89,5,0)</f>
        <v>155.84489142857154</v>
      </c>
      <c r="CA43" s="13">
        <f t="shared" si="39"/>
        <v>39.903888691774469</v>
      </c>
      <c r="CB43" s="20">
        <f t="shared" si="10"/>
        <v>340.92912537626927</v>
      </c>
      <c r="CC43" s="58">
        <f t="shared" si="11"/>
        <v>616.05433090391762</v>
      </c>
      <c r="CD43" s="58">
        <f ca="1">AVERAGE(OFFSET($CC$3,0,0,'Données projet'!$E$12+1,1))-AVERAGE(OFFSET($H$3,0,0,'Données projet'!$E$12+1,1))</f>
        <v>684.45757350513315</v>
      </c>
      <c r="CE43" s="58">
        <f t="shared" si="40"/>
        <v>301.78148341369194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8" t="e">
        <f t="shared" si="14"/>
        <v>#N/A</v>
      </c>
      <c r="CY43" s="58" t="e">
        <f ca="1">AVERAGE(OFFSET($CX$3,0,0,'Données projet'!$E$13+1,1))-AVERAGE(OFFSET($H$3,0,0,'Données projet'!$E$13+1,1))</f>
        <v>#N/A</v>
      </c>
      <c r="CZ43" s="58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8" t="e">
        <f t="shared" si="17"/>
        <v>#N/A</v>
      </c>
      <c r="DT43" s="58" t="e">
        <f ca="1">AVERAGE(OFFSET($DS$3,0,0,'Données projet'!$E$14+1,1))-AVERAGE(OFFSET($H$3,0,0,'Données projet'!$E$14+1,1))</f>
        <v>#N/A</v>
      </c>
      <c r="DU43" s="58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8" t="e">
        <f t="shared" si="20"/>
        <v>#N/A</v>
      </c>
      <c r="EO43" s="58" t="e">
        <f ca="1">AVERAGE(OFFSET($EN$3,0,0,'Données projet'!$E$15+1,1))-AVERAGE(OFFSET($H$3,0,0,'Données projet'!$E$15+1,1))</f>
        <v>#N/A</v>
      </c>
      <c r="EP43" s="58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8" t="e">
        <f t="shared" si="23"/>
        <v>#N/A</v>
      </c>
      <c r="FJ43" s="58" t="e">
        <f ca="1">AVERAGE(OFFSET($FI$3,0,0,'Données projet'!$E$16+1,1))-AVERAGE(OFFSET($H$3,0,0,'Données projet'!$E$16+1,1))</f>
        <v>#N/A</v>
      </c>
      <c r="FK43" s="58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8" t="e">
        <f t="shared" si="26"/>
        <v>#N/A</v>
      </c>
      <c r="GE43" s="58" t="e">
        <f ca="1">AVERAGE(OFFSET($GD$3,0,0,'Données projet'!$E$17+1,1))-AVERAGE(OFFSET($H$3,0,0,'Données projet'!$E$17+1,1))</f>
        <v>#N/A</v>
      </c>
      <c r="GF43" s="58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65.034146962085913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8" t="e">
        <f t="shared" si="29"/>
        <v>#N/A</v>
      </c>
      <c r="GZ43" s="58" t="e">
        <f ca="1">AVERAGE(OFFSET($GY$3,0,0,'Données projet'!$E$18+1,1))-AVERAGE(OFFSET($H$3,0,0,'Données projet'!$E$18+1,1))</f>
        <v>#N/A</v>
      </c>
      <c r="HA43" s="58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2">
        <f>'Scénario référence'!$B$16*5+'Scénario référence'!$B$17*0+'Scénario référence'!$B$18*5</f>
        <v>2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7.333333333333333</v>
      </c>
      <c r="H44" s="66">
        <f t="shared" si="1"/>
        <v>227.33333333333334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4.0942857142857143</v>
      </c>
      <c r="N44" s="13">
        <f>IF('Données projet'!$A$36&gt;35,N43+M44-V43,IF(A44&lt;'Données projet'!$A$36,$K$205^A44,IF(A44='Données projet'!$A$36,'Données projet'!$B$36,N43+M44-V43)))</f>
        <v>167.8657142857144</v>
      </c>
      <c r="O44" s="13">
        <f>N44*VLOOKUP('Données projet'!$B$9,Paramètres!$A$1:$I$89,3,0)*VLOOKUP('Données projet'!$B$9,Paramètres!$A$1:$I$89,5,0)</f>
        <v>151.88489828571437</v>
      </c>
      <c r="P44" s="13">
        <f t="shared" si="33"/>
        <v>39.006623705593562</v>
      </c>
      <c r="Q44" s="20">
        <f t="shared" si="53"/>
        <v>332.46940080152797</v>
      </c>
      <c r="R44" s="58">
        <f t="shared" si="0"/>
        <v>607.91047663932954</v>
      </c>
      <c r="S44" s="58">
        <f ca="1">AVERAGE(OFFSET($R$3,0,0,'Données projet'!$E$9+1,1))-AVERAGE(OFFSET($H$3,0,0,'Données projet'!$E$9+1,1))</f>
        <v>654.0179680178212</v>
      </c>
      <c r="T44" s="58">
        <f t="shared" si="34"/>
        <v>289.42065570013369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20.414444444444445</v>
      </c>
      <c r="AI44" s="13">
        <f>IF('Données projet'!$A$62&gt;35,AI43+AH44-AQ43,IF(A44&lt;'Données projet'!$A$62,$AF$205^A44,IF(A44='Données projet'!$A$62,'Données projet'!$B$62,AI43+AH44-AQ43)))</f>
        <v>364.1877777777778</v>
      </c>
      <c r="AJ44" s="13">
        <f>AI44*VLOOKUP('Données projet'!$B$10,Paramètres!$A$1:$I$89,3,0)*VLOOKUP('Données projet'!$B$10,Paramètres!$A$1:$I$89,5,0)</f>
        <v>217.78429111111112</v>
      </c>
      <c r="AK44" s="13">
        <f t="shared" si="35"/>
        <v>53.633029000374052</v>
      </c>
      <c r="AL44" s="20">
        <f t="shared" si="4"/>
        <v>472.71849919417008</v>
      </c>
      <c r="AM44" s="58">
        <f t="shared" si="5"/>
        <v>748.15957503197171</v>
      </c>
      <c r="AN44" s="58">
        <f ca="1">AVERAGE(OFFSET($AM$3,0,0,'Données projet'!$E$10+1,1))-AVERAGE(OFFSET($H$3,0,0,'Données projet'!$E$10+1,1))</f>
        <v>447.44638185108147</v>
      </c>
      <c r="AO44" s="58">
        <f t="shared" si="36"/>
        <v>384.84260115068605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21.165393036102913</v>
      </c>
      <c r="AV44" s="21">
        <f>EXP(-LN(2)/25)*AV43+(1-EXP(-LN(2)/25))/(LN(2)/25)*Calculateur!AQ44*Calculateur!AS44*VLOOKUP('Données projet'!$B$10,Paramètres!$A$1:$I$89,3,0)*0.475*44/12</f>
        <v>16.985304028079966</v>
      </c>
      <c r="AW44" s="21">
        <f>EXP(-LN(2)/2)*AW43+(1-EXP(-LN(2)/2))/(LN(2)/2)*AQ44*AT44*VLOOKUP('Données projet'!$B$10,Paramètres!$A$1:$I$89,3,0)*0.475*44/12</f>
        <v>2.2686488950152421</v>
      </c>
      <c r="AX44" s="21">
        <f t="shared" si="6"/>
        <v>40.419345959198118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170.21583428571441</v>
      </c>
      <c r="BF44" s="13">
        <f t="shared" si="37"/>
        <v>43.138359715238352</v>
      </c>
      <c r="BG44" s="20">
        <f t="shared" si="7"/>
        <v>371.59188788499273</v>
      </c>
      <c r="BH44" s="58">
        <f t="shared" si="8"/>
        <v>647.03296372279442</v>
      </c>
      <c r="BI44" s="58">
        <f ca="1">AVERAGE(OFFSET($BH$3,0,0,'Données projet'!$E$11+1,1))-AVERAGE(OFFSET($H$3,0,0,'Données projet'!$E$11+1,1))</f>
        <v>724.99760740673071</v>
      </c>
      <c r="BJ44" s="58">
        <f t="shared" si="38"/>
        <v>318.24184272438208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4.0942857142857143</v>
      </c>
      <c r="BY44" s="12">
        <f>IF('Données projet'!$A$114&gt;35,BY43+BX44-CG43,IF(A44&lt;'Données projet'!$A$114,$BV$205^A44,IF(A44='Données projet'!$A$114,'Données projet'!$B$114,BY43+BX44-CG43)))</f>
        <v>167.8657142857144</v>
      </c>
      <c r="BZ44" s="13">
        <f>BY44*VLOOKUP('Données projet'!$B$12,Paramètres!$A$1:$I$89,3,0)*VLOOKUP('Données projet'!$B$12,Paramètres!$A$1:$I$89,5,0)</f>
        <v>159.74101371428583</v>
      </c>
      <c r="CA44" s="13">
        <f t="shared" si="39"/>
        <v>40.784094820651994</v>
      </c>
      <c r="CB44" s="20">
        <f t="shared" si="10"/>
        <v>349.24789736501674</v>
      </c>
      <c r="CC44" s="58">
        <f t="shared" si="11"/>
        <v>624.68897320281837</v>
      </c>
      <c r="CD44" s="58">
        <f ca="1">AVERAGE(OFFSET($CC$3,0,0,'Données projet'!$E$12+1,1))-AVERAGE(OFFSET($H$3,0,0,'Données projet'!$E$12+1,1))</f>
        <v>684.45757350513315</v>
      </c>
      <c r="CE44" s="58">
        <f t="shared" si="40"/>
        <v>301.78148341369194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8" t="e">
        <f t="shared" si="14"/>
        <v>#N/A</v>
      </c>
      <c r="CY44" s="58" t="e">
        <f ca="1">AVERAGE(OFFSET($CX$3,0,0,'Données projet'!$E$13+1,1))-AVERAGE(OFFSET($H$3,0,0,'Données projet'!$E$13+1,1))</f>
        <v>#N/A</v>
      </c>
      <c r="CZ44" s="58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8" t="e">
        <f t="shared" si="17"/>
        <v>#N/A</v>
      </c>
      <c r="DT44" s="58" t="e">
        <f ca="1">AVERAGE(OFFSET($DS$3,0,0,'Données projet'!$E$14+1,1))-AVERAGE(OFFSET($H$3,0,0,'Données projet'!$E$14+1,1))</f>
        <v>#N/A</v>
      </c>
      <c r="DU44" s="58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8" t="e">
        <f t="shared" si="20"/>
        <v>#N/A</v>
      </c>
      <c r="EO44" s="58" t="e">
        <f ca="1">AVERAGE(OFFSET($EN$3,0,0,'Données projet'!$E$15+1,1))-AVERAGE(OFFSET($H$3,0,0,'Données projet'!$E$15+1,1))</f>
        <v>#N/A</v>
      </c>
      <c r="EP44" s="58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8" t="e">
        <f t="shared" si="23"/>
        <v>#N/A</v>
      </c>
      <c r="FJ44" s="58" t="e">
        <f ca="1">AVERAGE(OFFSET($FI$3,0,0,'Données projet'!$E$16+1,1))-AVERAGE(OFFSET($H$3,0,0,'Données projet'!$E$16+1,1))</f>
        <v>#N/A</v>
      </c>
      <c r="FK44" s="58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8" t="e">
        <f t="shared" si="26"/>
        <v>#N/A</v>
      </c>
      <c r="GE44" s="58" t="e">
        <f ca="1">AVERAGE(OFFSET($GD$3,0,0,'Données projet'!$E$17+1,1))-AVERAGE(OFFSET($H$3,0,0,'Données projet'!$E$17+1,1))</f>
        <v>#N/A</v>
      </c>
      <c r="GF44" s="58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65.120293410309529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8" t="e">
        <f t="shared" si="29"/>
        <v>#N/A</v>
      </c>
      <c r="GZ44" s="58" t="e">
        <f ca="1">AVERAGE(OFFSET($GY$3,0,0,'Données projet'!$E$18+1,1))-AVERAGE(OFFSET($H$3,0,0,'Données projet'!$E$18+1,1))</f>
        <v>#N/A</v>
      </c>
      <c r="HA44" s="58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2">
        <f>'Scénario référence'!$B$16*5+'Scénario référence'!$B$17*0+'Scénario référence'!$B$18*5</f>
        <v>2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7.333333333333333</v>
      </c>
      <c r="H45" s="66">
        <f t="shared" si="1"/>
        <v>227.33333333333334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171.96</v>
      </c>
      <c r="L45" s="12">
        <f>VLOOKUP(A45,'Données projet'!$A$35:$I$55,9,0)</f>
        <v>4.0942857142857143</v>
      </c>
      <c r="M45" s="12">
        <f t="array" ref="M45">INDEX(L:L,MIN(IF(ISNUMBER(L45:L241),ROW(L45:L241),"")))</f>
        <v>4.0942857142857143</v>
      </c>
      <c r="N45" s="13">
        <f>IF('Données projet'!$A$36&gt;35,N44+M45-V44,IF(A45&lt;'Données projet'!$A$36,$K$205^A45,IF(A45='Données projet'!$A$36,'Données projet'!$B$36,N44+M45-V44)))</f>
        <v>171.96000000000012</v>
      </c>
      <c r="O45" s="13">
        <f>N45*VLOOKUP('Données projet'!$B$9,Paramètres!$A$1:$I$89,3,0)*VLOOKUP('Données projet'!$B$9,Paramètres!$A$1:$I$89,5,0)</f>
        <v>155.58940800000011</v>
      </c>
      <c r="P45" s="13">
        <f t="shared" si="33"/>
        <v>39.846081409537142</v>
      </c>
      <c r="Q45" s="20">
        <f t="shared" si="53"/>
        <v>340.3834773882773</v>
      </c>
      <c r="R45" s="58">
        <f t="shared" si="0"/>
        <v>616.13494389253117</v>
      </c>
      <c r="S45" s="58">
        <f ca="1">AVERAGE(OFFSET($R$3,0,0,'Données projet'!$E$9+1,1))-AVERAGE(OFFSET($H$3,0,0,'Données projet'!$E$9+1,1))</f>
        <v>654.0179680178212</v>
      </c>
      <c r="T45" s="58">
        <f t="shared" si="34"/>
        <v>289.42065570013369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44.510000000000005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0.34400000000000003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15.254654682209745</v>
      </c>
      <c r="AB45" s="21">
        <f>EXP(-LN(2)/2)*AB44+(1-EXP(-LN(2)/2))/(LN(2)/2)*V45*Y45*VLOOKUP('Données projet'!$B$9,Paramètres!$A$1:$I$89,3,0)*0.475*44/12</f>
        <v>7.599665462085774</v>
      </c>
      <c r="AC45" s="22">
        <f t="shared" si="3"/>
        <v>22.854320144295521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20.414444444444445</v>
      </c>
      <c r="AI45" s="13">
        <f>IF('Données projet'!$A$62&gt;35,AI44+AH45-AQ44,IF(A45&lt;'Données projet'!$A$62,$AF$205^A45,IF(A45='Données projet'!$A$62,'Données projet'!$B$62,AI44+AH45-AQ44)))</f>
        <v>384.60222222222222</v>
      </c>
      <c r="AJ45" s="13">
        <f>AI45*VLOOKUP('Données projet'!$B$10,Paramètres!$A$1:$I$89,3,0)*VLOOKUP('Données projet'!$B$10,Paramètres!$A$1:$I$89,5,0)</f>
        <v>229.99212888888891</v>
      </c>
      <c r="AK45" s="13">
        <f t="shared" si="35"/>
        <v>56.280979609502374</v>
      </c>
      <c r="AL45" s="20">
        <f t="shared" si="4"/>
        <v>498.5923306346981</v>
      </c>
      <c r="AM45" s="58">
        <f t="shared" si="5"/>
        <v>774.34379713895191</v>
      </c>
      <c r="AN45" s="58">
        <f ca="1">AVERAGE(OFFSET($AM$3,0,0,'Données projet'!$E$10+1,1))-AVERAGE(OFFSET($H$3,0,0,'Données projet'!$E$10+1,1))</f>
        <v>447.44638185108147</v>
      </c>
      <c r="AO45" s="58">
        <f t="shared" si="36"/>
        <v>384.84260115068605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20.750352588279966</v>
      </c>
      <c r="AV45" s="21">
        <f>EXP(-LN(2)/25)*AV44+(1-EXP(-LN(2)/25))/(LN(2)/25)*Calculateur!AQ45*Calculateur!AS45*VLOOKUP('Données projet'!$B$10,Paramètres!$A$1:$I$89,3,0)*0.475*44/12</f>
        <v>16.520839996213802</v>
      </c>
      <c r="AW45" s="21">
        <f>EXP(-LN(2)/2)*AW44+(1-EXP(-LN(2)/2))/(LN(2)/2)*AQ45*AT45*VLOOKUP('Données projet'!$B$10,Paramètres!$A$1:$I$89,3,0)*0.475*44/12</f>
        <v>1.6041770177966457</v>
      </c>
      <c r="AX45" s="21">
        <f t="shared" si="6"/>
        <v>38.875369602290412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174.36744000000013</v>
      </c>
      <c r="BF45" s="13">
        <f t="shared" si="37"/>
        <v>44.066736102586425</v>
      </c>
      <c r="BG45" s="20">
        <f t="shared" si="7"/>
        <v>380.43952337867154</v>
      </c>
      <c r="BH45" s="58">
        <f t="shared" si="8"/>
        <v>656.19098988292535</v>
      </c>
      <c r="BI45" s="58">
        <f ca="1">AVERAGE(OFFSET($BH$3,0,0,'Données projet'!$E$11+1,1))-AVERAGE(OFFSET($H$3,0,0,'Données projet'!$E$11+1,1))</f>
        <v>724.99760740673071</v>
      </c>
      <c r="BJ45" s="58">
        <f t="shared" si="38"/>
        <v>318.24184272438208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17.095733695579888</v>
      </c>
      <c r="BR45" s="21">
        <f>EXP(-LN(2)/2)*BR44+(1-EXP(-LN(2)/2))/(LN(2)/2)*BL45*BO45*VLOOKUP('Données projet'!$B$11,Paramètres!$A$1:$I$89,3,0)*0.475*44/12</f>
        <v>8.5168664661306082</v>
      </c>
      <c r="BS45" s="22">
        <f t="shared" si="9"/>
        <v>25.612600161710496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4.0942857142857143</v>
      </c>
      <c r="BX45" s="12">
        <f t="array" ref="BX45">INDEX(BW:BW,MIN(IF(ISNUMBER(BW45:BW241),ROW(BW45:BW241),"")))</f>
        <v>4.0942857142857143</v>
      </c>
      <c r="BY45" s="12">
        <f>IF('Données projet'!$A$114&gt;35,BY44+BX45-CG44,IF(A45&lt;'Données projet'!$A$114,$BV$205^A45,IF(A45='Données projet'!$A$114,'Données projet'!$B$114,BY44+BX45-CG44)))</f>
        <v>171.96000000000012</v>
      </c>
      <c r="BZ45" s="13">
        <f>BY45*VLOOKUP('Données projet'!$B$12,Paramètres!$A$1:$I$89,3,0)*VLOOKUP('Données projet'!$B$12,Paramètres!$A$1:$I$89,5,0)</f>
        <v>163.63713600000011</v>
      </c>
      <c r="CA45" s="13">
        <f t="shared" si="39"/>
        <v>41.661805305260039</v>
      </c>
      <c r="CB45" s="20">
        <f t="shared" si="10"/>
        <v>357.56232277332811</v>
      </c>
      <c r="CC45" s="58">
        <f t="shared" si="11"/>
        <v>633.31378927758192</v>
      </c>
      <c r="CD45" s="58">
        <f ca="1">AVERAGE(OFFSET($CC$3,0,0,'Données projet'!$E$12+1,1))-AVERAGE(OFFSET($H$3,0,0,'Données projet'!$E$12+1,1))</f>
        <v>684.45757350513315</v>
      </c>
      <c r="CE45" s="58">
        <f t="shared" si="40"/>
        <v>301.78148341369194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44.510000000000005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0.34400000000000003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16.043688545082667</v>
      </c>
      <c r="CM45" s="21">
        <f>EXP(-LN(2)/2)*CM44+(1-EXP(-LN(2)/2))/(LN(2)/2)*CG45*CJ45*VLOOKUP('Données projet'!$B$12,Paramètres!$A$1:$I$89,3,0)*0.475*44/12</f>
        <v>7.992751606676415</v>
      </c>
      <c r="CN45" s="22">
        <f t="shared" si="12"/>
        <v>24.036440151759081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8" t="e">
        <f t="shared" si="14"/>
        <v>#N/A</v>
      </c>
      <c r="CY45" s="58" t="e">
        <f ca="1">AVERAGE(OFFSET($CX$3,0,0,'Données projet'!$E$13+1,1))-AVERAGE(OFFSET($H$3,0,0,'Données projet'!$E$13+1,1))</f>
        <v>#N/A</v>
      </c>
      <c r="CZ45" s="58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8" t="e">
        <f t="shared" si="17"/>
        <v>#N/A</v>
      </c>
      <c r="DT45" s="58" t="e">
        <f ca="1">AVERAGE(OFFSET($DS$3,0,0,'Données projet'!$E$14+1,1))-AVERAGE(OFFSET($H$3,0,0,'Données projet'!$E$14+1,1))</f>
        <v>#N/A</v>
      </c>
      <c r="DU45" s="58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8" t="e">
        <f t="shared" si="20"/>
        <v>#N/A</v>
      </c>
      <c r="EO45" s="58" t="e">
        <f ca="1">AVERAGE(OFFSET($EN$3,0,0,'Données projet'!$E$15+1,1))-AVERAGE(OFFSET($H$3,0,0,'Données projet'!$E$15+1,1))</f>
        <v>#N/A</v>
      </c>
      <c r="EP45" s="58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8" t="e">
        <f t="shared" si="23"/>
        <v>#N/A</v>
      </c>
      <c r="FJ45" s="58" t="e">
        <f ca="1">AVERAGE(OFFSET($FI$3,0,0,'Données projet'!$E$16+1,1))-AVERAGE(OFFSET($H$3,0,0,'Données projet'!$E$16+1,1))</f>
        <v>#N/A</v>
      </c>
      <c r="FK45" s="58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8" t="e">
        <f t="shared" si="26"/>
        <v>#N/A</v>
      </c>
      <c r="GE45" s="58" t="e">
        <f ca="1">AVERAGE(OFFSET($GD$3,0,0,'Données projet'!$E$17+1,1))-AVERAGE(OFFSET($H$3,0,0,'Données projet'!$E$17+1,1))</f>
        <v>#N/A</v>
      </c>
      <c r="GF45" s="58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65.204945410251057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8" t="e">
        <f t="shared" si="29"/>
        <v>#N/A</v>
      </c>
      <c r="GZ45" s="58" t="e">
        <f ca="1">AVERAGE(OFFSET($GY$3,0,0,'Données projet'!$E$18+1,1))-AVERAGE(OFFSET($H$3,0,0,'Données projet'!$E$18+1,1))</f>
        <v>#N/A</v>
      </c>
      <c r="HA45" s="58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2">
        <f>'Scénario référence'!$B$16*5+'Scénario référence'!$B$17*0+'Scénario référence'!$B$18*5</f>
        <v>2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7.333333333333333</v>
      </c>
      <c r="H46" s="66">
        <f t="shared" si="1"/>
        <v>227.33333333333334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10.110000000000001</v>
      </c>
      <c r="N46" s="13">
        <f>IF('Données projet'!$A$36&gt;35,N45+M46-V45,IF(A46&lt;'Données projet'!$A$36,$K$205^A46,IF(A46='Données projet'!$A$36,'Données projet'!$B$36,N45+M46-V45)))</f>
        <v>137.56000000000012</v>
      </c>
      <c r="O46" s="13">
        <f>N46*VLOOKUP('Données projet'!$B$9,Paramètres!$A$1:$I$89,3,0)*VLOOKUP('Données projet'!$B$9,Paramètres!$A$1:$I$89,5,0)</f>
        <v>124.4642880000001</v>
      </c>
      <c r="P46" s="13">
        <f t="shared" si="33"/>
        <v>32.713997336243899</v>
      </c>
      <c r="Q46" s="20">
        <f t="shared" si="53"/>
        <v>273.75218029395825</v>
      </c>
      <c r="R46" s="58">
        <f t="shared" si="0"/>
        <v>549.8086528805311</v>
      </c>
      <c r="S46" s="58">
        <f ca="1">AVERAGE(OFFSET($R$3,0,0,'Données projet'!$E$9+1,1))-AVERAGE(OFFSET($H$3,0,0,'Données projet'!$E$9+1,1))</f>
        <v>654.0179680178212</v>
      </c>
      <c r="T46" s="58">
        <f t="shared" si="34"/>
        <v>289.42065570013369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14.837515347717295</v>
      </c>
      <c r="AB46" s="21">
        <f>EXP(-LN(2)/2)*AB45+(1-EXP(-LN(2)/2))/(LN(2)/2)*V46*Y46*VLOOKUP('Données projet'!$B$9,Paramètres!$A$1:$I$89,3,0)*0.475*44/12</f>
        <v>5.3737749829900485</v>
      </c>
      <c r="AC46" s="22">
        <f t="shared" si="3"/>
        <v>20.211290330707342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20.414444444444445</v>
      </c>
      <c r="AI46" s="13">
        <f>IF('Données projet'!$A$62&gt;35,AI45+AH46-AQ45,IF(A46&lt;'Données projet'!$A$62,$AF$205^A46,IF(A46='Données projet'!$A$62,'Données projet'!$B$62,AI45+AH46-AQ45)))</f>
        <v>405.01666666666665</v>
      </c>
      <c r="AJ46" s="13">
        <f>AI46*VLOOKUP('Données projet'!$B$10,Paramètres!$A$1:$I$89,3,0)*VLOOKUP('Données projet'!$B$10,Paramètres!$A$1:$I$89,5,0)</f>
        <v>242.19996666666668</v>
      </c>
      <c r="AK46" s="13">
        <f t="shared" si="35"/>
        <v>58.912612365061158</v>
      </c>
      <c r="AL46" s="20">
        <f t="shared" si="4"/>
        <v>524.43774181359265</v>
      </c>
      <c r="AM46" s="58">
        <f t="shared" si="5"/>
        <v>800.49421440016545</v>
      </c>
      <c r="AN46" s="58">
        <f ca="1">AVERAGE(OFFSET($AM$3,0,0,'Données projet'!$E$10+1,1))-AVERAGE(OFFSET($H$3,0,0,'Données projet'!$E$10+1,1))</f>
        <v>447.44638185108147</v>
      </c>
      <c r="AO46" s="58">
        <f t="shared" si="36"/>
        <v>384.84260115068605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20.343450830489154</v>
      </c>
      <c r="AV46" s="21">
        <f>EXP(-LN(2)/25)*AV45+(1-EXP(-LN(2)/25))/(LN(2)/25)*Calculateur!AQ46*Calculateur!AS46*VLOOKUP('Données projet'!$B$10,Paramètres!$A$1:$I$89,3,0)*0.475*44/12</f>
        <v>16.069076757724119</v>
      </c>
      <c r="AW46" s="21">
        <f>EXP(-LN(2)/2)*AW45+(1-EXP(-LN(2)/2))/(LN(2)/2)*AQ46*AT46*VLOOKUP('Données projet'!$B$10,Paramètres!$A$1:$I$89,3,0)*0.475*44/12</f>
        <v>1.1343244475076211</v>
      </c>
      <c r="AX46" s="21">
        <f t="shared" si="6"/>
        <v>37.546852035720896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139.48584000000011</v>
      </c>
      <c r="BF46" s="13">
        <f t="shared" si="37"/>
        <v>36.179193448415994</v>
      </c>
      <c r="BG46" s="20">
        <f t="shared" si="7"/>
        <v>305.94993325599131</v>
      </c>
      <c r="BH46" s="58">
        <f t="shared" si="8"/>
        <v>582.00640584256416</v>
      </c>
      <c r="BI46" s="58">
        <f ca="1">AVERAGE(OFFSET($BH$3,0,0,'Données projet'!$E$11+1,1))-AVERAGE(OFFSET($H$3,0,0,'Données projet'!$E$11+1,1))</f>
        <v>724.99760740673071</v>
      </c>
      <c r="BJ46" s="58">
        <f t="shared" si="38"/>
        <v>318.24184272438208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16.628249958648695</v>
      </c>
      <c r="BR46" s="21">
        <f>EXP(-LN(2)/2)*BR45+(1-EXP(-LN(2)/2))/(LN(2)/2)*BL46*BO46*VLOOKUP('Données projet'!$B$11,Paramètres!$A$1:$I$89,3,0)*0.475*44/12</f>
        <v>6.0223340326612602</v>
      </c>
      <c r="BS46" s="22">
        <f t="shared" si="9"/>
        <v>22.650583991309954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10.110000000000001</v>
      </c>
      <c r="BY46" s="12">
        <f>IF('Données projet'!$A$114&gt;35,BY45+BX46-CG45,IF(A46&lt;'Données projet'!$A$114,$BV$205^A46,IF(A46='Données projet'!$A$114,'Données projet'!$B$114,BY45+BX46-CG45)))</f>
        <v>137.56000000000012</v>
      </c>
      <c r="BZ46" s="13">
        <f>BY46*VLOOKUP('Données projet'!$B$12,Paramètres!$A$1:$I$89,3,0)*VLOOKUP('Données projet'!$B$12,Paramètres!$A$1:$I$89,5,0)</f>
        <v>130.90209600000011</v>
      </c>
      <c r="CA46" s="13">
        <f t="shared" si="39"/>
        <v>34.204723264285022</v>
      </c>
      <c r="CB46" s="20">
        <f t="shared" si="10"/>
        <v>287.56104355196334</v>
      </c>
      <c r="CC46" s="58">
        <f t="shared" si="11"/>
        <v>563.61751613853608</v>
      </c>
      <c r="CD46" s="58">
        <f ca="1">AVERAGE(OFFSET($CC$3,0,0,'Données projet'!$E$12+1,1))-AVERAGE(OFFSET($H$3,0,0,'Données projet'!$E$12+1,1))</f>
        <v>684.45757350513315</v>
      </c>
      <c r="CE46" s="58">
        <f t="shared" si="40"/>
        <v>301.78148341369194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15.604973038116469</v>
      </c>
      <c r="CM46" s="21">
        <f>EXP(-LN(2)/2)*CM45+(1-EXP(-LN(2)/2))/(LN(2)/2)*CG46*CJ46*VLOOKUP('Données projet'!$B$12,Paramètres!$A$1:$I$89,3,0)*0.475*44/12</f>
        <v>5.6517288614205663</v>
      </c>
      <c r="CN46" s="22">
        <f t="shared" si="12"/>
        <v>21.256701899537035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8" t="e">
        <f t="shared" si="14"/>
        <v>#N/A</v>
      </c>
      <c r="CY46" s="58" t="e">
        <f ca="1">AVERAGE(OFFSET($CX$3,0,0,'Données projet'!$E$13+1,1))-AVERAGE(OFFSET($H$3,0,0,'Données projet'!$E$13+1,1))</f>
        <v>#N/A</v>
      </c>
      <c r="CZ46" s="58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8" t="e">
        <f t="shared" si="17"/>
        <v>#N/A</v>
      </c>
      <c r="DT46" s="58" t="e">
        <f ca="1">AVERAGE(OFFSET($DS$3,0,0,'Données projet'!$E$14+1,1))-AVERAGE(OFFSET($H$3,0,0,'Données projet'!$E$14+1,1))</f>
        <v>#N/A</v>
      </c>
      <c r="DU46" s="58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8" t="e">
        <f t="shared" si="20"/>
        <v>#N/A</v>
      </c>
      <c r="EO46" s="58" t="e">
        <f ca="1">AVERAGE(OFFSET($EN$3,0,0,'Données projet'!$E$15+1,1))-AVERAGE(OFFSET($H$3,0,0,'Données projet'!$E$15+1,1))</f>
        <v>#N/A</v>
      </c>
      <c r="EP46" s="58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8" t="e">
        <f t="shared" si="23"/>
        <v>#N/A</v>
      </c>
      <c r="FJ46" s="58" t="e">
        <f ca="1">AVERAGE(OFFSET($FI$3,0,0,'Données projet'!$E$16+1,1))-AVERAGE(OFFSET($H$3,0,0,'Données projet'!$E$16+1,1))</f>
        <v>#N/A</v>
      </c>
      <c r="FK46" s="58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8" t="e">
        <f t="shared" si="26"/>
        <v>#N/A</v>
      </c>
      <c r="GE46" s="58" t="e">
        <f ca="1">AVERAGE(OFFSET($GD$3,0,0,'Données projet'!$E$17+1,1))-AVERAGE(OFFSET($H$3,0,0,'Données projet'!$E$17+1,1))</f>
        <v>#N/A</v>
      </c>
      <c r="GF46" s="58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65.288128887247126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8" t="e">
        <f t="shared" si="29"/>
        <v>#N/A</v>
      </c>
      <c r="GZ46" s="58" t="e">
        <f ca="1">AVERAGE(OFFSET($GY$3,0,0,'Données projet'!$E$18+1,1))-AVERAGE(OFFSET($H$3,0,0,'Données projet'!$E$18+1,1))</f>
        <v>#N/A</v>
      </c>
      <c r="HA46" s="58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2">
        <f>'Scénario référence'!$B$16*5+'Scénario référence'!$B$17*0+'Scénario référence'!$B$18*5</f>
        <v>2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7.333333333333333</v>
      </c>
      <c r="H47" s="66">
        <f t="shared" si="1"/>
        <v>227.33333333333334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10.110000000000001</v>
      </c>
      <c r="N47" s="13">
        <f>IF('Données projet'!$A$36&gt;35,N46+M47-V46,IF(A47&lt;'Données projet'!$A$36,$K$205^A47,IF(A47='Données projet'!$A$36,'Données projet'!$B$36,N46+M47-V46)))</f>
        <v>147.67000000000013</v>
      </c>
      <c r="O47" s="13">
        <f>N47*VLOOKUP('Données projet'!$B$9,Paramètres!$A$1:$I$89,3,0)*VLOOKUP('Données projet'!$B$9,Paramètres!$A$1:$I$89,5,0)</f>
        <v>133.61181600000012</v>
      </c>
      <c r="P47" s="13">
        <f t="shared" si="33"/>
        <v>34.829608206917271</v>
      </c>
      <c r="Q47" s="20">
        <f t="shared" si="53"/>
        <v>293.36881382704775</v>
      </c>
      <c r="R47" s="58">
        <f t="shared" si="0"/>
        <v>569.72500132230266</v>
      </c>
      <c r="S47" s="58">
        <f ca="1">AVERAGE(OFFSET($R$3,0,0,'Données projet'!$E$9+1,1))-AVERAGE(OFFSET($H$3,0,0,'Données projet'!$E$9+1,1))</f>
        <v>654.0179680178212</v>
      </c>
      <c r="T47" s="58">
        <f t="shared" si="34"/>
        <v>289.42065570013369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14.431782710262945</v>
      </c>
      <c r="AB47" s="21">
        <f>EXP(-LN(2)/2)*AB46+(1-EXP(-LN(2)/2))/(LN(2)/2)*V47*Y47*VLOOKUP('Données projet'!$B$9,Paramètres!$A$1:$I$89,3,0)*0.475*44/12</f>
        <v>3.7998327310428874</v>
      </c>
      <c r="AC47" s="22">
        <f t="shared" si="3"/>
        <v>18.231615441305834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20.414444444444445</v>
      </c>
      <c r="AI47" s="13">
        <f>IF('Données projet'!$A$62&gt;35,AI46+AH47-AQ46,IF(A47&lt;'Données projet'!$A$62,$AF$205^A47,IF(A47='Données projet'!$A$62,'Données projet'!$B$62,AI46+AH47-AQ46)))</f>
        <v>425.43111111111108</v>
      </c>
      <c r="AJ47" s="13">
        <f>AI47*VLOOKUP('Données projet'!$B$10,Paramètres!$A$1:$I$89,3,0)*VLOOKUP('Données projet'!$B$10,Paramètres!$A$1:$I$89,5,0)</f>
        <v>254.40780444444445</v>
      </c>
      <c r="AK47" s="13">
        <f t="shared" si="35"/>
        <v>61.528843595209104</v>
      </c>
      <c r="AL47" s="20">
        <f t="shared" si="4"/>
        <v>550.25632866906324</v>
      </c>
      <c r="AM47" s="58">
        <f t="shared" si="5"/>
        <v>826.61251616431821</v>
      </c>
      <c r="AN47" s="58">
        <f ca="1">AVERAGE(OFFSET($AM$3,0,0,'Données projet'!$E$10+1,1))-AVERAGE(OFFSET($H$3,0,0,'Données projet'!$E$10+1,1))</f>
        <v>447.44638185108147</v>
      </c>
      <c r="AO47" s="58">
        <f t="shared" si="36"/>
        <v>384.84260115068605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19.944528167983052</v>
      </c>
      <c r="AV47" s="21">
        <f>EXP(-LN(2)/25)*AV46+(1-EXP(-LN(2)/25))/(LN(2)/25)*Calculateur!AQ47*Calculateur!AS47*VLOOKUP('Données projet'!$B$10,Paramètres!$A$1:$I$89,3,0)*0.475*44/12</f>
        <v>15.629667008748132</v>
      </c>
      <c r="AW47" s="21">
        <f>EXP(-LN(2)/2)*AW46+(1-EXP(-LN(2)/2))/(LN(2)/2)*AQ47*AT47*VLOOKUP('Données projet'!$B$10,Paramètres!$A$1:$I$89,3,0)*0.475*44/12</f>
        <v>0.80208850889832284</v>
      </c>
      <c r="AX47" s="21">
        <f t="shared" si="6"/>
        <v>36.376283685629502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149.73738000000014</v>
      </c>
      <c r="BF47" s="13">
        <f t="shared" si="37"/>
        <v>38.518898198188772</v>
      </c>
      <c r="BG47" s="20">
        <f t="shared" si="7"/>
        <v>327.87968452851231</v>
      </c>
      <c r="BH47" s="58">
        <f t="shared" si="8"/>
        <v>604.23587202376734</v>
      </c>
      <c r="BI47" s="58">
        <f ca="1">AVERAGE(OFFSET($BH$3,0,0,'Données projet'!$E$11+1,1))-AVERAGE(OFFSET($H$3,0,0,'Données projet'!$E$11+1,1))</f>
        <v>724.99760740673071</v>
      </c>
      <c r="BJ47" s="58">
        <f t="shared" si="38"/>
        <v>318.24184272438208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16.173549589087784</v>
      </c>
      <c r="BR47" s="21">
        <f>EXP(-LN(2)/2)*BR46+(1-EXP(-LN(2)/2))/(LN(2)/2)*BL47*BO47*VLOOKUP('Données projet'!$B$11,Paramètres!$A$1:$I$89,3,0)*0.475*44/12</f>
        <v>4.2584332330653041</v>
      </c>
      <c r="BS47" s="22">
        <f t="shared" si="9"/>
        <v>20.431982822153088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10.110000000000001</v>
      </c>
      <c r="BY47" s="12">
        <f>IF('Données projet'!$A$114&gt;35,BY46+BX47-CG46,IF(A47&lt;'Données projet'!$A$114,$BV$205^A47,IF(A47='Données projet'!$A$114,'Données projet'!$B$114,BY46+BX47-CG46)))</f>
        <v>147.67000000000013</v>
      </c>
      <c r="BZ47" s="13">
        <f>BY47*VLOOKUP('Données projet'!$B$12,Paramètres!$A$1:$I$89,3,0)*VLOOKUP('Données projet'!$B$12,Paramètres!$A$1:$I$89,5,0)</f>
        <v>140.52277200000015</v>
      </c>
      <c r="CA47" s="13">
        <f t="shared" si="39"/>
        <v>36.41673922866012</v>
      </c>
      <c r="CB47" s="20">
        <f t="shared" si="10"/>
        <v>308.16964872324991</v>
      </c>
      <c r="CC47" s="58">
        <f t="shared" si="11"/>
        <v>584.52583621850488</v>
      </c>
      <c r="CD47" s="58">
        <f ca="1">AVERAGE(OFFSET($CC$3,0,0,'Données projet'!$E$12+1,1))-AVERAGE(OFFSET($H$3,0,0,'Données projet'!$E$12+1,1))</f>
        <v>684.45757350513315</v>
      </c>
      <c r="CE47" s="58">
        <f t="shared" si="40"/>
        <v>301.78148341369194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15.178254229759307</v>
      </c>
      <c r="CM47" s="21">
        <f>EXP(-LN(2)/2)*CM46+(1-EXP(-LN(2)/2))/(LN(2)/2)*CG47*CJ47*VLOOKUP('Données projet'!$B$12,Paramètres!$A$1:$I$89,3,0)*0.475*44/12</f>
        <v>3.996375803338208</v>
      </c>
      <c r="CN47" s="22">
        <f t="shared" si="12"/>
        <v>19.174630033097515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8" t="e">
        <f t="shared" si="14"/>
        <v>#N/A</v>
      </c>
      <c r="CY47" s="58" t="e">
        <f ca="1">AVERAGE(OFFSET($CX$3,0,0,'Données projet'!$E$13+1,1))-AVERAGE(OFFSET($H$3,0,0,'Données projet'!$E$13+1,1))</f>
        <v>#N/A</v>
      </c>
      <c r="CZ47" s="58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8" t="e">
        <f t="shared" si="17"/>
        <v>#N/A</v>
      </c>
      <c r="DT47" s="58" t="e">
        <f ca="1">AVERAGE(OFFSET($DS$3,0,0,'Données projet'!$E$14+1,1))-AVERAGE(OFFSET($H$3,0,0,'Données projet'!$E$14+1,1))</f>
        <v>#N/A</v>
      </c>
      <c r="DU47" s="58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8" t="e">
        <f t="shared" si="20"/>
        <v>#N/A</v>
      </c>
      <c r="EO47" s="58" t="e">
        <f ca="1">AVERAGE(OFFSET($EN$3,0,0,'Données projet'!$E$15+1,1))-AVERAGE(OFFSET($H$3,0,0,'Données projet'!$E$15+1,1))</f>
        <v>#N/A</v>
      </c>
      <c r="EP47" s="58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8" t="e">
        <f t="shared" si="23"/>
        <v>#N/A</v>
      </c>
      <c r="FJ47" s="58" t="e">
        <f ca="1">AVERAGE(OFFSET($FI$3,0,0,'Données projet'!$E$16+1,1))-AVERAGE(OFFSET($H$3,0,0,'Données projet'!$E$16+1,1))</f>
        <v>#N/A</v>
      </c>
      <c r="FK47" s="58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8" t="e">
        <f t="shared" si="26"/>
        <v>#N/A</v>
      </c>
      <c r="GE47" s="58" t="e">
        <f ca="1">AVERAGE(OFFSET($GD$3,0,0,'Données projet'!$E$17+1,1))-AVERAGE(OFFSET($H$3,0,0,'Données projet'!$E$17+1,1))</f>
        <v>#N/A</v>
      </c>
      <c r="GF47" s="58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65.369869316887716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8" t="e">
        <f t="shared" si="29"/>
        <v>#N/A</v>
      </c>
      <c r="GZ47" s="58" t="e">
        <f ca="1">AVERAGE(OFFSET($GY$3,0,0,'Données projet'!$E$18+1,1))-AVERAGE(OFFSET($H$3,0,0,'Données projet'!$E$18+1,1))</f>
        <v>#N/A</v>
      </c>
      <c r="HA47" s="58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2">
        <f>'Scénario référence'!$B$16*5+'Scénario référence'!$B$17*0+'Scénario référence'!$B$18*5</f>
        <v>2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7.333333333333333</v>
      </c>
      <c r="H48" s="66">
        <f t="shared" si="1"/>
        <v>227.33333333333334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10.110000000000001</v>
      </c>
      <c r="N48" s="13">
        <f>IF('Données projet'!$A$36&gt;35,N47+M48-V47,IF(A48&lt;'Données projet'!$A$36,$K$205^A48,IF(A48='Données projet'!$A$36,'Données projet'!$B$36,N47+M48-V47)))</f>
        <v>157.78000000000014</v>
      </c>
      <c r="O48" s="13">
        <f>N48*VLOOKUP('Données projet'!$B$9,Paramètres!$A$1:$I$89,3,0)*VLOOKUP('Données projet'!$B$9,Paramètres!$A$1:$I$89,5,0)</f>
        <v>142.75934400000011</v>
      </c>
      <c r="P48" s="13">
        <f t="shared" si="33"/>
        <v>36.928412609012774</v>
      </c>
      <c r="Q48" s="20">
        <f t="shared" si="53"/>
        <v>312.95617609403075</v>
      </c>
      <c r="R48" s="58">
        <f t="shared" si="0"/>
        <v>589.60687911436435</v>
      </c>
      <c r="S48" s="58">
        <f ca="1">AVERAGE(OFFSET($R$3,0,0,'Données projet'!$E$9+1,1))-AVERAGE(OFFSET($H$3,0,0,'Données projet'!$E$9+1,1))</f>
        <v>654.0179680178212</v>
      </c>
      <c r="T48" s="58">
        <f t="shared" si="34"/>
        <v>289.42065570013369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14.037144853116336</v>
      </c>
      <c r="AB48" s="21">
        <f>EXP(-LN(2)/2)*AB47+(1-EXP(-LN(2)/2))/(LN(2)/2)*V48*Y48*VLOOKUP('Données projet'!$B$9,Paramètres!$A$1:$I$89,3,0)*0.475*44/12</f>
        <v>2.6868874914950243</v>
      </c>
      <c r="AC48" s="22">
        <f t="shared" si="3"/>
        <v>16.724032344611359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20.414444444444445</v>
      </c>
      <c r="AI48" s="13">
        <f>IF('Données projet'!$A$62&gt;35,AI47+AH48-AQ47,IF(A48&lt;'Données projet'!$A$62,$AF$205^A48,IF(A48='Données projet'!$A$62,'Données projet'!$B$62,AI47+AH48-AQ47)))</f>
        <v>445.84555555555551</v>
      </c>
      <c r="AJ48" s="13">
        <f>AI48*VLOOKUP('Données projet'!$B$10,Paramètres!$A$1:$I$89,3,0)*VLOOKUP('Données projet'!$B$10,Paramètres!$A$1:$I$89,5,0)</f>
        <v>266.61564222222222</v>
      </c>
      <c r="AK48" s="13">
        <f t="shared" si="35"/>
        <v>64.13049671864016</v>
      </c>
      <c r="AL48" s="20">
        <f t="shared" si="4"/>
        <v>576.04952532200184</v>
      </c>
      <c r="AM48" s="58">
        <f t="shared" si="5"/>
        <v>852.70022834233555</v>
      </c>
      <c r="AN48" s="58">
        <f ca="1">AVERAGE(OFFSET($AM$3,0,0,'Données projet'!$E$10+1,1))-AVERAGE(OFFSET($H$3,0,0,'Données projet'!$E$10+1,1))</f>
        <v>447.44638185108147</v>
      </c>
      <c r="AO48" s="58">
        <f t="shared" si="36"/>
        <v>384.84260115068605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19.553428135569895</v>
      </c>
      <c r="AV48" s="21">
        <f>EXP(-LN(2)/25)*AV47+(1-EXP(-LN(2)/25))/(LN(2)/25)*Calculateur!AQ48*Calculateur!AS48*VLOOKUP('Données projet'!$B$10,Paramètres!$A$1:$I$89,3,0)*0.475*44/12</f>
        <v>15.202272942465449</v>
      </c>
      <c r="AW48" s="21">
        <f>EXP(-LN(2)/2)*AW47+(1-EXP(-LN(2)/2))/(LN(2)/2)*AQ48*AT48*VLOOKUP('Données projet'!$B$10,Paramètres!$A$1:$I$89,3,0)*0.475*44/12</f>
        <v>0.56716222375381053</v>
      </c>
      <c r="AX48" s="21">
        <f t="shared" si="6"/>
        <v>35.322863301789155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159.98892000000018</v>
      </c>
      <c r="BF48" s="13">
        <f t="shared" si="37"/>
        <v>40.840016271695262</v>
      </c>
      <c r="BG48" s="20">
        <f t="shared" si="7"/>
        <v>349.77706400653625</v>
      </c>
      <c r="BH48" s="58">
        <f t="shared" si="8"/>
        <v>626.4277670268699</v>
      </c>
      <c r="BI48" s="58">
        <f ca="1">AVERAGE(OFFSET($BH$3,0,0,'Données projet'!$E$11+1,1))-AVERAGE(OFFSET($H$3,0,0,'Données projet'!$E$11+1,1))</f>
        <v>724.99760740673071</v>
      </c>
      <c r="BJ48" s="58">
        <f t="shared" si="38"/>
        <v>318.24184272438208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15.731283025044171</v>
      </c>
      <c r="BR48" s="21">
        <f>EXP(-LN(2)/2)*BR47+(1-EXP(-LN(2)/2))/(LN(2)/2)*BL48*BO48*VLOOKUP('Données projet'!$B$11,Paramètres!$A$1:$I$89,3,0)*0.475*44/12</f>
        <v>3.0111670163306301</v>
      </c>
      <c r="BS48" s="22">
        <f t="shared" si="9"/>
        <v>18.742450041374802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10.110000000000001</v>
      </c>
      <c r="BY48" s="12">
        <f>IF('Données projet'!$A$114&gt;35,BY47+BX48-CG47,IF(A48&lt;'Données projet'!$A$114,$BV$205^A48,IF(A48='Données projet'!$A$114,'Données projet'!$B$114,BY47+BX48-CG47)))</f>
        <v>157.78000000000014</v>
      </c>
      <c r="BZ48" s="13">
        <f>BY48*VLOOKUP('Données projet'!$B$12,Paramètres!$A$1:$I$89,3,0)*VLOOKUP('Données projet'!$B$12,Paramètres!$A$1:$I$89,5,0)</f>
        <v>150.14344800000015</v>
      </c>
      <c r="CA48" s="13">
        <f t="shared" si="39"/>
        <v>38.611182879849288</v>
      </c>
      <c r="CB48" s="20">
        <f t="shared" si="10"/>
        <v>328.74764878240444</v>
      </c>
      <c r="CC48" s="58">
        <f t="shared" si="11"/>
        <v>605.39835180273803</v>
      </c>
      <c r="CD48" s="58">
        <f ca="1">AVERAGE(OFFSET($CC$3,0,0,'Données projet'!$E$12+1,1))-AVERAGE(OFFSET($H$3,0,0,'Données projet'!$E$12+1,1))</f>
        <v>684.45757350513315</v>
      </c>
      <c r="CE48" s="58">
        <f t="shared" si="40"/>
        <v>301.78148341369194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14.76320406965684</v>
      </c>
      <c r="CM48" s="21">
        <f>EXP(-LN(2)/2)*CM47+(1-EXP(-LN(2)/2))/(LN(2)/2)*CG48*CJ48*VLOOKUP('Données projet'!$B$12,Paramètres!$A$1:$I$89,3,0)*0.475*44/12</f>
        <v>2.8258644307102836</v>
      </c>
      <c r="CN48" s="22">
        <f t="shared" si="12"/>
        <v>17.589068500367123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8" t="e">
        <f t="shared" si="14"/>
        <v>#N/A</v>
      </c>
      <c r="CY48" s="58" t="e">
        <f ca="1">AVERAGE(OFFSET($CX$3,0,0,'Données projet'!$E$13+1,1))-AVERAGE(OFFSET($H$3,0,0,'Données projet'!$E$13+1,1))</f>
        <v>#N/A</v>
      </c>
      <c r="CZ48" s="58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8" t="e">
        <f t="shared" si="17"/>
        <v>#N/A</v>
      </c>
      <c r="DT48" s="58" t="e">
        <f ca="1">AVERAGE(OFFSET($DS$3,0,0,'Données projet'!$E$14+1,1))-AVERAGE(OFFSET($H$3,0,0,'Données projet'!$E$14+1,1))</f>
        <v>#N/A</v>
      </c>
      <c r="DU48" s="58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8" t="e">
        <f t="shared" si="20"/>
        <v>#N/A</v>
      </c>
      <c r="EO48" s="58" t="e">
        <f ca="1">AVERAGE(OFFSET($EN$3,0,0,'Données projet'!$E$15+1,1))-AVERAGE(OFFSET($H$3,0,0,'Données projet'!$E$15+1,1))</f>
        <v>#N/A</v>
      </c>
      <c r="EP48" s="58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8" t="e">
        <f t="shared" si="23"/>
        <v>#N/A</v>
      </c>
      <c r="FJ48" s="58" t="e">
        <f ca="1">AVERAGE(OFFSET($FI$3,0,0,'Données projet'!$E$16+1,1))-AVERAGE(OFFSET($H$3,0,0,'Données projet'!$E$16+1,1))</f>
        <v>#N/A</v>
      </c>
      <c r="FK48" s="58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8" t="e">
        <f t="shared" si="26"/>
        <v>#N/A</v>
      </c>
      <c r="GE48" s="58" t="e">
        <f ca="1">AVERAGE(OFFSET($GD$3,0,0,'Données projet'!$E$17+1,1))-AVERAGE(OFFSET($H$3,0,0,'Données projet'!$E$17+1,1))</f>
        <v>#N/A</v>
      </c>
      <c r="GF48" s="58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65.450191732818269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8" t="e">
        <f t="shared" si="29"/>
        <v>#N/A</v>
      </c>
      <c r="GZ48" s="58" t="e">
        <f ca="1">AVERAGE(OFFSET($GY$3,0,0,'Données projet'!$E$18+1,1))-AVERAGE(OFFSET($H$3,0,0,'Données projet'!$E$18+1,1))</f>
        <v>#N/A</v>
      </c>
      <c r="HA48" s="58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2">
        <f>'Scénario référence'!$B$16*5+'Scénario référence'!$B$17*0+'Scénario référence'!$B$18*5</f>
        <v>2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7.333333333333333</v>
      </c>
      <c r="H49" s="66">
        <f t="shared" si="1"/>
        <v>227.33333333333334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10.110000000000001</v>
      </c>
      <c r="N49" s="13">
        <f>IF('Données projet'!$A$36&gt;35,N48+M49-V48,IF(A49&lt;'Données projet'!$A$36,$K$205^A49,IF(A49='Données projet'!$A$36,'Données projet'!$B$36,N48+M49-V48)))</f>
        <v>167.89000000000016</v>
      </c>
      <c r="O49" s="13">
        <f>N49*VLOOKUP('Données projet'!$B$9,Paramètres!$A$1:$I$89,3,0)*VLOOKUP('Données projet'!$B$9,Paramètres!$A$1:$I$89,5,0)</f>
        <v>151.90687200000013</v>
      </c>
      <c r="P49" s="13">
        <f t="shared" si="33"/>
        <v>39.011610015763097</v>
      </c>
      <c r="Q49" s="20">
        <f t="shared" si="53"/>
        <v>332.51635617745427</v>
      </c>
      <c r="R49" s="58">
        <f t="shared" si="0"/>
        <v>609.45646553694451</v>
      </c>
      <c r="S49" s="58">
        <f ca="1">AVERAGE(OFFSET($R$3,0,0,'Données projet'!$E$9+1,1))-AVERAGE(OFFSET($H$3,0,0,'Données projet'!$E$9+1,1))</f>
        <v>654.0179680178212</v>
      </c>
      <c r="T49" s="58">
        <f t="shared" si="34"/>
        <v>289.42065570013369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13.653298388926505</v>
      </c>
      <c r="AB49" s="21">
        <f>EXP(-LN(2)/2)*AB48+(1-EXP(-LN(2)/2))/(LN(2)/2)*V49*Y49*VLOOKUP('Données projet'!$B$9,Paramètres!$A$1:$I$89,3,0)*0.475*44/12</f>
        <v>1.8999163655214437</v>
      </c>
      <c r="AC49" s="22">
        <f t="shared" si="3"/>
        <v>15.553214754447948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466.26</v>
      </c>
      <c r="AG49" s="12">
        <f>VLOOKUP(A49,'Données projet'!$A$61:$I$81,9,0)</f>
        <v>20.414444444444445</v>
      </c>
      <c r="AH49" s="12">
        <f t="array" ref="AH49">INDEX(AG:AG,MIN(IF(ISNUMBER(AG49:AG245),ROW(AG49:AG245),"")))</f>
        <v>20.414444444444445</v>
      </c>
      <c r="AI49" s="13">
        <f>IF('Données projet'!$A$62&gt;35,AI48+AH49-AQ48,IF(A49&lt;'Données projet'!$A$62,$AF$205^A49,IF(A49='Données projet'!$A$62,'Données projet'!$B$62,AI48+AH49-AQ48)))</f>
        <v>466.25999999999993</v>
      </c>
      <c r="AJ49" s="13">
        <f>AI49*VLOOKUP('Données projet'!$B$10,Paramètres!$A$1:$I$89,3,0)*VLOOKUP('Données projet'!$B$10,Paramètres!$A$1:$I$89,5,0)</f>
        <v>278.82347999999996</v>
      </c>
      <c r="AK49" s="13">
        <f t="shared" si="35"/>
        <v>66.718315486273781</v>
      </c>
      <c r="AL49" s="20">
        <f t="shared" si="4"/>
        <v>601.81862713859334</v>
      </c>
      <c r="AM49" s="58">
        <f t="shared" si="5"/>
        <v>878.75873649808364</v>
      </c>
      <c r="AN49" s="58">
        <f ca="1">AVERAGE(OFFSET($AM$3,0,0,'Données projet'!$E$10+1,1))-AVERAGE(OFFSET($H$3,0,0,'Données projet'!$E$10+1,1))</f>
        <v>447.44638185108147</v>
      </c>
      <c r="AO49" s="58">
        <f t="shared" si="36"/>
        <v>384.84260115068605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93.13</v>
      </c>
      <c r="AR49" s="16">
        <f>IF(ISNA(VLOOKUP(A49,'Données projet'!$A$61:$I$81,5,0)),0%,VLOOKUP(A49,'Données projet'!$A$61:$I$81,5,0)*VLOOKUP('Données projet'!$B$10,Paramètres!$A$1:$I$89,7,0))</f>
        <v>0.27</v>
      </c>
      <c r="AS49" s="16">
        <f>IF(ISNA(VLOOKUP(A49,'Données projet'!$A$61:$I$81,6,0)),0%,VLOOKUP(A49,'Données projet'!$A$61:$I$81,6,0)*VLOOKUP('Données projet'!$B$10,Paramètres!$A$1:$I$89,7,0))</f>
        <v>9.0000000000000011E-2</v>
      </c>
      <c r="AT49" s="16">
        <f>IF(ISNA(VLOOKUP(A49,'Données projet'!$A$61:$I$81,7,0)),0%,VLOOKUP(A49,'Données projet'!$A$61:$I$81,7,0))</f>
        <v>0.2</v>
      </c>
      <c r="AU49" s="21">
        <f>EXP(-LN(2)/35)*AU48+(1-EXP(-LN(2)/35))/(LN(2)/35)*AQ49*AR49*VLOOKUP('Données projet'!$B$10,Paramètres!$A$1:$I$89,3,0)*0.475*44/12</f>
        <v>39.117241677551625</v>
      </c>
      <c r="AV49" s="21">
        <f>EXP(-LN(2)/25)*AV48+(1-EXP(-LN(2)/25))/(LN(2)/25)*Calculateur!AQ49*Calculateur!AS49*VLOOKUP('Données projet'!$B$10,Paramètres!$A$1:$I$89,3,0)*0.475*44/12</f>
        <v>21.409467469347288</v>
      </c>
      <c r="AW49" s="21">
        <f>EXP(-LN(2)/2)*AW48+(1-EXP(-LN(2)/2))/(LN(2)/2)*AQ49*AT49*VLOOKUP('Données projet'!$B$10,Paramètres!$A$1:$I$89,3,0)*0.475*44/12</f>
        <v>13.012241601138477</v>
      </c>
      <c r="AX49" s="21">
        <f t="shared" si="6"/>
        <v>73.538950748037394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170.24046000000016</v>
      </c>
      <c r="BF49" s="13">
        <f t="shared" si="37"/>
        <v>43.143874195121747</v>
      </c>
      <c r="BG49" s="20">
        <f t="shared" si="7"/>
        <v>371.64438205650396</v>
      </c>
      <c r="BH49" s="58">
        <f t="shared" si="8"/>
        <v>648.58449141599419</v>
      </c>
      <c r="BI49" s="58">
        <f ca="1">AVERAGE(OFFSET($BH$3,0,0,'Données projet'!$E$11+1,1))-AVERAGE(OFFSET($H$3,0,0,'Données projet'!$E$11+1,1))</f>
        <v>724.99760740673071</v>
      </c>
      <c r="BJ49" s="58">
        <f t="shared" si="38"/>
        <v>318.24184272438208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15.301110263452118</v>
      </c>
      <c r="BR49" s="21">
        <f>EXP(-LN(2)/2)*BR48+(1-EXP(-LN(2)/2))/(LN(2)/2)*BL49*BO49*VLOOKUP('Données projet'!$B$11,Paramètres!$A$1:$I$89,3,0)*0.475*44/12</f>
        <v>2.129216616532652</v>
      </c>
      <c r="BS49" s="22">
        <f t="shared" si="9"/>
        <v>17.430326879984769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10.110000000000001</v>
      </c>
      <c r="BY49" s="12">
        <f>IF('Données projet'!$A$114&gt;35,BY48+BX49-CG48,IF(A49&lt;'Données projet'!$A$114,$BV$205^A49,IF(A49='Données projet'!$A$114,'Données projet'!$B$114,BY48+BX49-CG48)))</f>
        <v>167.89000000000016</v>
      </c>
      <c r="BZ49" s="13">
        <f>BY49*VLOOKUP('Données projet'!$B$12,Paramètres!$A$1:$I$89,3,0)*VLOOKUP('Données projet'!$B$12,Paramètres!$A$1:$I$89,5,0)</f>
        <v>159.76412400000015</v>
      </c>
      <c r="CA49" s="13">
        <f t="shared" si="39"/>
        <v>40.78930834921298</v>
      </c>
      <c r="CB49" s="20">
        <f t="shared" si="10"/>
        <v>349.29722800821287</v>
      </c>
      <c r="CC49" s="58">
        <f t="shared" si="11"/>
        <v>626.23733736770305</v>
      </c>
      <c r="CD49" s="58">
        <f ca="1">AVERAGE(OFFSET($CC$3,0,0,'Données projet'!$E$12+1,1))-AVERAGE(OFFSET($H$3,0,0,'Données projet'!$E$12+1,1))</f>
        <v>684.45757350513315</v>
      </c>
      <c r="CE49" s="58">
        <f t="shared" si="40"/>
        <v>301.78148341369194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14.359503478008914</v>
      </c>
      <c r="CM49" s="21">
        <f>EXP(-LN(2)/2)*CM48+(1-EXP(-LN(2)/2))/(LN(2)/2)*CG49*CJ49*VLOOKUP('Données projet'!$B$12,Paramètres!$A$1:$I$89,3,0)*0.475*44/12</f>
        <v>1.9981879016691044</v>
      </c>
      <c r="CN49" s="22">
        <f t="shared" si="12"/>
        <v>16.35769137967802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8" t="e">
        <f t="shared" si="14"/>
        <v>#N/A</v>
      </c>
      <c r="CY49" s="58" t="e">
        <f ca="1">AVERAGE(OFFSET($CX$3,0,0,'Données projet'!$E$13+1,1))-AVERAGE(OFFSET($H$3,0,0,'Données projet'!$E$13+1,1))</f>
        <v>#N/A</v>
      </c>
      <c r="CZ49" s="58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8" t="e">
        <f t="shared" si="17"/>
        <v>#N/A</v>
      </c>
      <c r="DT49" s="58" t="e">
        <f ca="1">AVERAGE(OFFSET($DS$3,0,0,'Données projet'!$E$14+1,1))-AVERAGE(OFFSET($H$3,0,0,'Données projet'!$E$14+1,1))</f>
        <v>#N/A</v>
      </c>
      <c r="DU49" s="58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8" t="e">
        <f t="shared" si="20"/>
        <v>#N/A</v>
      </c>
      <c r="EO49" s="58" t="e">
        <f ca="1">AVERAGE(OFFSET($EN$3,0,0,'Données projet'!$E$15+1,1))-AVERAGE(OFFSET($H$3,0,0,'Données projet'!$E$15+1,1))</f>
        <v>#N/A</v>
      </c>
      <c r="EP49" s="58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8" t="e">
        <f t="shared" si="23"/>
        <v>#N/A</v>
      </c>
      <c r="FJ49" s="58" t="e">
        <f ca="1">AVERAGE(OFFSET($FI$3,0,0,'Données projet'!$E$16+1,1))-AVERAGE(OFFSET($H$3,0,0,'Données projet'!$E$16+1,1))</f>
        <v>#N/A</v>
      </c>
      <c r="FK49" s="58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8" t="e">
        <f t="shared" si="26"/>
        <v>#N/A</v>
      </c>
      <c r="GE49" s="58" t="e">
        <f ca="1">AVERAGE(OFFSET($GD$3,0,0,'Données projet'!$E$17+1,1))-AVERAGE(OFFSET($H$3,0,0,'Données projet'!$E$17+1,1))</f>
        <v>#N/A</v>
      </c>
      <c r="GF49" s="58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65.529120734406433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8" t="e">
        <f t="shared" si="29"/>
        <v>#N/A</v>
      </c>
      <c r="GZ49" s="58" t="e">
        <f ca="1">AVERAGE(OFFSET($GY$3,0,0,'Données projet'!$E$18+1,1))-AVERAGE(OFFSET($H$3,0,0,'Données projet'!$E$18+1,1))</f>
        <v>#N/A</v>
      </c>
      <c r="HA49" s="58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2">
        <f>'Scénario référence'!$B$16*5+'Scénario référence'!$B$17*0+'Scénario référence'!$B$18*5</f>
        <v>2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7.333333333333333</v>
      </c>
      <c r="H50" s="66">
        <f t="shared" si="1"/>
        <v>227.33333333333334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10.110000000000001</v>
      </c>
      <c r="N50" s="13">
        <f>IF('Données projet'!$A$36&gt;35,N49+M50-V49,IF(A50&lt;'Données projet'!$A$36,$K$205^A50,IF(A50='Données projet'!$A$36,'Données projet'!$B$36,N49+M50-V49)))</f>
        <v>178.00000000000017</v>
      </c>
      <c r="O50" s="13">
        <f>N50*VLOOKUP('Données projet'!$B$9,Paramètres!$A$1:$I$89,3,0)*VLOOKUP('Données projet'!$B$9,Paramètres!$A$1:$I$89,5,0)</f>
        <v>161.05440000000016</v>
      </c>
      <c r="P50" s="13">
        <f t="shared" si="33"/>
        <v>41.080247278685491</v>
      </c>
      <c r="Q50" s="20">
        <f t="shared" si="53"/>
        <v>352.05117734371078</v>
      </c>
      <c r="R50" s="58">
        <f t="shared" si="0"/>
        <v>629.27567248938897</v>
      </c>
      <c r="S50" s="58">
        <f ca="1">AVERAGE(OFFSET($R$3,0,0,'Données projet'!$E$9+1,1))-AVERAGE(OFFSET($H$3,0,0,'Données projet'!$E$9+1,1))</f>
        <v>654.0179680178212</v>
      </c>
      <c r="T50" s="58">
        <f t="shared" si="34"/>
        <v>289.42065570013369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13.279948226485553</v>
      </c>
      <c r="AB50" s="21">
        <f>EXP(-LN(2)/2)*AB49+(1-EXP(-LN(2)/2))/(LN(2)/2)*V50*Y50*VLOOKUP('Données projet'!$B$9,Paramètres!$A$1:$I$89,3,0)*0.475*44/12</f>
        <v>1.3434437457475121</v>
      </c>
      <c r="AC50" s="22">
        <f t="shared" si="3"/>
        <v>14.623391972233065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17.857000000000006</v>
      </c>
      <c r="AI50" s="13">
        <f>IF('Données projet'!$A$62&gt;35,AI49+AH50-AQ49,IF(A50&lt;'Données projet'!$A$62,$AF$205^A50,IF(A50='Données projet'!$A$62,'Données projet'!$B$62,AI49+AH50-AQ49)))</f>
        <v>390.98699999999997</v>
      </c>
      <c r="AJ50" s="13">
        <f>AI50*VLOOKUP('Données projet'!$B$10,Paramètres!$A$1:$I$89,3,0)*VLOOKUP('Données projet'!$B$10,Paramètres!$A$1:$I$89,5,0)</f>
        <v>233.810226</v>
      </c>
      <c r="AK50" s="13">
        <f t="shared" si="35"/>
        <v>57.105752002945586</v>
      </c>
      <c r="AL50" s="20">
        <f t="shared" si="4"/>
        <v>506.67866168846348</v>
      </c>
      <c r="AM50" s="58">
        <f t="shared" si="5"/>
        <v>783.90315683414167</v>
      </c>
      <c r="AN50" s="58">
        <f ca="1">AVERAGE(OFFSET($AM$3,0,0,'Données projet'!$E$10+1,1))-AVERAGE(OFFSET($H$3,0,0,'Données projet'!$E$10+1,1))</f>
        <v>447.44638185108147</v>
      </c>
      <c r="AO50" s="58">
        <f t="shared" si="36"/>
        <v>384.84260115068605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38.350176427416365</v>
      </c>
      <c r="AV50" s="21">
        <f>EXP(-LN(2)/25)*AV49+(1-EXP(-LN(2)/25))/(LN(2)/25)*Calculateur!AQ50*Calculateur!AS50*VLOOKUP('Données projet'!$B$10,Paramètres!$A$1:$I$89,3,0)*0.475*44/12</f>
        <v>20.824024455523023</v>
      </c>
      <c r="AW50" s="21">
        <f>EXP(-LN(2)/2)*AW49+(1-EXP(-LN(2)/2))/(LN(2)/2)*AQ50*AT50*VLOOKUP('Données projet'!$B$10,Paramètres!$A$1:$I$89,3,0)*0.475*44/12</f>
        <v>9.201044274602717</v>
      </c>
      <c r="AX50" s="21">
        <f t="shared" si="6"/>
        <v>68.375245157542111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180.49200000000019</v>
      </c>
      <c r="BF50" s="13">
        <f t="shared" si="37"/>
        <v>45.431629706642696</v>
      </c>
      <c r="BG50" s="20">
        <f t="shared" si="7"/>
        <v>393.48365507240305</v>
      </c>
      <c r="BH50" s="58">
        <f t="shared" si="8"/>
        <v>670.7081502180813</v>
      </c>
      <c r="BI50" s="58">
        <f ca="1">AVERAGE(OFFSET($BH$3,0,0,'Données projet'!$E$11+1,1))-AVERAGE(OFFSET($H$3,0,0,'Données projet'!$E$11+1,1))</f>
        <v>724.99760740673071</v>
      </c>
      <c r="BJ50" s="58">
        <f t="shared" si="38"/>
        <v>318.24184272438208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14.882700598647602</v>
      </c>
      <c r="BR50" s="21">
        <f>EXP(-LN(2)/2)*BR49+(1-EXP(-LN(2)/2))/(LN(2)/2)*BL50*BO50*VLOOKUP('Données projet'!$B$11,Paramètres!$A$1:$I$89,3,0)*0.475*44/12</f>
        <v>1.5055835081653151</v>
      </c>
      <c r="BS50" s="22">
        <f t="shared" si="9"/>
        <v>16.388284106812918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10.110000000000001</v>
      </c>
      <c r="BY50" s="12">
        <f>IF('Données projet'!$A$114&gt;35,BY49+BX50-CG49,IF(A50&lt;'Données projet'!$A$114,$BV$205^A50,IF(A50='Données projet'!$A$114,'Données projet'!$B$114,BY49+BX50-CG49)))</f>
        <v>178.00000000000017</v>
      </c>
      <c r="BZ50" s="13">
        <f>BY50*VLOOKUP('Données projet'!$B$12,Paramètres!$A$1:$I$89,3,0)*VLOOKUP('Données projet'!$B$12,Paramètres!$A$1:$I$89,5,0)</f>
        <v>169.38480000000015</v>
      </c>
      <c r="CA50" s="13">
        <f t="shared" si="39"/>
        <v>42.952210191662502</v>
      </c>
      <c r="CB50" s="20">
        <f t="shared" si="10"/>
        <v>369.82029275047915</v>
      </c>
      <c r="CC50" s="58">
        <f t="shared" si="11"/>
        <v>647.04478789615735</v>
      </c>
      <c r="CD50" s="58">
        <f ca="1">AVERAGE(OFFSET($CC$3,0,0,'Données projet'!$E$12+1,1))-AVERAGE(OFFSET($H$3,0,0,'Données projet'!$E$12+1,1))</f>
        <v>684.45757350513315</v>
      </c>
      <c r="CE50" s="58">
        <f t="shared" si="40"/>
        <v>301.78148341369194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13.966842100269291</v>
      </c>
      <c r="CM50" s="21">
        <f>EXP(-LN(2)/2)*CM49+(1-EXP(-LN(2)/2))/(LN(2)/2)*CG50*CJ50*VLOOKUP('Données projet'!$B$12,Paramètres!$A$1:$I$89,3,0)*0.475*44/12</f>
        <v>1.412932215355142</v>
      </c>
      <c r="CN50" s="22">
        <f t="shared" si="12"/>
        <v>15.379774315624433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8" t="e">
        <f t="shared" si="14"/>
        <v>#N/A</v>
      </c>
      <c r="CY50" s="58" t="e">
        <f ca="1">AVERAGE(OFFSET($CX$3,0,0,'Données projet'!$E$13+1,1))-AVERAGE(OFFSET($H$3,0,0,'Données projet'!$E$13+1,1))</f>
        <v>#N/A</v>
      </c>
      <c r="CZ50" s="58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8" t="e">
        <f t="shared" si="17"/>
        <v>#N/A</v>
      </c>
      <c r="DT50" s="58" t="e">
        <f ca="1">AVERAGE(OFFSET($DS$3,0,0,'Données projet'!$E$14+1,1))-AVERAGE(OFFSET($H$3,0,0,'Données projet'!$E$14+1,1))</f>
        <v>#N/A</v>
      </c>
      <c r="DU50" s="58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8" t="e">
        <f t="shared" si="20"/>
        <v>#N/A</v>
      </c>
      <c r="EO50" s="58" t="e">
        <f ca="1">AVERAGE(OFFSET($EN$3,0,0,'Données projet'!$E$15+1,1))-AVERAGE(OFFSET($H$3,0,0,'Données projet'!$E$15+1,1))</f>
        <v>#N/A</v>
      </c>
      <c r="EP50" s="58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8" t="e">
        <f t="shared" si="23"/>
        <v>#N/A</v>
      </c>
      <c r="FJ50" s="58" t="e">
        <f ca="1">AVERAGE(OFFSET($FI$3,0,0,'Données projet'!$E$16+1,1))-AVERAGE(OFFSET($H$3,0,0,'Données projet'!$E$16+1,1))</f>
        <v>#N/A</v>
      </c>
      <c r="FK50" s="58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8" t="e">
        <f t="shared" si="26"/>
        <v>#N/A</v>
      </c>
      <c r="GE50" s="58" t="e">
        <f ca="1">AVERAGE(OFFSET($GD$3,0,0,'Données projet'!$E$17+1,1))-AVERAGE(OFFSET($H$3,0,0,'Données projet'!$E$17+1,1))</f>
        <v>#N/A</v>
      </c>
      <c r="GF50" s="58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65.606680494275864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8" t="e">
        <f t="shared" si="29"/>
        <v>#N/A</v>
      </c>
      <c r="GZ50" s="58" t="e">
        <f ca="1">AVERAGE(OFFSET($GY$3,0,0,'Données projet'!$E$18+1,1))-AVERAGE(OFFSET($H$3,0,0,'Données projet'!$E$18+1,1))</f>
        <v>#N/A</v>
      </c>
      <c r="HA50" s="58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2">
        <f>'Scénario référence'!$B$16*5+'Scénario référence'!$B$17*0+'Scénario référence'!$B$18*5</f>
        <v>2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7.333333333333333</v>
      </c>
      <c r="H51" s="66">
        <f t="shared" si="1"/>
        <v>227.33333333333334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10.110000000000001</v>
      </c>
      <c r="N51" s="13">
        <f>IF('Données projet'!$A$36&gt;35,N50+M51-V50,IF(A51&lt;'Données projet'!$A$36,$K$205^A51,IF(A51='Données projet'!$A$36,'Données projet'!$B$36,N50+M51-V50)))</f>
        <v>188.11000000000018</v>
      </c>
      <c r="O51" s="13">
        <f>N51*VLOOKUP('Données projet'!$B$9,Paramètres!$A$1:$I$89,3,0)*VLOOKUP('Données projet'!$B$9,Paramètres!$A$1:$I$89,5,0)</f>
        <v>170.20192800000018</v>
      </c>
      <c r="P51" s="13">
        <f t="shared" si="33"/>
        <v>43.135245614983553</v>
      </c>
      <c r="Q51" s="20">
        <f t="shared" si="53"/>
        <v>371.56224404609662</v>
      </c>
      <c r="R51" s="58">
        <f t="shared" si="0"/>
        <v>649.06619152036365</v>
      </c>
      <c r="S51" s="58">
        <f ca="1">AVERAGE(OFFSET($R$3,0,0,'Données projet'!$E$9+1,1))-AVERAGE(OFFSET($H$3,0,0,'Données projet'!$E$9+1,1))</f>
        <v>654.0179680178212</v>
      </c>
      <c r="T51" s="58">
        <f t="shared" si="34"/>
        <v>289.42065570013369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12.916807343870181</v>
      </c>
      <c r="AB51" s="21">
        <f>EXP(-LN(2)/2)*AB50+(1-EXP(-LN(2)/2))/(LN(2)/2)*V51*Y51*VLOOKUP('Données projet'!$B$9,Paramètres!$A$1:$I$89,3,0)*0.475*44/12</f>
        <v>0.94995818276072186</v>
      </c>
      <c r="AC51" s="22">
        <f t="shared" si="3"/>
        <v>13.866765526630903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17.857000000000006</v>
      </c>
      <c r="AI51" s="13">
        <f>IF('Données projet'!$A$62&gt;35,AI50+AH51-AQ50,IF(A51&lt;'Données projet'!$A$62,$AF$205^A51,IF(A51='Données projet'!$A$62,'Données projet'!$B$62,AI50+AH51-AQ50)))</f>
        <v>408.84399999999999</v>
      </c>
      <c r="AJ51" s="13">
        <f>AI51*VLOOKUP('Données projet'!$B$10,Paramètres!$A$1:$I$89,3,0)*VLOOKUP('Données projet'!$B$10,Paramètres!$A$1:$I$89,5,0)</f>
        <v>244.48871200000002</v>
      </c>
      <c r="AK51" s="13">
        <f t="shared" si="35"/>
        <v>59.404254729453328</v>
      </c>
      <c r="AL51" s="20">
        <f t="shared" si="4"/>
        <v>529.28025038713133</v>
      </c>
      <c r="AM51" s="58">
        <f t="shared" si="5"/>
        <v>806.78419786139841</v>
      </c>
      <c r="AN51" s="58">
        <f ca="1">AVERAGE(OFFSET($AM$3,0,0,'Données projet'!$E$10+1,1))-AVERAGE(OFFSET($H$3,0,0,'Données projet'!$E$10+1,1))</f>
        <v>447.44638185108147</v>
      </c>
      <c r="AO51" s="58">
        <f t="shared" si="36"/>
        <v>384.84260115068605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37.598152858972654</v>
      </c>
      <c r="AV51" s="21">
        <f>EXP(-LN(2)/25)*AV50+(1-EXP(-LN(2)/25))/(LN(2)/25)*Calculateur!AQ51*Calculateur!AS51*VLOOKUP('Données projet'!$B$10,Paramètres!$A$1:$I$89,3,0)*0.475*44/12</f>
        <v>20.254590411698896</v>
      </c>
      <c r="AW51" s="21">
        <f>EXP(-LN(2)/2)*AW50+(1-EXP(-LN(2)/2))/(LN(2)/2)*AQ51*AT51*VLOOKUP('Données projet'!$B$10,Paramètres!$A$1:$I$89,3,0)*0.475*44/12</f>
        <v>6.5061208005692395</v>
      </c>
      <c r="AX51" s="21">
        <f t="shared" si="6"/>
        <v>64.358864071240788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190.74354000000019</v>
      </c>
      <c r="BF51" s="13">
        <f t="shared" si="37"/>
        <v>47.704301602434754</v>
      </c>
      <c r="BG51" s="20">
        <f t="shared" si="7"/>
        <v>415.29665745757416</v>
      </c>
      <c r="BH51" s="58">
        <f t="shared" si="8"/>
        <v>692.80060493184124</v>
      </c>
      <c r="BI51" s="58">
        <f ca="1">AVERAGE(OFFSET($BH$3,0,0,'Données projet'!$E$11+1,1))-AVERAGE(OFFSET($H$3,0,0,'Données projet'!$E$11+1,1))</f>
        <v>724.99760740673071</v>
      </c>
      <c r="BJ51" s="58">
        <f t="shared" si="38"/>
        <v>318.24184272438208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14.475732368130375</v>
      </c>
      <c r="BR51" s="21">
        <f>EXP(-LN(2)/2)*BR50+(1-EXP(-LN(2)/2))/(LN(2)/2)*BL51*BO51*VLOOKUP('Données projet'!$B$11,Paramètres!$A$1:$I$89,3,0)*0.475*44/12</f>
        <v>1.064608308266326</v>
      </c>
      <c r="BS51" s="22">
        <f t="shared" si="9"/>
        <v>15.540340676396701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10.110000000000001</v>
      </c>
      <c r="BY51" s="12">
        <f>IF('Données projet'!$A$114&gt;35,BY50+BX51-CG50,IF(A51&lt;'Données projet'!$A$114,$BV$205^A51,IF(A51='Données projet'!$A$114,'Données projet'!$B$114,BY50+BX51-CG50)))</f>
        <v>188.11000000000018</v>
      </c>
      <c r="BZ51" s="13">
        <f>BY51*VLOOKUP('Données projet'!$B$12,Paramètres!$A$1:$I$89,3,0)*VLOOKUP('Données projet'!$B$12,Paramètres!$A$1:$I$89,5,0)</f>
        <v>179.00547600000019</v>
      </c>
      <c r="CA51" s="13">
        <f t="shared" si="39"/>
        <v>45.100851602834986</v>
      </c>
      <c r="CB51" s="20">
        <f t="shared" si="10"/>
        <v>390.31852057493785</v>
      </c>
      <c r="CC51" s="58">
        <f t="shared" si="11"/>
        <v>667.82246804920487</v>
      </c>
      <c r="CD51" s="58">
        <f ca="1">AVERAGE(OFFSET($CC$3,0,0,'Données projet'!$E$12+1,1))-AVERAGE(OFFSET($H$3,0,0,'Données projet'!$E$12+1,1))</f>
        <v>684.45757350513315</v>
      </c>
      <c r="CE51" s="58">
        <f t="shared" si="40"/>
        <v>301.78148341369194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13.584918068553122</v>
      </c>
      <c r="CM51" s="21">
        <f>EXP(-LN(2)/2)*CM50+(1-EXP(-LN(2)/2))/(LN(2)/2)*CG51*CJ51*VLOOKUP('Données projet'!$B$12,Paramètres!$A$1:$I$89,3,0)*0.475*44/12</f>
        <v>0.99909395083455232</v>
      </c>
      <c r="CN51" s="22">
        <f t="shared" si="12"/>
        <v>14.584012019387675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8" t="e">
        <f t="shared" si="14"/>
        <v>#N/A</v>
      </c>
      <c r="CY51" s="58" t="e">
        <f ca="1">AVERAGE(OFFSET($CX$3,0,0,'Données projet'!$E$13+1,1))-AVERAGE(OFFSET($H$3,0,0,'Données projet'!$E$13+1,1))</f>
        <v>#N/A</v>
      </c>
      <c r="CZ51" s="58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8" t="e">
        <f t="shared" si="17"/>
        <v>#N/A</v>
      </c>
      <c r="DT51" s="58" t="e">
        <f ca="1">AVERAGE(OFFSET($DS$3,0,0,'Données projet'!$E$14+1,1))-AVERAGE(OFFSET($H$3,0,0,'Données projet'!$E$14+1,1))</f>
        <v>#N/A</v>
      </c>
      <c r="DU51" s="58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8" t="e">
        <f t="shared" si="20"/>
        <v>#N/A</v>
      </c>
      <c r="EO51" s="58" t="e">
        <f ca="1">AVERAGE(OFFSET($EN$3,0,0,'Données projet'!$E$15+1,1))-AVERAGE(OFFSET($H$3,0,0,'Données projet'!$E$15+1,1))</f>
        <v>#N/A</v>
      </c>
      <c r="EP51" s="58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8" t="e">
        <f t="shared" si="23"/>
        <v>#N/A</v>
      </c>
      <c r="FJ51" s="58" t="e">
        <f ca="1">AVERAGE(OFFSET($FI$3,0,0,'Données projet'!$E$16+1,1))-AVERAGE(OFFSET($H$3,0,0,'Données projet'!$E$16+1,1))</f>
        <v>#N/A</v>
      </c>
      <c r="FK51" s="58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8" t="e">
        <f t="shared" si="26"/>
        <v>#N/A</v>
      </c>
      <c r="GE51" s="58" t="e">
        <f ca="1">AVERAGE(OFFSET($GD$3,0,0,'Données projet'!$E$17+1,1))-AVERAGE(OFFSET($H$3,0,0,'Données projet'!$E$17+1,1))</f>
        <v>#N/A</v>
      </c>
      <c r="GF51" s="58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65.682894765709207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8" t="e">
        <f t="shared" si="29"/>
        <v>#N/A</v>
      </c>
      <c r="GZ51" s="58" t="e">
        <f ca="1">AVERAGE(OFFSET($GY$3,0,0,'Données projet'!$E$18+1,1))-AVERAGE(OFFSET($H$3,0,0,'Données projet'!$E$18+1,1))</f>
        <v>#N/A</v>
      </c>
      <c r="HA51" s="58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2">
        <f>'Scénario référence'!$B$16*5+'Scénario référence'!$B$17*0+'Scénario référence'!$B$18*5</f>
        <v>2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7.333333333333333</v>
      </c>
      <c r="H52" s="66">
        <f t="shared" si="1"/>
        <v>227.33333333333334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10.110000000000001</v>
      </c>
      <c r="N52" s="13">
        <f>IF('Données projet'!$A$36&gt;35,N51+M52-V51,IF(A52&lt;'Données projet'!$A$36,$K$205^A52,IF(A52='Données projet'!$A$36,'Données projet'!$B$36,N51+M52-V51)))</f>
        <v>198.2200000000002</v>
      </c>
      <c r="O52" s="13">
        <f>N52*VLOOKUP('Données projet'!$B$9,Paramètres!$A$1:$I$89,3,0)*VLOOKUP('Données projet'!$B$9,Paramètres!$A$1:$I$89,5,0)</f>
        <v>179.34945600000017</v>
      </c>
      <c r="P52" s="13">
        <f t="shared" si="33"/>
        <v>45.177421627371096</v>
      </c>
      <c r="Q52" s="20">
        <f t="shared" si="53"/>
        <v>391.0509785343383</v>
      </c>
      <c r="R52" s="58">
        <f t="shared" si="0"/>
        <v>668.8295304640551</v>
      </c>
      <c r="S52" s="58">
        <f ca="1">AVERAGE(OFFSET($R$3,0,0,'Données projet'!$E$9+1,1))-AVERAGE(OFFSET($H$3,0,0,'Données projet'!$E$9+1,1))</f>
        <v>654.0179680178212</v>
      </c>
      <c r="T52" s="58">
        <f t="shared" si="34"/>
        <v>289.42065570013369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12.563596567786675</v>
      </c>
      <c r="AB52" s="21">
        <f>EXP(-LN(2)/2)*AB51+(1-EXP(-LN(2)/2))/(LN(2)/2)*V52*Y52*VLOOKUP('Données projet'!$B$9,Paramètres!$A$1:$I$89,3,0)*0.475*44/12</f>
        <v>0.67172187287375607</v>
      </c>
      <c r="AC52" s="22">
        <f t="shared" si="3"/>
        <v>13.23531844066043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17.857000000000006</v>
      </c>
      <c r="AI52" s="13">
        <f>IF('Données projet'!$A$62&gt;35,AI51+AH52-AQ51,IF(A52&lt;'Données projet'!$A$62,$AF$205^A52,IF(A52='Données projet'!$A$62,'Données projet'!$B$62,AI51+AH52-AQ51)))</f>
        <v>426.70100000000002</v>
      </c>
      <c r="AJ52" s="13">
        <f>AI52*VLOOKUP('Données projet'!$B$10,Paramètres!$A$1:$I$89,3,0)*VLOOKUP('Données projet'!$B$10,Paramètres!$A$1:$I$89,5,0)</f>
        <v>255.16719800000004</v>
      </c>
      <c r="AK52" s="13">
        <f t="shared" si="35"/>
        <v>61.691097653105281</v>
      </c>
      <c r="AL52" s="20">
        <f t="shared" si="4"/>
        <v>551.86153159582511</v>
      </c>
      <c r="AM52" s="58">
        <f t="shared" si="5"/>
        <v>829.64008352554197</v>
      </c>
      <c r="AN52" s="58">
        <f ca="1">AVERAGE(OFFSET($AM$3,0,0,'Données projet'!$E$10+1,1))-AVERAGE(OFFSET($H$3,0,0,'Données projet'!$E$10+1,1))</f>
        <v>447.44638185108147</v>
      </c>
      <c r="AO52" s="58">
        <f t="shared" si="36"/>
        <v>384.84260115068605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36.860876014017038</v>
      </c>
      <c r="AV52" s="21">
        <f>EXP(-LN(2)/25)*AV51+(1-EXP(-LN(2)/25))/(LN(2)/25)*Calculateur!AQ52*Calculateur!AS52*VLOOKUP('Données projet'!$B$10,Paramètres!$A$1:$I$89,3,0)*0.475*44/12</f>
        <v>19.700727571748374</v>
      </c>
      <c r="AW52" s="21">
        <f>EXP(-LN(2)/2)*AW51+(1-EXP(-LN(2)/2))/(LN(2)/2)*AQ52*AT52*VLOOKUP('Données projet'!$B$10,Paramètres!$A$1:$I$89,3,0)*0.475*44/12</f>
        <v>4.6005221373013585</v>
      </c>
      <c r="AX52" s="21">
        <f t="shared" si="6"/>
        <v>61.162125723066772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200.9950800000002</v>
      </c>
      <c r="BF52" s="13">
        <f t="shared" si="37"/>
        <v>49.962792983004405</v>
      </c>
      <c r="BG52" s="20">
        <f t="shared" si="7"/>
        <v>437.08496211206631</v>
      </c>
      <c r="BH52" s="58">
        <f t="shared" si="8"/>
        <v>714.86351404178311</v>
      </c>
      <c r="BI52" s="58">
        <f ca="1">AVERAGE(OFFSET($BH$3,0,0,'Données projet'!$E$11+1,1))-AVERAGE(OFFSET($H$3,0,0,'Données projet'!$E$11+1,1))</f>
        <v>724.99760740673071</v>
      </c>
      <c r="BJ52" s="58">
        <f t="shared" si="38"/>
        <v>318.24184272438208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14.079892705278169</v>
      </c>
      <c r="BR52" s="21">
        <f>EXP(-LN(2)/2)*BR51+(1-EXP(-LN(2)/2))/(LN(2)/2)*BL52*BO52*VLOOKUP('Données projet'!$B$11,Paramètres!$A$1:$I$89,3,0)*0.475*44/12</f>
        <v>0.75279175408265753</v>
      </c>
      <c r="BS52" s="22">
        <f t="shared" si="9"/>
        <v>14.832684459360827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10.110000000000001</v>
      </c>
      <c r="BY52" s="12">
        <f>IF('Données projet'!$A$114&gt;35,BY51+BX52-CG51,IF(A52&lt;'Données projet'!$A$114,$BV$205^A52,IF(A52='Données projet'!$A$114,'Données projet'!$B$114,BY51+BX52-CG51)))</f>
        <v>198.2200000000002</v>
      </c>
      <c r="BZ52" s="13">
        <f>BY52*VLOOKUP('Données projet'!$B$12,Paramètres!$A$1:$I$89,3,0)*VLOOKUP('Données projet'!$B$12,Paramètres!$A$1:$I$89,5,0)</f>
        <v>188.62615200000019</v>
      </c>
      <c r="CA52" s="13">
        <f t="shared" si="39"/>
        <v>47.236086396758743</v>
      </c>
      <c r="CB52" s="20">
        <f t="shared" si="10"/>
        <v>410.79339854102176</v>
      </c>
      <c r="CC52" s="58">
        <f t="shared" si="11"/>
        <v>688.57195047073856</v>
      </c>
      <c r="CD52" s="58">
        <f ca="1">AVERAGE(OFFSET($CC$3,0,0,'Données projet'!$E$12+1,1))-AVERAGE(OFFSET($H$3,0,0,'Données projet'!$E$12+1,1))</f>
        <v>684.45757350513315</v>
      </c>
      <c r="CE52" s="58">
        <f t="shared" si="40"/>
        <v>301.78148341369194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13.213437769568745</v>
      </c>
      <c r="CM52" s="21">
        <f>EXP(-LN(2)/2)*CM51+(1-EXP(-LN(2)/2))/(LN(2)/2)*CG52*CJ52*VLOOKUP('Données projet'!$B$12,Paramètres!$A$1:$I$89,3,0)*0.475*44/12</f>
        <v>0.70646610767757112</v>
      </c>
      <c r="CN52" s="22">
        <f t="shared" si="12"/>
        <v>13.919903877246316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8" t="e">
        <f t="shared" si="14"/>
        <v>#N/A</v>
      </c>
      <c r="CY52" s="58" t="e">
        <f ca="1">AVERAGE(OFFSET($CX$3,0,0,'Données projet'!$E$13+1,1))-AVERAGE(OFFSET($H$3,0,0,'Données projet'!$E$13+1,1))</f>
        <v>#N/A</v>
      </c>
      <c r="CZ52" s="58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8" t="e">
        <f t="shared" si="17"/>
        <v>#N/A</v>
      </c>
      <c r="DT52" s="58" t="e">
        <f ca="1">AVERAGE(OFFSET($DS$3,0,0,'Données projet'!$E$14+1,1))-AVERAGE(OFFSET($H$3,0,0,'Données projet'!$E$14+1,1))</f>
        <v>#N/A</v>
      </c>
      <c r="DU52" s="58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8" t="e">
        <f t="shared" si="20"/>
        <v>#N/A</v>
      </c>
      <c r="EO52" s="58" t="e">
        <f ca="1">AVERAGE(OFFSET($EN$3,0,0,'Données projet'!$E$15+1,1))-AVERAGE(OFFSET($H$3,0,0,'Données projet'!$E$15+1,1))</f>
        <v>#N/A</v>
      </c>
      <c r="EP52" s="58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8" t="e">
        <f t="shared" si="23"/>
        <v>#N/A</v>
      </c>
      <c r="FJ52" s="58" t="e">
        <f ca="1">AVERAGE(OFFSET($FI$3,0,0,'Données projet'!$E$16+1,1))-AVERAGE(OFFSET($H$3,0,0,'Données projet'!$E$16+1,1))</f>
        <v>#N/A</v>
      </c>
      <c r="FK52" s="58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8" t="e">
        <f t="shared" si="26"/>
        <v>#N/A</v>
      </c>
      <c r="GE52" s="58" t="e">
        <f ca="1">AVERAGE(OFFSET($GD$3,0,0,'Données projet'!$E$17+1,1))-AVERAGE(OFFSET($H$3,0,0,'Données projet'!$E$17+1,1))</f>
        <v>#N/A</v>
      </c>
      <c r="GF52" s="58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65.757786889922755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8" t="e">
        <f t="shared" si="29"/>
        <v>#N/A</v>
      </c>
      <c r="GZ52" s="58" t="e">
        <f ca="1">AVERAGE(OFFSET($GY$3,0,0,'Données projet'!$E$18+1,1))-AVERAGE(OFFSET($H$3,0,0,'Données projet'!$E$18+1,1))</f>
        <v>#N/A</v>
      </c>
      <c r="HA52" s="58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2">
        <f>'Scénario référence'!$B$16*5+'Scénario référence'!$B$17*0+'Scénario référence'!$B$18*5</f>
        <v>2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7.333333333333333</v>
      </c>
      <c r="H53" s="66">
        <f t="shared" si="1"/>
        <v>227.33333333333334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208.33</v>
      </c>
      <c r="L53" s="12">
        <f>VLOOKUP(A53,'Données projet'!$A$35:$I$55,9,0)</f>
        <v>10.110000000000001</v>
      </c>
      <c r="M53" s="12">
        <f t="array" ref="M53">INDEX(L:L,MIN(IF(ISNUMBER(L53:L249),ROW(L53:L249),"")))</f>
        <v>10.110000000000001</v>
      </c>
      <c r="N53" s="13">
        <f>IF('Données projet'!$A$36&gt;35,N52+M53-V52,IF(A53&lt;'Données projet'!$A$36,$K$205^A53,IF(A53='Données projet'!$A$36,'Données projet'!$B$36,N52+M53-V52)))</f>
        <v>208.33000000000021</v>
      </c>
      <c r="O53" s="13">
        <f>N53*VLOOKUP('Données projet'!$B$9,Paramètres!$A$1:$I$89,3,0)*VLOOKUP('Données projet'!$B$9,Paramètres!$A$1:$I$89,5,0)</f>
        <v>188.4969840000002</v>
      </c>
      <c r="P53" s="13">
        <f t="shared" si="33"/>
        <v>47.207503913482938</v>
      </c>
      <c r="Q53" s="20">
        <f t="shared" si="53"/>
        <v>410.51864978264985</v>
      </c>
      <c r="R53" s="58">
        <f t="shared" si="0"/>
        <v>688.56704239443786</v>
      </c>
      <c r="S53" s="58">
        <f ca="1">AVERAGE(OFFSET($R$3,0,0,'Données projet'!$E$9+1,1))-AVERAGE(OFFSET($H$3,0,0,'Données projet'!$E$9+1,1))</f>
        <v>654.0179680178212</v>
      </c>
      <c r="T53" s="58">
        <f t="shared" si="34"/>
        <v>289.42065570013369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37.54000000000002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0.34400000000000003</v>
      </c>
      <c r="Y53" s="16">
        <f>IF(ISNA(VLOOKUP(A53,'Données projet'!$A$35:$I$55,7,0)),0%,VLOOKUP(A53,'Données projet'!$A$35:$I$55,7,0))</f>
        <v>0.2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25.085911282565853</v>
      </c>
      <c r="AB53" s="21">
        <f>EXP(-LN(2)/2)*AB52+(1-EXP(-LN(2)/2))/(LN(2)/2)*V53*Y53*VLOOKUP('Données projet'!$B$9,Paramètres!$A$1:$I$89,3,0)*0.475*44/12</f>
        <v>6.8845823591112083</v>
      </c>
      <c r="AC53" s="22">
        <f t="shared" si="3"/>
        <v>31.970493641677059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17.857000000000006</v>
      </c>
      <c r="AI53" s="13">
        <f>IF('Données projet'!$A$62&gt;35,AI52+AH53-AQ52,IF(A53&lt;'Données projet'!$A$62,$AF$205^A53,IF(A53='Données projet'!$A$62,'Données projet'!$B$62,AI52+AH53-AQ52)))</f>
        <v>444.55800000000005</v>
      </c>
      <c r="AJ53" s="13">
        <f>AI53*VLOOKUP('Données projet'!$B$10,Paramètres!$A$1:$I$89,3,0)*VLOOKUP('Données projet'!$B$10,Paramètres!$A$1:$I$89,5,0)</f>
        <v>265.84568400000006</v>
      </c>
      <c r="AK53" s="13">
        <f t="shared" si="35"/>
        <v>63.96682452128006</v>
      </c>
      <c r="AL53" s="20">
        <f t="shared" si="4"/>
        <v>574.42345234122956</v>
      </c>
      <c r="AM53" s="58">
        <f t="shared" si="5"/>
        <v>852.47184495301758</v>
      </c>
      <c r="AN53" s="58">
        <f ca="1">AVERAGE(OFFSET($AM$3,0,0,'Données projet'!$E$10+1,1))-AVERAGE(OFFSET($H$3,0,0,'Données projet'!$E$10+1,1))</f>
        <v>447.44638185108147</v>
      </c>
      <c r="AO53" s="58">
        <f t="shared" si="36"/>
        <v>384.84260115068605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36.138056718296525</v>
      </c>
      <c r="AV53" s="21">
        <f>EXP(-LN(2)/25)*AV52+(1-EXP(-LN(2)/25))/(LN(2)/25)*Calculateur!AQ53*Calculateur!AS53*VLOOKUP('Données projet'!$B$10,Paramètres!$A$1:$I$89,3,0)*0.475*44/12</f>
        <v>19.162010140282678</v>
      </c>
      <c r="AW53" s="21">
        <f>EXP(-LN(2)/2)*AW52+(1-EXP(-LN(2)/2))/(LN(2)/2)*AQ53*AT53*VLOOKUP('Données projet'!$B$10,Paramètres!$A$1:$I$89,3,0)*0.475*44/12</f>
        <v>3.2530604002846197</v>
      </c>
      <c r="AX53" s="21">
        <f t="shared" si="6"/>
        <v>58.553127258863817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211.24662000000023</v>
      </c>
      <c r="BF53" s="13">
        <f t="shared" si="37"/>
        <v>52.207909621932217</v>
      </c>
      <c r="BG53" s="20">
        <f t="shared" si="7"/>
        <v>458.84997242486565</v>
      </c>
      <c r="BH53" s="58">
        <f t="shared" si="8"/>
        <v>736.89836503665367</v>
      </c>
      <c r="BI53" s="58">
        <f ca="1">AVERAGE(OFFSET($BH$3,0,0,'Données projet'!$E$11+1,1))-AVERAGE(OFFSET($H$3,0,0,'Données projet'!$E$11+1,1))</f>
        <v>724.99760740673071</v>
      </c>
      <c r="BJ53" s="58">
        <f t="shared" si="38"/>
        <v>318.24184272438208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28.113521264944488</v>
      </c>
      <c r="BR53" s="21">
        <f>EXP(-LN(2)/2)*BR52+(1-EXP(-LN(2)/2))/(LN(2)/2)*BL53*BO53*VLOOKUP('Données projet'!$B$11,Paramètres!$A$1:$I$89,3,0)*0.475*44/12</f>
        <v>7.7154802300384224</v>
      </c>
      <c r="BS53" s="22">
        <f t="shared" si="9"/>
        <v>35.829001494982911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10.110000000000001</v>
      </c>
      <c r="BX53" s="12">
        <f t="array" ref="BX53">INDEX(BW:BW,MIN(IF(ISNUMBER(BW53:BW249),ROW(BW53:BW249),"")))</f>
        <v>10.110000000000001</v>
      </c>
      <c r="BY53" s="12">
        <f>IF('Données projet'!$A$114&gt;35,BY52+BX53-CG52,IF(A53&lt;'Données projet'!$A$114,$BV$205^A53,IF(A53='Données projet'!$A$114,'Données projet'!$B$114,BY52+BX53-CG52)))</f>
        <v>208.33000000000021</v>
      </c>
      <c r="BZ53" s="13">
        <f>BY53*VLOOKUP('Données projet'!$B$12,Paramètres!$A$1:$I$89,3,0)*VLOOKUP('Données projet'!$B$12,Paramètres!$A$1:$I$89,5,0)</f>
        <v>198.24682800000019</v>
      </c>
      <c r="CA53" s="13">
        <f t="shared" si="39"/>
        <v>49.358676372128407</v>
      </c>
      <c r="CB53" s="20">
        <f t="shared" si="10"/>
        <v>431.24625344812392</v>
      </c>
      <c r="CC53" s="58">
        <f t="shared" si="11"/>
        <v>709.29464605991188</v>
      </c>
      <c r="CD53" s="58">
        <f ca="1">AVERAGE(OFFSET($CC$3,0,0,'Données projet'!$E$12+1,1))-AVERAGE(OFFSET($H$3,0,0,'Données projet'!$E$12+1,1))</f>
        <v>684.45757350513315</v>
      </c>
      <c r="CE53" s="58">
        <f t="shared" si="40"/>
        <v>301.78148341369194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37.54000000000002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26.383458417870983</v>
      </c>
      <c r="CM53" s="21">
        <f>EXP(-LN(2)/2)*CM52+(1-EXP(-LN(2)/2))/(LN(2)/2)*CG53*CJ53*VLOOKUP('Données projet'!$B$12,Paramètres!$A$1:$I$89,3,0)*0.475*44/12</f>
        <v>7.2406814466514442</v>
      </c>
      <c r="CN53" s="22">
        <f t="shared" si="12"/>
        <v>33.624139864522427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8" t="e">
        <f t="shared" si="14"/>
        <v>#N/A</v>
      </c>
      <c r="CY53" s="58" t="e">
        <f ca="1">AVERAGE(OFFSET($CX$3,0,0,'Données projet'!$E$13+1,1))-AVERAGE(OFFSET($H$3,0,0,'Données projet'!$E$13+1,1))</f>
        <v>#N/A</v>
      </c>
      <c r="CZ53" s="58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8" t="e">
        <f t="shared" si="17"/>
        <v>#N/A</v>
      </c>
      <c r="DT53" s="58" t="e">
        <f ca="1">AVERAGE(OFFSET($DS$3,0,0,'Données projet'!$E$14+1,1))-AVERAGE(OFFSET($H$3,0,0,'Données projet'!$E$14+1,1))</f>
        <v>#N/A</v>
      </c>
      <c r="DU53" s="58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8" t="e">
        <f t="shared" si="20"/>
        <v>#N/A</v>
      </c>
      <c r="EO53" s="58" t="e">
        <f ca="1">AVERAGE(OFFSET($EN$3,0,0,'Données projet'!$E$15+1,1))-AVERAGE(OFFSET($H$3,0,0,'Données projet'!$E$15+1,1))</f>
        <v>#N/A</v>
      </c>
      <c r="EP53" s="58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8" t="e">
        <f t="shared" si="23"/>
        <v>#N/A</v>
      </c>
      <c r="FJ53" s="58" t="e">
        <f ca="1">AVERAGE(OFFSET($FI$3,0,0,'Données projet'!$E$16+1,1))-AVERAGE(OFFSET($H$3,0,0,'Données projet'!$E$16+1,1))</f>
        <v>#N/A</v>
      </c>
      <c r="FK53" s="58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8" t="e">
        <f t="shared" si="26"/>
        <v>#N/A</v>
      </c>
      <c r="GE53" s="58" t="e">
        <f ca="1">AVERAGE(OFFSET($GD$3,0,0,'Données projet'!$E$17+1,1))-AVERAGE(OFFSET($H$3,0,0,'Données projet'!$E$17+1,1))</f>
        <v>#N/A</v>
      </c>
      <c r="GF53" s="58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65.831379803214915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8" t="e">
        <f t="shared" si="29"/>
        <v>#N/A</v>
      </c>
      <c r="GZ53" s="58" t="e">
        <f ca="1">AVERAGE(OFFSET($GY$3,0,0,'Données projet'!$E$18+1,1))-AVERAGE(OFFSET($H$3,0,0,'Données projet'!$E$18+1,1))</f>
        <v>#N/A</v>
      </c>
      <c r="HA53" s="58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2">
        <f>'Scénario référence'!$B$16*5+'Scénario référence'!$B$17*0+'Scénario référence'!$B$18*5</f>
        <v>2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7.333333333333333</v>
      </c>
      <c r="H54" s="66">
        <f t="shared" si="1"/>
        <v>227.33333333333334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10.36375</v>
      </c>
      <c r="N54" s="13">
        <f>IF('Données projet'!$A$36&gt;35,N53+M54-V53,IF(A54&lt;'Données projet'!$A$36,$K$205^A54,IF(A54='Données projet'!$A$36,'Données projet'!$B$36,N53+M54-V53)))</f>
        <v>181.1537500000002</v>
      </c>
      <c r="O54" s="13">
        <f>N54*VLOOKUP('Données projet'!$B$9,Paramètres!$A$1:$I$89,3,0)*VLOOKUP('Données projet'!$B$9,Paramètres!$A$1:$I$89,5,0)</f>
        <v>163.90791300000018</v>
      </c>
      <c r="P54" s="13">
        <f t="shared" si="33"/>
        <v>41.72271436472046</v>
      </c>
      <c r="Q54" s="20">
        <f t="shared" si="53"/>
        <v>358.14000932688845</v>
      </c>
      <c r="R54" s="58">
        <f t="shared" si="0"/>
        <v>636.45356148818723</v>
      </c>
      <c r="S54" s="58">
        <f ca="1">AVERAGE(OFFSET($R$3,0,0,'Données projet'!$E$9+1,1))-AVERAGE(OFFSET($H$3,0,0,'Données projet'!$E$9+1,1))</f>
        <v>654.0179680178212</v>
      </c>
      <c r="T54" s="58">
        <f t="shared" si="34"/>
        <v>289.42065570013369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24.399935719333349</v>
      </c>
      <c r="AB54" s="21">
        <f>EXP(-LN(2)/2)*AB53+(1-EXP(-LN(2)/2))/(LN(2)/2)*V54*Y54*VLOOKUP('Données projet'!$B$9,Paramètres!$A$1:$I$89,3,0)*0.475*44/12</f>
        <v>4.8681348717648145</v>
      </c>
      <c r="AC54" s="22">
        <f t="shared" si="3"/>
        <v>29.268070591098166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17.857000000000006</v>
      </c>
      <c r="AI54" s="13">
        <f>IF('Données projet'!$A$62&gt;35,AI53+AH54-AQ53,IF(A54&lt;'Données projet'!$A$62,$AF$205^A54,IF(A54='Données projet'!$A$62,'Données projet'!$B$62,AI53+AH54-AQ53)))</f>
        <v>462.41500000000008</v>
      </c>
      <c r="AJ54" s="13">
        <f>AI54*VLOOKUP('Données projet'!$B$10,Paramètres!$A$1:$I$89,3,0)*VLOOKUP('Données projet'!$B$10,Paramètres!$A$1:$I$89,5,0)</f>
        <v>276.52417000000008</v>
      </c>
      <c r="AK54" s="13">
        <f t="shared" si="35"/>
        <v>66.231932926439853</v>
      </c>
      <c r="AL54" s="20">
        <f t="shared" si="4"/>
        <v>596.96687926354946</v>
      </c>
      <c r="AM54" s="58">
        <f t="shared" si="5"/>
        <v>875.28043142484819</v>
      </c>
      <c r="AN54" s="58">
        <f ca="1">AVERAGE(OFFSET($AM$3,0,0,'Données projet'!$E$10+1,1))-AVERAGE(OFFSET($H$3,0,0,'Données projet'!$E$10+1,1))</f>
        <v>447.44638185108147</v>
      </c>
      <c r="AO54" s="58">
        <f t="shared" si="36"/>
        <v>384.84260115068605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35.429411468088858</v>
      </c>
      <c r="AV54" s="21">
        <f>EXP(-LN(2)/25)*AV53+(1-EXP(-LN(2)/25))/(LN(2)/25)*Calculateur!AQ54*Calculateur!AS54*VLOOKUP('Données projet'!$B$10,Paramètres!$A$1:$I$89,3,0)*0.475*44/12</f>
        <v>18.638023965310332</v>
      </c>
      <c r="AW54" s="21">
        <f>EXP(-LN(2)/2)*AW53+(1-EXP(-LN(2)/2))/(LN(2)/2)*AQ54*AT54*VLOOKUP('Données projet'!$B$10,Paramètres!$A$1:$I$89,3,0)*0.475*44/12</f>
        <v>2.3002610686506793</v>
      </c>
      <c r="AX54" s="21">
        <f t="shared" si="6"/>
        <v>56.367696502049867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183.68990250000022</v>
      </c>
      <c r="BF54" s="13">
        <f t="shared" si="37"/>
        <v>46.142149449949819</v>
      </c>
      <c r="BG54" s="20">
        <f t="shared" si="7"/>
        <v>400.29082381282961</v>
      </c>
      <c r="BH54" s="58">
        <f t="shared" si="8"/>
        <v>678.60437597412829</v>
      </c>
      <c r="BI54" s="58">
        <f ca="1">AVERAGE(OFFSET($BH$3,0,0,'Données projet'!$E$11+1,1))-AVERAGE(OFFSET($H$3,0,0,'Données projet'!$E$11+1,1))</f>
        <v>724.99760740673071</v>
      </c>
      <c r="BJ54" s="58">
        <f t="shared" si="38"/>
        <v>318.24184272438208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27.344755547528752</v>
      </c>
      <c r="BR54" s="21">
        <f>EXP(-LN(2)/2)*BR53+(1-EXP(-LN(2)/2))/(LN(2)/2)*BL54*BO54*VLOOKUP('Données projet'!$B$11,Paramètres!$A$1:$I$89,3,0)*0.475*44/12</f>
        <v>5.4556683907709127</v>
      </c>
      <c r="BS54" s="22">
        <f t="shared" si="9"/>
        <v>32.800423938299666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10.36375</v>
      </c>
      <c r="BY54" s="12">
        <f>IF('Données projet'!$A$114&gt;35,BY53+BX54-CG53,IF(A54&lt;'Données projet'!$A$114,$BV$205^A54,IF(A54='Données projet'!$A$114,'Données projet'!$B$114,BY53+BX54-CG53)))</f>
        <v>181.1537500000002</v>
      </c>
      <c r="BZ54" s="13">
        <f>BY54*VLOOKUP('Données projet'!$B$12,Paramètres!$A$1:$I$89,3,0)*VLOOKUP('Données projet'!$B$12,Paramètres!$A$1:$I$89,5,0)</f>
        <v>172.3859085000002</v>
      </c>
      <c r="CA54" s="13">
        <f t="shared" si="39"/>
        <v>43.623953502587391</v>
      </c>
      <c r="CB54" s="20">
        <f t="shared" si="10"/>
        <v>376.21717632117338</v>
      </c>
      <c r="CC54" s="58">
        <f t="shared" si="11"/>
        <v>654.53072848247211</v>
      </c>
      <c r="CD54" s="58">
        <f ca="1">AVERAGE(OFFSET($CC$3,0,0,'Données projet'!$E$12+1,1))-AVERAGE(OFFSET($H$3,0,0,'Données projet'!$E$12+1,1))</f>
        <v>684.45757350513315</v>
      </c>
      <c r="CE54" s="58">
        <f t="shared" si="40"/>
        <v>301.78148341369194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25.662001359988523</v>
      </c>
      <c r="CM54" s="21">
        <f>EXP(-LN(2)/2)*CM53+(1-EXP(-LN(2)/2))/(LN(2)/2)*CG54*CJ54*VLOOKUP('Données projet'!$B$12,Paramètres!$A$1:$I$89,3,0)*0.475*44/12</f>
        <v>5.1199349513388572</v>
      </c>
      <c r="CN54" s="22">
        <f t="shared" si="12"/>
        <v>30.781936311327378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8" t="e">
        <f t="shared" si="14"/>
        <v>#N/A</v>
      </c>
      <c r="CY54" s="58" t="e">
        <f ca="1">AVERAGE(OFFSET($CX$3,0,0,'Données projet'!$E$13+1,1))-AVERAGE(OFFSET($H$3,0,0,'Données projet'!$E$13+1,1))</f>
        <v>#N/A</v>
      </c>
      <c r="CZ54" s="58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8" t="e">
        <f t="shared" si="17"/>
        <v>#N/A</v>
      </c>
      <c r="DT54" s="58" t="e">
        <f ca="1">AVERAGE(OFFSET($DS$3,0,0,'Données projet'!$E$14+1,1))-AVERAGE(OFFSET($H$3,0,0,'Données projet'!$E$14+1,1))</f>
        <v>#N/A</v>
      </c>
      <c r="DU54" s="58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8" t="e">
        <f t="shared" si="20"/>
        <v>#N/A</v>
      </c>
      <c r="EO54" s="58" t="e">
        <f ca="1">AVERAGE(OFFSET($EN$3,0,0,'Données projet'!$E$15+1,1))-AVERAGE(OFFSET($H$3,0,0,'Données projet'!$E$15+1,1))</f>
        <v>#N/A</v>
      </c>
      <c r="EP54" s="58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8" t="e">
        <f t="shared" si="23"/>
        <v>#N/A</v>
      </c>
      <c r="FJ54" s="58" t="e">
        <f ca="1">AVERAGE(OFFSET($FI$3,0,0,'Données projet'!$E$16+1,1))-AVERAGE(OFFSET($H$3,0,0,'Données projet'!$E$16+1,1))</f>
        <v>#N/A</v>
      </c>
      <c r="FK54" s="58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8" t="e">
        <f t="shared" si="26"/>
        <v>#N/A</v>
      </c>
      <c r="GE54" s="58" t="e">
        <f ca="1">AVERAGE(OFFSET($GD$3,0,0,'Données projet'!$E$17+1,1))-AVERAGE(OFFSET($H$3,0,0,'Données projet'!$E$17+1,1))</f>
        <v>#N/A</v>
      </c>
      <c r="GF54" s="58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65.903696043990564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8" t="e">
        <f t="shared" si="29"/>
        <v>#N/A</v>
      </c>
      <c r="GZ54" s="58" t="e">
        <f ca="1">AVERAGE(OFFSET($GY$3,0,0,'Données projet'!$E$18+1,1))-AVERAGE(OFFSET($H$3,0,0,'Données projet'!$E$18+1,1))</f>
        <v>#N/A</v>
      </c>
      <c r="HA54" s="58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2">
        <f>'Scénario référence'!$B$16*5+'Scénario référence'!$B$17*0+'Scénario référence'!$B$18*5</f>
        <v>2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7.333333333333333</v>
      </c>
      <c r="H55" s="66">
        <f t="shared" si="1"/>
        <v>227.33333333333334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10.36375</v>
      </c>
      <c r="N55" s="13">
        <f>IF('Données projet'!$A$36&gt;35,N54+M55-V54,IF(A55&lt;'Données projet'!$A$36,$K$205^A55,IF(A55='Données projet'!$A$36,'Données projet'!$B$36,N54+M55-V54)))</f>
        <v>191.51750000000021</v>
      </c>
      <c r="O55" s="13">
        <f>N55*VLOOKUP('Données projet'!$B$9,Paramètres!$A$1:$I$89,3,0)*VLOOKUP('Données projet'!$B$9,Paramètres!$A$1:$I$89,5,0)</f>
        <v>173.28503400000019</v>
      </c>
      <c r="P55" s="13">
        <f t="shared" si="33"/>
        <v>43.82494037101592</v>
      </c>
      <c r="Q55" s="20">
        <f t="shared" si="53"/>
        <v>378.133205362853</v>
      </c>
      <c r="R55" s="58">
        <f t="shared" si="0"/>
        <v>656.70731714828639</v>
      </c>
      <c r="S55" s="58">
        <f ca="1">AVERAGE(OFFSET($R$3,0,0,'Données projet'!$E$9+1,1))-AVERAGE(OFFSET($H$3,0,0,'Données projet'!$E$9+1,1))</f>
        <v>654.0179680178212</v>
      </c>
      <c r="T55" s="58">
        <f t="shared" si="34"/>
        <v>289.42065570013369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23.732718193951328</v>
      </c>
      <c r="AB55" s="21">
        <f>EXP(-LN(2)/2)*AB54+(1-EXP(-LN(2)/2))/(LN(2)/2)*V55*Y55*VLOOKUP('Données projet'!$B$9,Paramètres!$A$1:$I$89,3,0)*0.475*44/12</f>
        <v>3.4422911795556046</v>
      </c>
      <c r="AC55" s="22">
        <f t="shared" si="3"/>
        <v>27.175009373506931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17.857000000000006</v>
      </c>
      <c r="AI55" s="13">
        <f>IF('Données projet'!$A$62&gt;35,AI54+AH55-AQ54,IF(A55&lt;'Données projet'!$A$62,$AF$205^A55,IF(A55='Données projet'!$A$62,'Données projet'!$B$62,AI54+AH55-AQ54)))</f>
        <v>480.27200000000011</v>
      </c>
      <c r="AJ55" s="13">
        <f>AI55*VLOOKUP('Données projet'!$B$10,Paramètres!$A$1:$I$89,3,0)*VLOOKUP('Données projet'!$B$10,Paramètres!$A$1:$I$89,5,0)</f>
        <v>287.20265600000005</v>
      </c>
      <c r="AK55" s="13">
        <f t="shared" si="35"/>
        <v>68.486879853887146</v>
      </c>
      <c r="AL55" s="20">
        <f t="shared" si="4"/>
        <v>619.49260827885348</v>
      </c>
      <c r="AM55" s="58">
        <f t="shared" si="5"/>
        <v>898.06672006428687</v>
      </c>
      <c r="AN55" s="58">
        <f ca="1">AVERAGE(OFFSET($AM$3,0,0,'Données projet'!$E$10+1,1))-AVERAGE(OFFSET($H$3,0,0,'Données projet'!$E$10+1,1))</f>
        <v>447.44638185108147</v>
      </c>
      <c r="AO55" s="58">
        <f t="shared" si="36"/>
        <v>384.84260115068605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34.734662319006837</v>
      </c>
      <c r="AV55" s="21">
        <f>EXP(-LN(2)/25)*AV54+(1-EXP(-LN(2)/25))/(LN(2)/25)*Calculateur!AQ55*Calculateur!AS55*VLOOKUP('Données projet'!$B$10,Paramètres!$A$1:$I$89,3,0)*0.475*44/12</f>
        <v>18.128366219847837</v>
      </c>
      <c r="AW55" s="21">
        <f>EXP(-LN(2)/2)*AW54+(1-EXP(-LN(2)/2))/(LN(2)/2)*AQ55*AT55*VLOOKUP('Données projet'!$B$10,Paramètres!$A$1:$I$89,3,0)*0.475*44/12</f>
        <v>1.6265302001423099</v>
      </c>
      <c r="AX55" s="21">
        <f t="shared" si="6"/>
        <v>54.48955873899699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194.19874500000023</v>
      </c>
      <c r="BF55" s="13">
        <f t="shared" si="37"/>
        <v>48.467051557519213</v>
      </c>
      <c r="BG55" s="20">
        <f t="shared" si="7"/>
        <v>422.64292900434634</v>
      </c>
      <c r="BH55" s="58">
        <f t="shared" si="8"/>
        <v>701.21704078977973</v>
      </c>
      <c r="BI55" s="58">
        <f ca="1">AVERAGE(OFFSET($BH$3,0,0,'Données projet'!$E$11+1,1))-AVERAGE(OFFSET($H$3,0,0,'Données projet'!$E$11+1,1))</f>
        <v>724.99760740673071</v>
      </c>
      <c r="BJ55" s="58">
        <f t="shared" si="38"/>
        <v>318.24184272438208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26.59701176908338</v>
      </c>
      <c r="BR55" s="21">
        <f>EXP(-LN(2)/2)*BR54+(1-EXP(-LN(2)/2))/(LN(2)/2)*BL55*BO55*VLOOKUP('Données projet'!$B$11,Paramètres!$A$1:$I$89,3,0)*0.475*44/12</f>
        <v>3.8577401150192121</v>
      </c>
      <c r="BS55" s="22">
        <f t="shared" si="9"/>
        <v>30.454751884102592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10.36375</v>
      </c>
      <c r="BY55" s="12">
        <f>IF('Données projet'!$A$114&gt;35,BY54+BX55-CG54,IF(A55&lt;'Données projet'!$A$114,$BV$205^A55,IF(A55='Données projet'!$A$114,'Données projet'!$B$114,BY54+BX55-CG54)))</f>
        <v>191.51750000000021</v>
      </c>
      <c r="BZ55" s="13">
        <f>BY55*VLOOKUP('Données projet'!$B$12,Paramètres!$A$1:$I$89,3,0)*VLOOKUP('Données projet'!$B$12,Paramètres!$A$1:$I$89,5,0)</f>
        <v>182.2480530000002</v>
      </c>
      <c r="CA55" s="13">
        <f t="shared" si="39"/>
        <v>45.821974675153001</v>
      </c>
      <c r="CB55" s="20">
        <f t="shared" si="10"/>
        <v>397.22196486755848</v>
      </c>
      <c r="CC55" s="58">
        <f t="shared" si="11"/>
        <v>675.79607665299181</v>
      </c>
      <c r="CD55" s="58">
        <f ca="1">AVERAGE(OFFSET($CC$3,0,0,'Données projet'!$E$12+1,1))-AVERAGE(OFFSET($H$3,0,0,'Données projet'!$E$12+1,1))</f>
        <v>684.45757350513315</v>
      </c>
      <c r="CE55" s="58">
        <f t="shared" si="40"/>
        <v>301.78148341369194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24.960272583293637</v>
      </c>
      <c r="CM55" s="21">
        <f>EXP(-LN(2)/2)*CM54+(1-EXP(-LN(2)/2))/(LN(2)/2)*CG55*CJ55*VLOOKUP('Données projet'!$B$12,Paramètres!$A$1:$I$89,3,0)*0.475*44/12</f>
        <v>3.6203407233257225</v>
      </c>
      <c r="CN55" s="22">
        <f t="shared" si="12"/>
        <v>28.580613306619359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8" t="e">
        <f t="shared" si="14"/>
        <v>#N/A</v>
      </c>
      <c r="CY55" s="58" t="e">
        <f ca="1">AVERAGE(OFFSET($CX$3,0,0,'Données projet'!$E$13+1,1))-AVERAGE(OFFSET($H$3,0,0,'Données projet'!$E$13+1,1))</f>
        <v>#N/A</v>
      </c>
      <c r="CZ55" s="58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8" t="e">
        <f t="shared" si="17"/>
        <v>#N/A</v>
      </c>
      <c r="DT55" s="58" t="e">
        <f ca="1">AVERAGE(OFFSET($DS$3,0,0,'Données projet'!$E$14+1,1))-AVERAGE(OFFSET($H$3,0,0,'Données projet'!$E$14+1,1))</f>
        <v>#N/A</v>
      </c>
      <c r="DU55" s="58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8" t="e">
        <f t="shared" si="20"/>
        <v>#N/A</v>
      </c>
      <c r="EO55" s="58" t="e">
        <f ca="1">AVERAGE(OFFSET($EN$3,0,0,'Données projet'!$E$15+1,1))-AVERAGE(OFFSET($H$3,0,0,'Données projet'!$E$15+1,1))</f>
        <v>#N/A</v>
      </c>
      <c r="EP55" s="58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8" t="e">
        <f t="shared" si="23"/>
        <v>#N/A</v>
      </c>
      <c r="FJ55" s="58" t="e">
        <f ca="1">AVERAGE(OFFSET($FI$3,0,0,'Données projet'!$E$16+1,1))-AVERAGE(OFFSET($H$3,0,0,'Données projet'!$E$16+1,1))</f>
        <v>#N/A</v>
      </c>
      <c r="FK55" s="58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8" t="e">
        <f t="shared" si="26"/>
        <v>#N/A</v>
      </c>
      <c r="GE55" s="58" t="e">
        <f ca="1">AVERAGE(OFFSET($GD$3,0,0,'Données projet'!$E$17+1,1))-AVERAGE(OFFSET($H$3,0,0,'Données projet'!$E$17+1,1))</f>
        <v>#N/A</v>
      </c>
      <c r="GF55" s="58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65.974757759663646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8" t="e">
        <f t="shared" si="29"/>
        <v>#N/A</v>
      </c>
      <c r="GZ55" s="58" t="e">
        <f ca="1">AVERAGE(OFFSET($GY$3,0,0,'Données projet'!$E$18+1,1))-AVERAGE(OFFSET($H$3,0,0,'Données projet'!$E$18+1,1))</f>
        <v>#N/A</v>
      </c>
      <c r="HA55" s="58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2">
        <f>'Scénario référence'!$B$16*5+'Scénario référence'!$B$17*0+'Scénario référence'!$B$18*5</f>
        <v>2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7.333333333333333</v>
      </c>
      <c r="H56" s="66">
        <f t="shared" si="1"/>
        <v>227.33333333333334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10.36375</v>
      </c>
      <c r="N56" s="13">
        <f>IF('Données projet'!$A$36&gt;35,N55+M56-V55,IF(A56&lt;'Données projet'!$A$36,$K$205^A56,IF(A56='Données projet'!$A$36,'Données projet'!$B$36,N55+M56-V55)))</f>
        <v>201.88125000000022</v>
      </c>
      <c r="O56" s="13">
        <f>N56*VLOOKUP('Données projet'!$B$9,Paramètres!$A$1:$I$89,3,0)*VLOOKUP('Données projet'!$B$9,Paramètres!$A$1:$I$89,5,0)</f>
        <v>182.66215500000018</v>
      </c>
      <c r="P56" s="13">
        <f t="shared" si="33"/>
        <v>45.913959577546748</v>
      </c>
      <c r="Q56" s="20">
        <f t="shared" si="53"/>
        <v>398.10339955589421</v>
      </c>
      <c r="R56" s="58">
        <f t="shared" si="0"/>
        <v>676.93355083850747</v>
      </c>
      <c r="S56" s="58">
        <f ca="1">AVERAGE(OFFSET($R$3,0,0,'Données projet'!$E$9+1,1))-AVERAGE(OFFSET($H$3,0,0,'Données projet'!$E$9+1,1))</f>
        <v>654.0179680178212</v>
      </c>
      <c r="T56" s="58">
        <f t="shared" si="34"/>
        <v>289.42065570013369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23.08374576688832</v>
      </c>
      <c r="AB56" s="21">
        <f>EXP(-LN(2)/2)*AB55+(1-EXP(-LN(2)/2))/(LN(2)/2)*V56*Y56*VLOOKUP('Données projet'!$B$9,Paramètres!$A$1:$I$89,3,0)*0.475*44/12</f>
        <v>2.4340674358824077</v>
      </c>
      <c r="AC56" s="22">
        <f t="shared" si="3"/>
        <v>25.517813202770729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17.857000000000006</v>
      </c>
      <c r="AI56" s="13">
        <f>IF('Données projet'!$A$62&gt;35,AI55+AH56-AQ55,IF(A56&lt;'Données projet'!$A$62,$AF$205^A56,IF(A56='Données projet'!$A$62,'Données projet'!$B$62,AI55+AH56-AQ55)))</f>
        <v>498.12900000000013</v>
      </c>
      <c r="AJ56" s="13">
        <f>AI56*VLOOKUP('Données projet'!$B$10,Paramètres!$A$1:$I$89,3,0)*VLOOKUP('Données projet'!$B$10,Paramètres!$A$1:$I$89,5,0)</f>
        <v>297.88114200000007</v>
      </c>
      <c r="AK56" s="13">
        <f t="shared" si="35"/>
        <v>70.732086381240663</v>
      </c>
      <c r="AL56" s="20">
        <f t="shared" si="4"/>
        <v>642.00137276399425</v>
      </c>
      <c r="AM56" s="58">
        <f t="shared" si="5"/>
        <v>920.83152404660757</v>
      </c>
      <c r="AN56" s="58">
        <f ca="1">AVERAGE(OFFSET($AM$3,0,0,'Données projet'!$E$10+1,1))-AVERAGE(OFFSET($H$3,0,0,'Données projet'!$E$10+1,1))</f>
        <v>447.44638185108147</v>
      </c>
      <c r="AO56" s="58">
        <f t="shared" si="36"/>
        <v>384.84260115068605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34.053536776983179</v>
      </c>
      <c r="AV56" s="21">
        <f>EXP(-LN(2)/25)*AV55+(1-EXP(-LN(2)/25))/(LN(2)/25)*Calculateur!AQ56*Calculateur!AS56*VLOOKUP('Données projet'!$B$10,Paramètres!$A$1:$I$89,3,0)*0.475*44/12</f>
        <v>17.632645092236753</v>
      </c>
      <c r="AW56" s="21">
        <f>EXP(-LN(2)/2)*AW55+(1-EXP(-LN(2)/2))/(LN(2)/2)*AQ56*AT56*VLOOKUP('Données projet'!$B$10,Paramètres!$A$1:$I$89,3,0)*0.475*44/12</f>
        <v>1.1501305343253396</v>
      </c>
      <c r="AX56" s="21">
        <f t="shared" si="6"/>
        <v>52.836312403545278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204.70758750000024</v>
      </c>
      <c r="BF56" s="13">
        <f t="shared" si="37"/>
        <v>50.777347948807439</v>
      </c>
      <c r="BG56" s="20">
        <f t="shared" si="7"/>
        <v>444.96959590667331</v>
      </c>
      <c r="BH56" s="58">
        <f t="shared" si="8"/>
        <v>723.79974718928656</v>
      </c>
      <c r="BI56" s="58">
        <f ca="1">AVERAGE(OFFSET($BH$3,0,0,'Données projet'!$E$11+1,1))-AVERAGE(OFFSET($H$3,0,0,'Données projet'!$E$11+1,1))</f>
        <v>724.99760740673071</v>
      </c>
      <c r="BJ56" s="58">
        <f t="shared" si="38"/>
        <v>318.24184272438208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25.869715083581735</v>
      </c>
      <c r="BR56" s="21">
        <f>EXP(-LN(2)/2)*BR55+(1-EXP(-LN(2)/2))/(LN(2)/2)*BL56*BO56*VLOOKUP('Données projet'!$B$11,Paramètres!$A$1:$I$89,3,0)*0.475*44/12</f>
        <v>2.7278341953854568</v>
      </c>
      <c r="BS56" s="22">
        <f t="shared" si="9"/>
        <v>28.597549278967193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10.36375</v>
      </c>
      <c r="BY56" s="12">
        <f>IF('Données projet'!$A$114&gt;35,BY55+BX56-CG55,IF(A56&lt;'Données projet'!$A$114,$BV$205^A56,IF(A56='Données projet'!$A$114,'Données projet'!$B$114,BY55+BX56-CG55)))</f>
        <v>201.88125000000022</v>
      </c>
      <c r="BZ56" s="13">
        <f>BY56*VLOOKUP('Données projet'!$B$12,Paramètres!$A$1:$I$89,3,0)*VLOOKUP('Données projet'!$B$12,Paramètres!$A$1:$I$89,5,0)</f>
        <v>192.11019750000023</v>
      </c>
      <c r="CA56" s="13">
        <f t="shared" si="39"/>
        <v>48.00618723464968</v>
      </c>
      <c r="CB56" s="20">
        <f t="shared" si="10"/>
        <v>418.20270341284862</v>
      </c>
      <c r="CC56" s="58">
        <f t="shared" si="11"/>
        <v>697.03285469546199</v>
      </c>
      <c r="CD56" s="58">
        <f ca="1">AVERAGE(OFFSET($CC$3,0,0,'Données projet'!$E$12+1,1))-AVERAGE(OFFSET($H$3,0,0,'Données projet'!$E$12+1,1))</f>
        <v>684.45757350513315</v>
      </c>
      <c r="CE56" s="58">
        <f t="shared" si="40"/>
        <v>301.78148341369194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24.277732616899787</v>
      </c>
      <c r="CM56" s="21">
        <f>EXP(-LN(2)/2)*CM55+(1-EXP(-LN(2)/2))/(LN(2)/2)*CG56*CJ56*VLOOKUP('Données projet'!$B$12,Paramètres!$A$1:$I$89,3,0)*0.475*44/12</f>
        <v>2.5599674756694291</v>
      </c>
      <c r="CN56" s="22">
        <f t="shared" si="12"/>
        <v>26.837700092569214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8" t="e">
        <f t="shared" si="14"/>
        <v>#N/A</v>
      </c>
      <c r="CY56" s="58" t="e">
        <f ca="1">AVERAGE(OFFSET($CX$3,0,0,'Données projet'!$E$13+1,1))-AVERAGE(OFFSET($H$3,0,0,'Données projet'!$E$13+1,1))</f>
        <v>#N/A</v>
      </c>
      <c r="CZ56" s="58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8" t="e">
        <f t="shared" si="17"/>
        <v>#N/A</v>
      </c>
      <c r="DT56" s="58" t="e">
        <f ca="1">AVERAGE(OFFSET($DS$3,0,0,'Données projet'!$E$14+1,1))-AVERAGE(OFFSET($H$3,0,0,'Données projet'!$E$14+1,1))</f>
        <v>#N/A</v>
      </c>
      <c r="DU56" s="58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8" t="e">
        <f t="shared" si="20"/>
        <v>#N/A</v>
      </c>
      <c r="EO56" s="58" t="e">
        <f ca="1">AVERAGE(OFFSET($EN$3,0,0,'Données projet'!$E$15+1,1))-AVERAGE(OFFSET($H$3,0,0,'Données projet'!$E$15+1,1))</f>
        <v>#N/A</v>
      </c>
      <c r="EP56" s="58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8" t="e">
        <f t="shared" si="23"/>
        <v>#N/A</v>
      </c>
      <c r="FJ56" s="58" t="e">
        <f ca="1">AVERAGE(OFFSET($FI$3,0,0,'Données projet'!$E$16+1,1))-AVERAGE(OFFSET($H$3,0,0,'Données projet'!$E$16+1,1))</f>
        <v>#N/A</v>
      </c>
      <c r="FK56" s="58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8" t="e">
        <f t="shared" si="26"/>
        <v>#N/A</v>
      </c>
      <c r="GE56" s="58" t="e">
        <f ca="1">AVERAGE(OFFSET($GD$3,0,0,'Données projet'!$E$17+1,1))-AVERAGE(OFFSET($H$3,0,0,'Données projet'!$E$17+1,1))</f>
        <v>#N/A</v>
      </c>
      <c r="GF56" s="58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66.044586713439998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8" t="e">
        <f t="shared" si="29"/>
        <v>#N/A</v>
      </c>
      <c r="GZ56" s="58" t="e">
        <f ca="1">AVERAGE(OFFSET($GY$3,0,0,'Données projet'!$E$18+1,1))-AVERAGE(OFFSET($H$3,0,0,'Données projet'!$E$18+1,1))</f>
        <v>#N/A</v>
      </c>
      <c r="HA56" s="58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2">
        <f>'Scénario référence'!$B$16*5+'Scénario référence'!$B$17*0+'Scénario référence'!$B$18*5</f>
        <v>2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7.333333333333333</v>
      </c>
      <c r="H57" s="66">
        <f t="shared" si="1"/>
        <v>227.33333333333334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10.36375</v>
      </c>
      <c r="N57" s="13">
        <f>IF('Données projet'!$A$36&gt;35,N56+M57-V56,IF(A57&lt;'Données projet'!$A$36,$K$205^A57,IF(A57='Données projet'!$A$36,'Données projet'!$B$36,N56+M57-V56)))</f>
        <v>212.24500000000023</v>
      </c>
      <c r="O57" s="13">
        <f>N57*VLOOKUP('Données projet'!$B$9,Paramètres!$A$1:$I$89,3,0)*VLOOKUP('Données projet'!$B$9,Paramètres!$A$1:$I$89,5,0)</f>
        <v>192.0392760000002</v>
      </c>
      <c r="P57" s="13">
        <f t="shared" si="33"/>
        <v>47.990527307113453</v>
      </c>
      <c r="Q57" s="20">
        <f t="shared" si="53"/>
        <v>418.05190742655623</v>
      </c>
      <c r="R57" s="58">
        <f t="shared" si="0"/>
        <v>697.13365649349203</v>
      </c>
      <c r="S57" s="58">
        <f ca="1">AVERAGE(OFFSET($R$3,0,0,'Données projet'!$E$9+1,1))-AVERAGE(OFFSET($H$3,0,0,'Données projet'!$E$9+1,1))</f>
        <v>654.0179680178212</v>
      </c>
      <c r="T57" s="58">
        <f t="shared" si="34"/>
        <v>289.42065570013369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22.452519524971329</v>
      </c>
      <c r="AB57" s="21">
        <f>EXP(-LN(2)/2)*AB56+(1-EXP(-LN(2)/2))/(LN(2)/2)*V57*Y57*VLOOKUP('Données projet'!$B$9,Paramètres!$A$1:$I$89,3,0)*0.475*44/12</f>
        <v>1.7211455897778025</v>
      </c>
      <c r="AC57" s="22">
        <f t="shared" si="3"/>
        <v>24.173665114749131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17.857000000000006</v>
      </c>
      <c r="AI57" s="13">
        <f>IF('Données projet'!$A$62&gt;35,AI56+AH57-AQ56,IF(A57&lt;'Données projet'!$A$62,$AF$205^A57,IF(A57='Données projet'!$A$62,'Données projet'!$B$62,AI56+AH57-AQ56)))</f>
        <v>515.9860000000001</v>
      </c>
      <c r="AJ57" s="13">
        <f>AI57*VLOOKUP('Données projet'!$B$10,Paramètres!$A$1:$I$89,3,0)*VLOOKUP('Données projet'!$B$10,Paramètres!$A$1:$I$89,5,0)</f>
        <v>308.55962800000009</v>
      </c>
      <c r="AK57" s="13">
        <f t="shared" si="35"/>
        <v>72.967941685104847</v>
      </c>
      <c r="AL57" s="20">
        <f t="shared" si="4"/>
        <v>664.49385053489107</v>
      </c>
      <c r="AM57" s="58">
        <f t="shared" si="5"/>
        <v>943.57559960182675</v>
      </c>
      <c r="AN57" s="58">
        <f ca="1">AVERAGE(OFFSET($AM$3,0,0,'Données projet'!$E$10+1,1))-AVERAGE(OFFSET($H$3,0,0,'Données projet'!$E$10+1,1))</f>
        <v>447.44638185108147</v>
      </c>
      <c r="AO57" s="58">
        <f t="shared" si="36"/>
        <v>384.84260115068605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33.385767691393049</v>
      </c>
      <c r="AV57" s="21">
        <f>EXP(-LN(2)/25)*AV56+(1-EXP(-LN(2)/25))/(LN(2)/25)*Calculateur!AQ57*Calculateur!AS57*VLOOKUP('Données projet'!$B$10,Paramètres!$A$1:$I$89,3,0)*0.475*44/12</f>
        <v>17.150479484929033</v>
      </c>
      <c r="AW57" s="21">
        <f>EXP(-LN(2)/2)*AW56+(1-EXP(-LN(2)/2))/(LN(2)/2)*AQ57*AT57*VLOOKUP('Données projet'!$B$10,Paramètres!$A$1:$I$89,3,0)*0.475*44/12</f>
        <v>0.81326510007115493</v>
      </c>
      <c r="AX57" s="21">
        <f t="shared" si="6"/>
        <v>51.349512276393234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215.21643000000026</v>
      </c>
      <c r="BF57" s="13">
        <f t="shared" si="37"/>
        <v>53.073873953396202</v>
      </c>
      <c r="BG57" s="20">
        <f t="shared" si="7"/>
        <v>467.27227938549885</v>
      </c>
      <c r="BH57" s="58">
        <f t="shared" si="8"/>
        <v>746.35402845243459</v>
      </c>
      <c r="BI57" s="58">
        <f ca="1">AVERAGE(OFFSET($BH$3,0,0,'Données projet'!$E$11+1,1))-AVERAGE(OFFSET($H$3,0,0,'Données projet'!$E$11+1,1))</f>
        <v>724.99760740673071</v>
      </c>
      <c r="BJ57" s="58">
        <f t="shared" si="38"/>
        <v>318.24184272438208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25.162306364192002</v>
      </c>
      <c r="BR57" s="21">
        <f>EXP(-LN(2)/2)*BR56+(1-EXP(-LN(2)/2))/(LN(2)/2)*BL57*BO57*VLOOKUP('Données projet'!$B$11,Paramètres!$A$1:$I$89,3,0)*0.475*44/12</f>
        <v>1.9288700575096063</v>
      </c>
      <c r="BS57" s="22">
        <f t="shared" si="9"/>
        <v>27.091176421701608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10.36375</v>
      </c>
      <c r="BY57" s="12">
        <f>IF('Données projet'!$A$114&gt;35,BY56+BX57-CG56,IF(A57&lt;'Données projet'!$A$114,$BV$205^A57,IF(A57='Données projet'!$A$114,'Données projet'!$B$114,BY56+BX57-CG56)))</f>
        <v>212.24500000000023</v>
      </c>
      <c r="BZ57" s="13">
        <f>BY57*VLOOKUP('Données projet'!$B$12,Paramètres!$A$1:$I$89,3,0)*VLOOKUP('Données projet'!$B$12,Paramètres!$A$1:$I$89,5,0)</f>
        <v>201.97234200000022</v>
      </c>
      <c r="CA57" s="13">
        <f t="shared" si="39"/>
        <v>50.177380922761891</v>
      </c>
      <c r="CB57" s="20">
        <f t="shared" si="10"/>
        <v>439.16076742381068</v>
      </c>
      <c r="CC57" s="58">
        <f t="shared" si="11"/>
        <v>718.24251649074643</v>
      </c>
      <c r="CD57" s="58">
        <f ca="1">AVERAGE(OFFSET($CC$3,0,0,'Données projet'!$E$12+1,1))-AVERAGE(OFFSET($H$3,0,0,'Données projet'!$E$12+1,1))</f>
        <v>684.45757350513315</v>
      </c>
      <c r="CE57" s="58">
        <f t="shared" si="40"/>
        <v>301.78148341369194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23.613856741780189</v>
      </c>
      <c r="CM57" s="21">
        <f>EXP(-LN(2)/2)*CM56+(1-EXP(-LN(2)/2))/(LN(2)/2)*CG57*CJ57*VLOOKUP('Données projet'!$B$12,Paramètres!$A$1:$I$89,3,0)*0.475*44/12</f>
        <v>1.8101703616628615</v>
      </c>
      <c r="CN57" s="22">
        <f t="shared" si="12"/>
        <v>25.424027103443052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8" t="e">
        <f t="shared" si="14"/>
        <v>#N/A</v>
      </c>
      <c r="CY57" s="58" t="e">
        <f ca="1">AVERAGE(OFFSET($CX$3,0,0,'Données projet'!$E$13+1,1))-AVERAGE(OFFSET($H$3,0,0,'Données projet'!$E$13+1,1))</f>
        <v>#N/A</v>
      </c>
      <c r="CZ57" s="58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8" t="e">
        <f t="shared" si="17"/>
        <v>#N/A</v>
      </c>
      <c r="DT57" s="58" t="e">
        <f ca="1">AVERAGE(OFFSET($DS$3,0,0,'Données projet'!$E$14+1,1))-AVERAGE(OFFSET($H$3,0,0,'Données projet'!$E$14+1,1))</f>
        <v>#N/A</v>
      </c>
      <c r="DU57" s="58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8" t="e">
        <f t="shared" si="20"/>
        <v>#N/A</v>
      </c>
      <c r="EO57" s="58" t="e">
        <f ca="1">AVERAGE(OFFSET($EN$3,0,0,'Données projet'!$E$15+1,1))-AVERAGE(OFFSET($H$3,0,0,'Données projet'!$E$15+1,1))</f>
        <v>#N/A</v>
      </c>
      <c r="EP57" s="58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8" t="e">
        <f t="shared" si="23"/>
        <v>#N/A</v>
      </c>
      <c r="FJ57" s="58" t="e">
        <f ca="1">AVERAGE(OFFSET($FI$3,0,0,'Données projet'!$E$16+1,1))-AVERAGE(OFFSET($H$3,0,0,'Données projet'!$E$16+1,1))</f>
        <v>#N/A</v>
      </c>
      <c r="FK57" s="58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8" t="e">
        <f t="shared" si="26"/>
        <v>#N/A</v>
      </c>
      <c r="GE57" s="58" t="e">
        <f ca="1">AVERAGE(OFFSET($GD$3,0,0,'Données projet'!$E$17+1,1))-AVERAGE(OFFSET($H$3,0,0,'Données projet'!$E$17+1,1))</f>
        <v>#N/A</v>
      </c>
      <c r="GF57" s="58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66.113204290982466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8" t="e">
        <f t="shared" si="29"/>
        <v>#N/A</v>
      </c>
      <c r="GZ57" s="58" t="e">
        <f ca="1">AVERAGE(OFFSET($GY$3,0,0,'Données projet'!$E$18+1,1))-AVERAGE(OFFSET($H$3,0,0,'Données projet'!$E$18+1,1))</f>
        <v>#N/A</v>
      </c>
      <c r="HA57" s="58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2">
        <f>'Scénario référence'!$B$16*5+'Scénario référence'!$B$17*0+'Scénario référence'!$B$18*5</f>
        <v>2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7.333333333333333</v>
      </c>
      <c r="H58" s="66">
        <f t="shared" si="1"/>
        <v>227.33333333333334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10.36375</v>
      </c>
      <c r="N58" s="13">
        <f>IF('Données projet'!$A$36&gt;35,N57+M58-V57,IF(A58&lt;'Données projet'!$A$36,$K$205^A58,IF(A58='Données projet'!$A$36,'Données projet'!$B$36,N57+M58-V57)))</f>
        <v>222.60875000000024</v>
      </c>
      <c r="O58" s="13">
        <f>N58*VLOOKUP('Données projet'!$B$9,Paramètres!$A$1:$I$89,3,0)*VLOOKUP('Données projet'!$B$9,Paramètres!$A$1:$I$89,5,0)</f>
        <v>201.41639700000019</v>
      </c>
      <c r="P58" s="13">
        <f t="shared" si="33"/>
        <v>50.055320951535919</v>
      </c>
      <c r="Q58" s="20">
        <f t="shared" si="53"/>
        <v>437.97990876559203</v>
      </c>
      <c r="R58" s="58">
        <f t="shared" si="0"/>
        <v>717.30889095778059</v>
      </c>
      <c r="S58" s="58">
        <f ca="1">AVERAGE(OFFSET($R$3,0,0,'Données projet'!$E$9+1,1))-AVERAGE(OFFSET($H$3,0,0,'Données projet'!$E$9+1,1))</f>
        <v>654.0179680178212</v>
      </c>
      <c r="T58" s="58">
        <f t="shared" si="34"/>
        <v>289.42065570013369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21.838554197834302</v>
      </c>
      <c r="AB58" s="21">
        <f>EXP(-LN(2)/2)*AB57+(1-EXP(-LN(2)/2))/(LN(2)/2)*V58*Y58*VLOOKUP('Données projet'!$B$9,Paramètres!$A$1:$I$89,3,0)*0.475*44/12</f>
        <v>1.2170337179412041</v>
      </c>
      <c r="AC58" s="22">
        <f t="shared" si="3"/>
        <v>23.055587915775504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17.857000000000006</v>
      </c>
      <c r="AI58" s="13">
        <f>IF('Données projet'!$A$62&gt;35,AI57+AH58-AQ57,IF(A58&lt;'Données projet'!$A$62,$AF$205^A58,IF(A58='Données projet'!$A$62,'Données projet'!$B$62,AI57+AH58-AQ57)))</f>
        <v>533.84300000000007</v>
      </c>
      <c r="AJ58" s="13">
        <f>AI58*VLOOKUP('Données projet'!$B$10,Paramètres!$A$1:$I$89,3,0)*VLOOKUP('Données projet'!$B$10,Paramètres!$A$1:$I$89,5,0)</f>
        <v>319.23811400000011</v>
      </c>
      <c r="AK58" s="13">
        <f t="shared" si="35"/>
        <v>75.194806477511975</v>
      </c>
      <c r="AL58" s="20">
        <f t="shared" si="4"/>
        <v>686.97066983166678</v>
      </c>
      <c r="AM58" s="58">
        <f t="shared" si="5"/>
        <v>966.29965202385529</v>
      </c>
      <c r="AN58" s="58">
        <f ca="1">AVERAGE(OFFSET($AM$3,0,0,'Données projet'!$E$10+1,1))-AVERAGE(OFFSET($H$3,0,0,'Données projet'!$E$10+1,1))</f>
        <v>447.44638185108147</v>
      </c>
      <c r="AO58" s="58">
        <f t="shared" si="36"/>
        <v>384.84260115068605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32.731093150272415</v>
      </c>
      <c r="AV58" s="21">
        <f>EXP(-LN(2)/25)*AV57+(1-EXP(-LN(2)/25))/(LN(2)/25)*Calculateur!AQ58*Calculateur!AS58*VLOOKUP('Données projet'!$B$10,Paramètres!$A$1:$I$89,3,0)*0.475*44/12</f>
        <v>16.681498721509129</v>
      </c>
      <c r="AW58" s="21">
        <f>EXP(-LN(2)/2)*AW57+(1-EXP(-LN(2)/2))/(LN(2)/2)*AQ58*AT58*VLOOKUP('Données projet'!$B$10,Paramètres!$A$1:$I$89,3,0)*0.475*44/12</f>
        <v>0.57506526716266981</v>
      </c>
      <c r="AX58" s="21">
        <f t="shared" si="6"/>
        <v>49.987657138944215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225.72527250000027</v>
      </c>
      <c r="BF58" s="13">
        <f t="shared" si="37"/>
        <v>55.357378715128789</v>
      </c>
      <c r="BG58" s="20">
        <f t="shared" si="7"/>
        <v>489.55228419968324</v>
      </c>
      <c r="BH58" s="58">
        <f t="shared" si="8"/>
        <v>768.8812663918718</v>
      </c>
      <c r="BI58" s="58">
        <f ca="1">AVERAGE(OFFSET($BH$3,0,0,'Données projet'!$E$11+1,1))-AVERAGE(OFFSET($H$3,0,0,'Données projet'!$E$11+1,1))</f>
        <v>724.99760740673071</v>
      </c>
      <c r="BJ58" s="58">
        <f t="shared" si="38"/>
        <v>318.24184272438208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24.47424177343499</v>
      </c>
      <c r="BR58" s="21">
        <f>EXP(-LN(2)/2)*BR57+(1-EXP(-LN(2)/2))/(LN(2)/2)*BL58*BO58*VLOOKUP('Données projet'!$B$11,Paramètres!$A$1:$I$89,3,0)*0.475*44/12</f>
        <v>1.3639170976927286</v>
      </c>
      <c r="BS58" s="22">
        <f t="shared" si="9"/>
        <v>25.838158871127717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10.36375</v>
      </c>
      <c r="BY58" s="12">
        <f>IF('Données projet'!$A$114&gt;35,BY57+BX58-CG57,IF(A58&lt;'Données projet'!$A$114,$BV$205^A58,IF(A58='Données projet'!$A$114,'Données projet'!$B$114,BY57+BX58-CG57)))</f>
        <v>222.60875000000024</v>
      </c>
      <c r="BZ58" s="13">
        <f>BY58*VLOOKUP('Données projet'!$B$12,Paramètres!$A$1:$I$89,3,0)*VLOOKUP('Données projet'!$B$12,Paramètres!$A$1:$I$89,5,0)</f>
        <v>211.83448650000022</v>
      </c>
      <c r="CA58" s="13">
        <f t="shared" si="39"/>
        <v>52.336263999000323</v>
      </c>
      <c r="CB58" s="20">
        <f t="shared" si="10"/>
        <v>460.09739045242594</v>
      </c>
      <c r="CC58" s="58">
        <f t="shared" si="11"/>
        <v>739.4263726446145</v>
      </c>
      <c r="CD58" s="58">
        <f ca="1">AVERAGE(OFFSET($CC$3,0,0,'Données projet'!$E$12+1,1))-AVERAGE(OFFSET($H$3,0,0,'Données projet'!$E$12+1,1))</f>
        <v>684.45757350513315</v>
      </c>
      <c r="CE58" s="58">
        <f t="shared" si="40"/>
        <v>301.78148341369194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22.968134587377456</v>
      </c>
      <c r="CM58" s="21">
        <f>EXP(-LN(2)/2)*CM57+(1-EXP(-LN(2)/2))/(LN(2)/2)*CG58*CJ58*VLOOKUP('Données projet'!$B$12,Paramètres!$A$1:$I$89,3,0)*0.475*44/12</f>
        <v>1.2799837378347148</v>
      </c>
      <c r="CN58" s="22">
        <f t="shared" si="12"/>
        <v>24.248118325212172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8" t="e">
        <f t="shared" si="14"/>
        <v>#N/A</v>
      </c>
      <c r="CY58" s="58" t="e">
        <f ca="1">AVERAGE(OFFSET($CX$3,0,0,'Données projet'!$E$13+1,1))-AVERAGE(OFFSET($H$3,0,0,'Données projet'!$E$13+1,1))</f>
        <v>#N/A</v>
      </c>
      <c r="CZ58" s="58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8" t="e">
        <f t="shared" si="17"/>
        <v>#N/A</v>
      </c>
      <c r="DT58" s="58" t="e">
        <f ca="1">AVERAGE(OFFSET($DS$3,0,0,'Données projet'!$E$14+1,1))-AVERAGE(OFFSET($H$3,0,0,'Données projet'!$E$14+1,1))</f>
        <v>#N/A</v>
      </c>
      <c r="DU58" s="58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8" t="e">
        <f t="shared" si="20"/>
        <v>#N/A</v>
      </c>
      <c r="EO58" s="58" t="e">
        <f ca="1">AVERAGE(OFFSET($EN$3,0,0,'Données projet'!$E$15+1,1))-AVERAGE(OFFSET($H$3,0,0,'Données projet'!$E$15+1,1))</f>
        <v>#N/A</v>
      </c>
      <c r="EP58" s="58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8" t="e">
        <f t="shared" si="23"/>
        <v>#N/A</v>
      </c>
      <c r="FJ58" s="58" t="e">
        <f ca="1">AVERAGE(OFFSET($FI$3,0,0,'Données projet'!$E$16+1,1))-AVERAGE(OFFSET($H$3,0,0,'Données projet'!$E$16+1,1))</f>
        <v>#N/A</v>
      </c>
      <c r="FK58" s="58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8" t="e">
        <f t="shared" si="26"/>
        <v>#N/A</v>
      </c>
      <c r="GE58" s="58" t="e">
        <f ca="1">AVERAGE(OFFSET($GD$3,0,0,'Données projet'!$E$17+1,1))-AVERAGE(OFFSET($H$3,0,0,'Données projet'!$E$17+1,1))</f>
        <v>#N/A</v>
      </c>
      <c r="GF58" s="58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66.180631506960509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8" t="e">
        <f t="shared" si="29"/>
        <v>#N/A</v>
      </c>
      <c r="GZ58" s="58" t="e">
        <f ca="1">AVERAGE(OFFSET($GY$3,0,0,'Données projet'!$E$18+1,1))-AVERAGE(OFFSET($H$3,0,0,'Données projet'!$E$18+1,1))</f>
        <v>#N/A</v>
      </c>
      <c r="HA58" s="58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2">
        <f>'Scénario référence'!$B$16*5+'Scénario référence'!$B$17*0+'Scénario référence'!$B$18*5</f>
        <v>2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7.333333333333333</v>
      </c>
      <c r="H59" s="66">
        <f t="shared" si="1"/>
        <v>227.33333333333334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10.36375</v>
      </c>
      <c r="N59" s="13">
        <f>IF('Données projet'!$A$36&gt;35,N58+M59-V58,IF(A59&lt;'Données projet'!$A$36,$K$205^A59,IF(A59='Données projet'!$A$36,'Données projet'!$B$36,N58+M59-V58)))</f>
        <v>232.97250000000025</v>
      </c>
      <c r="O59" s="13">
        <f>N59*VLOOKUP('Données projet'!$B$9,Paramètres!$A$1:$I$89,3,0)*VLOOKUP('Données projet'!$B$9,Paramètres!$A$1:$I$89,5,0)</f>
        <v>210.7935180000002</v>
      </c>
      <c r="P59" s="13">
        <f t="shared" si="33"/>
        <v>52.108951264882847</v>
      </c>
      <c r="Q59" s="20">
        <f t="shared" si="53"/>
        <v>457.88846730300457</v>
      </c>
      <c r="R59" s="58">
        <f t="shared" si="0"/>
        <v>737.46039367845333</v>
      </c>
      <c r="S59" s="58">
        <f ca="1">AVERAGE(OFFSET($R$3,0,0,'Données projet'!$E$9+1,1))-AVERAGE(OFFSET($H$3,0,0,'Données projet'!$E$9+1,1))</f>
        <v>654.0179680178212</v>
      </c>
      <c r="T59" s="58">
        <f t="shared" si="34"/>
        <v>289.42065570013369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21.241377784854869</v>
      </c>
      <c r="AB59" s="21">
        <f>EXP(-LN(2)/2)*AB58+(1-EXP(-LN(2)/2))/(LN(2)/2)*V59*Y59*VLOOKUP('Données projet'!$B$9,Paramètres!$A$1:$I$89,3,0)*0.475*44/12</f>
        <v>0.86057279488890148</v>
      </c>
      <c r="AC59" s="22">
        <f t="shared" si="3"/>
        <v>22.101950579743772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551.70000000000005</v>
      </c>
      <c r="AG59" s="12">
        <f>VLOOKUP(A59,'Données projet'!$A$61:$I$81,9,0)</f>
        <v>17.857000000000006</v>
      </c>
      <c r="AH59" s="12">
        <f t="array" ref="AH59">INDEX(AG:AG,MIN(IF(ISNUMBER(AG59:AG255),ROW(AG59:AG255),"")))</f>
        <v>17.857000000000006</v>
      </c>
      <c r="AI59" s="13">
        <f>IF('Données projet'!$A$62&gt;35,AI58+AH59-AQ58,IF(A59&lt;'Données projet'!$A$62,$AF$205^A59,IF(A59='Données projet'!$A$62,'Données projet'!$B$62,AI58+AH59-AQ58)))</f>
        <v>551.70000000000005</v>
      </c>
      <c r="AJ59" s="13">
        <f>AI59*VLOOKUP('Données projet'!$B$10,Paramètres!$A$1:$I$89,3,0)*VLOOKUP('Données projet'!$B$10,Paramètres!$A$1:$I$89,5,0)</f>
        <v>329.91660000000007</v>
      </c>
      <c r="AK59" s="13">
        <f t="shared" si="35"/>
        <v>77.413015969653813</v>
      </c>
      <c r="AL59" s="20">
        <f t="shared" si="4"/>
        <v>709.43241448048047</v>
      </c>
      <c r="AM59" s="58">
        <f t="shared" si="5"/>
        <v>989.00434085592917</v>
      </c>
      <c r="AN59" s="58">
        <f ca="1">AVERAGE(OFFSET($AM$3,0,0,'Données projet'!$E$10+1,1))-AVERAGE(OFFSET($H$3,0,0,'Données projet'!$E$10+1,1))</f>
        <v>447.44638185108147</v>
      </c>
      <c r="AO59" s="58">
        <f t="shared" si="36"/>
        <v>384.84260115068605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77.36000000000007</v>
      </c>
      <c r="AR59" s="16">
        <f>IF(ISNA(VLOOKUP(A59,'Données projet'!$A$61:$I$81,5,0)),0%,VLOOKUP(A59,'Données projet'!$A$61:$I$81,5,0)*VLOOKUP('Données projet'!$B$10,Paramètres!$A$1:$I$89,7,0))</f>
        <v>0.27</v>
      </c>
      <c r="AS59" s="16">
        <f>IF(ISNA(VLOOKUP(A59,'Données projet'!$A$61:$I$81,6,0)),0%,VLOOKUP(A59,'Données projet'!$A$61:$I$81,6,0)*VLOOKUP('Données projet'!$B$10,Paramètres!$A$1:$I$89,7,0))</f>
        <v>9.0000000000000011E-2</v>
      </c>
      <c r="AT59" s="16">
        <f>IF(ISNA(VLOOKUP(A59,'Données projet'!$A$61:$I$81,7,0)),0%,VLOOKUP(A59,'Données projet'!$A$61:$I$81,7,0))</f>
        <v>0.2</v>
      </c>
      <c r="AU59" s="21">
        <f>EXP(-LN(2)/35)*AU58+(1-EXP(-LN(2)/35))/(LN(2)/35)*AQ59*AR59*VLOOKUP('Données projet'!$B$10,Paramètres!$A$1:$I$89,3,0)*0.475*44/12</f>
        <v>48.658770199597868</v>
      </c>
      <c r="AV59" s="21">
        <f>EXP(-LN(2)/25)*AV58+(1-EXP(-LN(2)/25))/(LN(2)/25)*Calculateur!AQ59*Calculateur!AS59*VLOOKUP('Données projet'!$B$10,Paramètres!$A$1:$I$89,3,0)*0.475*44/12</f>
        <v>21.726766705930832</v>
      </c>
      <c r="AW59" s="21">
        <f>EXP(-LN(2)/2)*AW58+(1-EXP(-LN(2)/2))/(LN(2)/2)*AQ59*AT59*VLOOKUP('Données projet'!$B$10,Paramètres!$A$1:$I$89,3,0)*0.475*44/12</f>
        <v>10.882335618218617</v>
      </c>
      <c r="AX59" s="21">
        <f t="shared" si="6"/>
        <v>81.267872523747315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236.23411500000026</v>
      </c>
      <c r="BF59" s="13">
        <f t="shared" si="37"/>
        <v>57.628537681562783</v>
      </c>
      <c r="BG59" s="20">
        <f t="shared" si="7"/>
        <v>511.8107867537222</v>
      </c>
      <c r="BH59" s="58">
        <f t="shared" si="8"/>
        <v>791.38271312917095</v>
      </c>
      <c r="BI59" s="58">
        <f ca="1">AVERAGE(OFFSET($BH$3,0,0,'Données projet'!$E$11+1,1))-AVERAGE(OFFSET($H$3,0,0,'Données projet'!$E$11+1,1))</f>
        <v>724.99760740673071</v>
      </c>
      <c r="BJ59" s="58">
        <f t="shared" si="38"/>
        <v>318.24184272438208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23.804992345095972</v>
      </c>
      <c r="BR59" s="21">
        <f>EXP(-LN(2)/2)*BR58+(1-EXP(-LN(2)/2))/(LN(2)/2)*BL59*BO59*VLOOKUP('Données projet'!$B$11,Paramètres!$A$1:$I$89,3,0)*0.475*44/12</f>
        <v>0.96443502875480325</v>
      </c>
      <c r="BS59" s="22">
        <f t="shared" si="9"/>
        <v>24.769427373850775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10.36375</v>
      </c>
      <c r="BY59" s="12">
        <f>IF('Données projet'!$A$114&gt;35,BY58+BX59-CG58,IF(A59&lt;'Données projet'!$A$114,$BV$205^A59,IF(A59='Données projet'!$A$114,'Données projet'!$B$114,BY58+BX59-CG58)))</f>
        <v>232.97250000000025</v>
      </c>
      <c r="BZ59" s="13">
        <f>BY59*VLOOKUP('Données projet'!$B$12,Paramètres!$A$1:$I$89,3,0)*VLOOKUP('Données projet'!$B$12,Paramètres!$A$1:$I$89,5,0)</f>
        <v>221.69663100000022</v>
      </c>
      <c r="CA59" s="13">
        <f t="shared" si="39"/>
        <v>54.483475048545635</v>
      </c>
      <c r="CB59" s="20">
        <f t="shared" si="10"/>
        <v>481.0136847012173</v>
      </c>
      <c r="CC59" s="58">
        <f t="shared" si="11"/>
        <v>760.58561107666605</v>
      </c>
      <c r="CD59" s="58">
        <f ca="1">AVERAGE(OFFSET($CC$3,0,0,'Données projet'!$E$12+1,1))-AVERAGE(OFFSET($H$3,0,0,'Données projet'!$E$12+1,1))</f>
        <v>684.45757350513315</v>
      </c>
      <c r="CE59" s="58">
        <f t="shared" si="40"/>
        <v>301.78148341369194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22.340069739243916</v>
      </c>
      <c r="CM59" s="21">
        <f>EXP(-LN(2)/2)*CM58+(1-EXP(-LN(2)/2))/(LN(2)/2)*CG59*CJ59*VLOOKUP('Données projet'!$B$12,Paramètres!$A$1:$I$89,3,0)*0.475*44/12</f>
        <v>0.90508518083143097</v>
      </c>
      <c r="CN59" s="22">
        <f t="shared" si="12"/>
        <v>23.245154920075347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8" t="e">
        <f t="shared" si="14"/>
        <v>#N/A</v>
      </c>
      <c r="CY59" s="58" t="e">
        <f ca="1">AVERAGE(OFFSET($CX$3,0,0,'Données projet'!$E$13+1,1))-AVERAGE(OFFSET($H$3,0,0,'Données projet'!$E$13+1,1))</f>
        <v>#N/A</v>
      </c>
      <c r="CZ59" s="58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8" t="e">
        <f t="shared" si="17"/>
        <v>#N/A</v>
      </c>
      <c r="DT59" s="58" t="e">
        <f ca="1">AVERAGE(OFFSET($DS$3,0,0,'Données projet'!$E$14+1,1))-AVERAGE(OFFSET($H$3,0,0,'Données projet'!$E$14+1,1))</f>
        <v>#N/A</v>
      </c>
      <c r="DU59" s="58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8" t="e">
        <f t="shared" si="20"/>
        <v>#N/A</v>
      </c>
      <c r="EO59" s="58" t="e">
        <f ca="1">AVERAGE(OFFSET($EN$3,0,0,'Données projet'!$E$15+1,1))-AVERAGE(OFFSET($H$3,0,0,'Données projet'!$E$15+1,1))</f>
        <v>#N/A</v>
      </c>
      <c r="EP59" s="58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8" t="e">
        <f t="shared" si="23"/>
        <v>#N/A</v>
      </c>
      <c r="FJ59" s="58" t="e">
        <f ca="1">AVERAGE(OFFSET($FI$3,0,0,'Données projet'!$E$16+1,1))-AVERAGE(OFFSET($H$3,0,0,'Données projet'!$E$16+1,1))</f>
        <v>#N/A</v>
      </c>
      <c r="FK59" s="58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8" t="e">
        <f t="shared" si="26"/>
        <v>#N/A</v>
      </c>
      <c r="GE59" s="58" t="e">
        <f ca="1">AVERAGE(OFFSET($GD$3,0,0,'Données projet'!$E$17+1,1))-AVERAGE(OFFSET($H$3,0,0,'Données projet'!$E$17+1,1))</f>
        <v>#N/A</v>
      </c>
      <c r="GF59" s="58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66.246889011486005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8" t="e">
        <f t="shared" si="29"/>
        <v>#N/A</v>
      </c>
      <c r="GZ59" s="58" t="e">
        <f ca="1">AVERAGE(OFFSET($GY$3,0,0,'Données projet'!$E$18+1,1))-AVERAGE(OFFSET($H$3,0,0,'Données projet'!$E$18+1,1))</f>
        <v>#N/A</v>
      </c>
      <c r="HA59" s="58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2">
        <f>'Scénario référence'!$B$16*5+'Scénario référence'!$B$17*0+'Scénario référence'!$B$18*5</f>
        <v>2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7.333333333333333</v>
      </c>
      <c r="H60" s="66">
        <f t="shared" si="1"/>
        <v>227.33333333333334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10.36375</v>
      </c>
      <c r="N60" s="13">
        <f>IF('Données projet'!$A$36&gt;35,N59+M60-V59,IF(A60&lt;'Données projet'!$A$36,$K$205^A60,IF(A60='Données projet'!$A$36,'Données projet'!$B$36,N59+M60-V59)))</f>
        <v>243.33625000000026</v>
      </c>
      <c r="O60" s="13">
        <f>N60*VLOOKUP('Données projet'!$B$9,Paramètres!$A$1:$I$89,3,0)*VLOOKUP('Données projet'!$B$9,Paramètres!$A$1:$I$89,5,0)</f>
        <v>220.17063900000025</v>
      </c>
      <c r="P60" s="13">
        <f t="shared" si="33"/>
        <v>54.151971590437505</v>
      </c>
      <c r="Q60" s="20">
        <f t="shared" si="53"/>
        <v>477.7785467783458</v>
      </c>
      <c r="R60" s="58">
        <f t="shared" si="0"/>
        <v>757.58920279861695</v>
      </c>
      <c r="S60" s="58">
        <f ca="1">AVERAGE(OFFSET($R$3,0,0,'Données projet'!$E$9+1,1))-AVERAGE(OFFSET($H$3,0,0,'Données projet'!$E$9+1,1))</f>
        <v>654.0179680178212</v>
      </c>
      <c r="T60" s="58">
        <f t="shared" si="34"/>
        <v>289.42065570013369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20.660531192292503</v>
      </c>
      <c r="AB60" s="21">
        <f>EXP(-LN(2)/2)*AB59+(1-EXP(-LN(2)/2))/(LN(2)/2)*V60*Y60*VLOOKUP('Données projet'!$B$9,Paramètres!$A$1:$I$89,3,0)*0.475*44/12</f>
        <v>0.60851685897060215</v>
      </c>
      <c r="AC60" s="22">
        <f t="shared" si="3"/>
        <v>21.269048051263105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15.604000000000003</v>
      </c>
      <c r="AI60" s="13">
        <f>IF('Données projet'!$A$62&gt;35,AI59+AH60-AQ59,IF(A60&lt;'Données projet'!$A$62,$AF$205^A60,IF(A60='Données projet'!$A$62,'Données projet'!$B$62,AI59+AH60-AQ59)))</f>
        <v>489.94400000000002</v>
      </c>
      <c r="AJ60" s="13">
        <f>AI60*VLOOKUP('Données projet'!$B$10,Paramètres!$A$1:$I$89,3,0)*VLOOKUP('Données projet'!$B$10,Paramètres!$A$1:$I$89,5,0)</f>
        <v>292.986512</v>
      </c>
      <c r="AK60" s="13">
        <f t="shared" si="35"/>
        <v>69.704148867356523</v>
      </c>
      <c r="AL60" s="20">
        <f t="shared" si="4"/>
        <v>631.68623434397921</v>
      </c>
      <c r="AM60" s="58">
        <f t="shared" si="5"/>
        <v>911.49689036425025</v>
      </c>
      <c r="AN60" s="58">
        <f ca="1">AVERAGE(OFFSET($AM$3,0,0,'Données projet'!$E$10+1,1))-AVERAGE(OFFSET($H$3,0,0,'Données projet'!$E$10+1,1))</f>
        <v>447.44638185108147</v>
      </c>
      <c r="AO60" s="58">
        <f t="shared" si="36"/>
        <v>384.84260115068605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47.704601394903023</v>
      </c>
      <c r="AV60" s="21">
        <f>EXP(-LN(2)/25)*AV59+(1-EXP(-LN(2)/25))/(LN(2)/25)*Calculateur!AQ60*Calculateur!AS60*VLOOKUP('Données projet'!$B$10,Paramètres!$A$1:$I$89,3,0)*0.475*44/12</f>
        <v>21.132647127796147</v>
      </c>
      <c r="AW60" s="21">
        <f>EXP(-LN(2)/2)*AW59+(1-EXP(-LN(2)/2))/(LN(2)/2)*AQ60*AT60*VLOOKUP('Données projet'!$B$10,Paramètres!$A$1:$I$89,3,0)*0.475*44/12</f>
        <v>7.6949733107902842</v>
      </c>
      <c r="AX60" s="21">
        <f t="shared" si="6"/>
        <v>76.532221833489459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246.74295750000027</v>
      </c>
      <c r="BF60" s="13">
        <f t="shared" si="37"/>
        <v>59.887962808292784</v>
      </c>
      <c r="BG60" s="20">
        <f t="shared" si="7"/>
        <v>534.04885287027707</v>
      </c>
      <c r="BH60" s="58">
        <f t="shared" si="8"/>
        <v>813.85950889054811</v>
      </c>
      <c r="BI60" s="58">
        <f ca="1">AVERAGE(OFFSET($BH$3,0,0,'Données projet'!$E$11+1,1))-AVERAGE(OFFSET($H$3,0,0,'Données projet'!$E$11+1,1))</f>
        <v>724.99760740673071</v>
      </c>
      <c r="BJ60" s="58">
        <f t="shared" si="38"/>
        <v>318.24184272438208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23.154043577569183</v>
      </c>
      <c r="BR60" s="21">
        <f>EXP(-LN(2)/2)*BR59+(1-EXP(-LN(2)/2))/(LN(2)/2)*BL60*BO60*VLOOKUP('Données projet'!$B$11,Paramètres!$A$1:$I$89,3,0)*0.475*44/12</f>
        <v>0.68195854884636442</v>
      </c>
      <c r="BS60" s="22">
        <f t="shared" si="9"/>
        <v>23.836002126415547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10.36375</v>
      </c>
      <c r="BY60" s="12">
        <f>IF('Données projet'!$A$114&gt;35,BY59+BX60-CG59,IF(A60&lt;'Données projet'!$A$114,$BV$205^A60,IF(A60='Données projet'!$A$114,'Données projet'!$B$114,BY59+BX60-CG59)))</f>
        <v>243.33625000000026</v>
      </c>
      <c r="BZ60" s="13">
        <f>BY60*VLOOKUP('Données projet'!$B$12,Paramètres!$A$1:$I$89,3,0)*VLOOKUP('Données projet'!$B$12,Paramètres!$A$1:$I$89,5,0)</f>
        <v>231.55877550000022</v>
      </c>
      <c r="CA60" s="13">
        <f t="shared" si="39"/>
        <v>56.619592629673022</v>
      </c>
      <c r="CB60" s="20">
        <f t="shared" si="10"/>
        <v>501.91065782584752</v>
      </c>
      <c r="CC60" s="58">
        <f t="shared" si="11"/>
        <v>781.72131384611862</v>
      </c>
      <c r="CD60" s="58">
        <f ca="1">AVERAGE(OFFSET($CC$3,0,0,'Données projet'!$E$12+1,1))-AVERAGE(OFFSET($H$3,0,0,'Données projet'!$E$12+1,1))</f>
        <v>684.45757350513315</v>
      </c>
      <c r="CE60" s="58">
        <f t="shared" si="40"/>
        <v>301.78148341369194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21.729179357411081</v>
      </c>
      <c r="CM60" s="21">
        <f>EXP(-LN(2)/2)*CM59+(1-EXP(-LN(2)/2))/(LN(2)/2)*CG60*CJ60*VLOOKUP('Données projet'!$B$12,Paramètres!$A$1:$I$89,3,0)*0.475*44/12</f>
        <v>0.63999186891735749</v>
      </c>
      <c r="CN60" s="22">
        <f t="shared" si="12"/>
        <v>22.369171226328437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8" t="e">
        <f t="shared" si="14"/>
        <v>#N/A</v>
      </c>
      <c r="CY60" s="58" t="e">
        <f ca="1">AVERAGE(OFFSET($CX$3,0,0,'Données projet'!$E$13+1,1))-AVERAGE(OFFSET($H$3,0,0,'Données projet'!$E$13+1,1))</f>
        <v>#N/A</v>
      </c>
      <c r="CZ60" s="58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8" t="e">
        <f t="shared" si="17"/>
        <v>#N/A</v>
      </c>
      <c r="DT60" s="58" t="e">
        <f ca="1">AVERAGE(OFFSET($DS$3,0,0,'Données projet'!$E$14+1,1))-AVERAGE(OFFSET($H$3,0,0,'Données projet'!$E$14+1,1))</f>
        <v>#N/A</v>
      </c>
      <c r="DU60" s="58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8" t="e">
        <f t="shared" si="20"/>
        <v>#N/A</v>
      </c>
      <c r="EO60" s="58" t="e">
        <f ca="1">AVERAGE(OFFSET($EN$3,0,0,'Données projet'!$E$15+1,1))-AVERAGE(OFFSET($H$3,0,0,'Données projet'!$E$15+1,1))</f>
        <v>#N/A</v>
      </c>
      <c r="EP60" s="58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8" t="e">
        <f t="shared" si="23"/>
        <v>#N/A</v>
      </c>
      <c r="FJ60" s="58" t="e">
        <f ca="1">AVERAGE(OFFSET($FI$3,0,0,'Données projet'!$E$16+1,1))-AVERAGE(OFFSET($H$3,0,0,'Données projet'!$E$16+1,1))</f>
        <v>#N/A</v>
      </c>
      <c r="FK60" s="58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8" t="e">
        <f t="shared" si="26"/>
        <v>#N/A</v>
      </c>
      <c r="GE60" s="58" t="e">
        <f ca="1">AVERAGE(OFFSET($GD$3,0,0,'Données projet'!$E$17+1,1))-AVERAGE(OFFSET($H$3,0,0,'Données projet'!$E$17+1,1))</f>
        <v>#N/A</v>
      </c>
      <c r="GF60" s="58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66.311997096437565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8" t="e">
        <f t="shared" si="29"/>
        <v>#N/A</v>
      </c>
      <c r="GZ60" s="58" t="e">
        <f ca="1">AVERAGE(OFFSET($GY$3,0,0,'Données projet'!$E$18+1,1))-AVERAGE(OFFSET($H$3,0,0,'Données projet'!$E$18+1,1))</f>
        <v>#N/A</v>
      </c>
      <c r="HA60" s="58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2">
        <f>'Scénario référence'!$B$16*5+'Scénario référence'!$B$17*0+'Scénario référence'!$B$18*5</f>
        <v>2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7.333333333333333</v>
      </c>
      <c r="H61" s="66">
        <f t="shared" si="1"/>
        <v>227.33333333333334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253.7</v>
      </c>
      <c r="L61" s="12">
        <f>VLOOKUP(A61,'Données projet'!$A$35:$I$55,9,0)</f>
        <v>10.36375</v>
      </c>
      <c r="M61" s="12">
        <f t="array" ref="M61">INDEX(L:L,MIN(IF(ISNUMBER(L61:L257),ROW(L61:L257),"")))</f>
        <v>10.36375</v>
      </c>
      <c r="N61" s="13">
        <f>IF('Données projet'!$A$36&gt;35,N60+M61-V60,IF(A61&lt;'Données projet'!$A$36,$K$205^A61,IF(A61='Données projet'!$A$36,'Données projet'!$B$36,N60+M61-V60)))</f>
        <v>253.70000000000027</v>
      </c>
      <c r="O61" s="13">
        <f>N61*VLOOKUP('Données projet'!$B$9,Paramètres!$A$1:$I$89,3,0)*VLOOKUP('Données projet'!$B$9,Paramètres!$A$1:$I$89,5,0)</f>
        <v>229.54776000000027</v>
      </c>
      <c r="P61" s="13">
        <f t="shared" si="33"/>
        <v>56.184885471425758</v>
      </c>
      <c r="Q61" s="20">
        <f t="shared" si="53"/>
        <v>497.651024196067</v>
      </c>
      <c r="R61" s="58">
        <f t="shared" si="0"/>
        <v>777.69626843554238</v>
      </c>
      <c r="S61" s="58">
        <f ca="1">AVERAGE(OFFSET($R$3,0,0,'Données projet'!$E$9+1,1))-AVERAGE(OFFSET($H$3,0,0,'Données projet'!$E$9+1,1))</f>
        <v>654.0179680178212</v>
      </c>
      <c r="T61" s="58">
        <f t="shared" si="34"/>
        <v>289.42065570013369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47.789999999999992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0.34400000000000003</v>
      </c>
      <c r="Y61" s="16">
        <f>IF(ISNA(VLOOKUP(A61,'Données projet'!$A$35:$I$55,7,0)),0%,VLOOKUP(A61,'Données projet'!$A$35:$I$55,7,0))</f>
        <v>0.2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36.474357978367649</v>
      </c>
      <c r="AB61" s="21">
        <f>EXP(-LN(2)/2)*AB60+(1-EXP(-LN(2)/2))/(LN(2)/2)*V61*Y61*VLOOKUP('Données projet'!$B$9,Paramètres!$A$1:$I$89,3,0)*0.475*44/12</f>
        <v>8.589981127461952</v>
      </c>
      <c r="AC61" s="22">
        <f t="shared" si="3"/>
        <v>45.064339105829603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15.604000000000003</v>
      </c>
      <c r="AI61" s="13">
        <f>IF('Données projet'!$A$62&gt;35,AI60+AH61-AQ60,IF(A61&lt;'Données projet'!$A$62,$AF$205^A61,IF(A61='Données projet'!$A$62,'Données projet'!$B$62,AI60+AH61-AQ60)))</f>
        <v>505.548</v>
      </c>
      <c r="AJ61" s="13">
        <f>AI61*VLOOKUP('Données projet'!$B$10,Paramètres!$A$1:$I$89,3,0)*VLOOKUP('Données projet'!$B$10,Paramètres!$A$1:$I$89,5,0)</f>
        <v>302.31770400000005</v>
      </c>
      <c r="AK61" s="13">
        <f t="shared" si="35"/>
        <v>71.662125415268747</v>
      </c>
      <c r="AL61" s="20">
        <f t="shared" si="4"/>
        <v>651.34820289825973</v>
      </c>
      <c r="AM61" s="58">
        <f t="shared" si="5"/>
        <v>931.39344713773517</v>
      </c>
      <c r="AN61" s="58">
        <f ca="1">AVERAGE(OFFSET($AM$3,0,0,'Données projet'!$E$10+1,1))-AVERAGE(OFFSET($H$3,0,0,'Données projet'!$E$10+1,1))</f>
        <v>447.44638185108147</v>
      </c>
      <c r="AO61" s="58">
        <f t="shared" si="36"/>
        <v>384.84260115068605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46.769143258482742</v>
      </c>
      <c r="AV61" s="21">
        <f>EXP(-LN(2)/25)*AV60+(1-EXP(-LN(2)/25))/(LN(2)/25)*Calculateur!AQ61*Calculateur!AS61*VLOOKUP('Données projet'!$B$10,Paramètres!$A$1:$I$89,3,0)*0.475*44/12</f>
        <v>20.554773780768947</v>
      </c>
      <c r="AW61" s="21">
        <f>EXP(-LN(2)/2)*AW60+(1-EXP(-LN(2)/2))/(LN(2)/2)*AQ61*AT61*VLOOKUP('Données projet'!$B$10,Paramètres!$A$1:$I$89,3,0)*0.475*44/12</f>
        <v>5.4411678091093094</v>
      </c>
      <c r="AX61" s="21">
        <f t="shared" si="6"/>
        <v>72.765084848360999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257.25180000000029</v>
      </c>
      <c r="BF61" s="13">
        <f t="shared" si="37"/>
        <v>62.136210975836612</v>
      </c>
      <c r="BG61" s="20">
        <f t="shared" si="7"/>
        <v>556.26745244958261</v>
      </c>
      <c r="BH61" s="58">
        <f t="shared" si="8"/>
        <v>836.31269668905793</v>
      </c>
      <c r="BI61" s="58">
        <f ca="1">AVERAGE(OFFSET($BH$3,0,0,'Données projet'!$E$11+1,1))-AVERAGE(OFFSET($H$3,0,0,'Données projet'!$E$11+1,1))</f>
        <v>724.99760740673071</v>
      </c>
      <c r="BJ61" s="58">
        <f t="shared" si="38"/>
        <v>318.24184272438208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40.876435665412025</v>
      </c>
      <c r="BR61" s="21">
        <f>EXP(-LN(2)/2)*BR60+(1-EXP(-LN(2)/2))/(LN(2)/2)*BL61*BO61*VLOOKUP('Données projet'!$B$11,Paramètres!$A$1:$I$89,3,0)*0.475*44/12</f>
        <v>9.6267029876728749</v>
      </c>
      <c r="BS61" s="22">
        <f t="shared" si="9"/>
        <v>50.503138653084903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10.36375</v>
      </c>
      <c r="BX61" s="12">
        <f t="array" ref="BX61">INDEX(BW:BW,MIN(IF(ISNUMBER(BW61:BW257),ROW(BW61:BW257),"")))</f>
        <v>10.36375</v>
      </c>
      <c r="BY61" s="12">
        <f>IF('Données projet'!$A$114&gt;35,BY60+BX61-CG60,IF(A61&lt;'Données projet'!$A$114,$BV$205^A61,IF(A61='Données projet'!$A$114,'Données projet'!$B$114,BY60+BX61-CG60)))</f>
        <v>253.70000000000027</v>
      </c>
      <c r="BZ61" s="13">
        <f>BY61*VLOOKUP('Données projet'!$B$12,Paramètres!$A$1:$I$89,3,0)*VLOOKUP('Données projet'!$B$12,Paramètres!$A$1:$I$89,5,0)</f>
        <v>241.42092000000028</v>
      </c>
      <c r="CA61" s="13">
        <f t="shared" si="39"/>
        <v>58.745143231289354</v>
      </c>
      <c r="CB61" s="20">
        <f t="shared" si="10"/>
        <v>522.78922679449613</v>
      </c>
      <c r="CC61" s="58">
        <f t="shared" si="11"/>
        <v>802.83447103397157</v>
      </c>
      <c r="CD61" s="58">
        <f ca="1">AVERAGE(OFFSET($CC$3,0,0,'Données projet'!$E$12+1,1))-AVERAGE(OFFSET($H$3,0,0,'Données projet'!$E$12+1,1))</f>
        <v>684.45757350513315</v>
      </c>
      <c r="CE61" s="58">
        <f t="shared" si="40"/>
        <v>301.78148341369194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47.789999999999992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0.34400000000000003</v>
      </c>
      <c r="CJ61" s="16">
        <f>IF(ISNA(VLOOKUP(A61,'Données projet'!$A$113:$I$133,7,0)),0%,VLOOKUP(A61,'Données projet'!$A$113:$I$133,7,0))</f>
        <v>0.2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38.360962701386669</v>
      </c>
      <c r="CM61" s="21">
        <f>EXP(-LN(2)/2)*CM60+(1-EXP(-LN(2)/2))/(LN(2)/2)*CG61*CJ61*VLOOKUP('Données projet'!$B$12,Paramètres!$A$1:$I$89,3,0)*0.475*44/12</f>
        <v>9.0342904961237753</v>
      </c>
      <c r="CN61" s="22">
        <f t="shared" si="12"/>
        <v>47.395253197510442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8" t="e">
        <f t="shared" si="14"/>
        <v>#N/A</v>
      </c>
      <c r="CY61" s="58" t="e">
        <f ca="1">AVERAGE(OFFSET($CX$3,0,0,'Données projet'!$E$13+1,1))-AVERAGE(OFFSET($H$3,0,0,'Données projet'!$E$13+1,1))</f>
        <v>#N/A</v>
      </c>
      <c r="CZ61" s="58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8" t="e">
        <f t="shared" si="17"/>
        <v>#N/A</v>
      </c>
      <c r="DT61" s="58" t="e">
        <f ca="1">AVERAGE(OFFSET($DS$3,0,0,'Données projet'!$E$14+1,1))-AVERAGE(OFFSET($H$3,0,0,'Données projet'!$E$14+1,1))</f>
        <v>#N/A</v>
      </c>
      <c r="DU61" s="58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8" t="e">
        <f t="shared" si="20"/>
        <v>#N/A</v>
      </c>
      <c r="EO61" s="58" t="e">
        <f ca="1">AVERAGE(OFFSET($EN$3,0,0,'Données projet'!$E$15+1,1))-AVERAGE(OFFSET($H$3,0,0,'Données projet'!$E$15+1,1))</f>
        <v>#N/A</v>
      </c>
      <c r="EP61" s="58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8" t="e">
        <f t="shared" si="23"/>
        <v>#N/A</v>
      </c>
      <c r="FJ61" s="58" t="e">
        <f ca="1">AVERAGE(OFFSET($FI$3,0,0,'Données projet'!$E$16+1,1))-AVERAGE(OFFSET($H$3,0,0,'Données projet'!$E$16+1,1))</f>
        <v>#N/A</v>
      </c>
      <c r="FK61" s="58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8" t="e">
        <f t="shared" si="26"/>
        <v>#N/A</v>
      </c>
      <c r="GE61" s="58" t="e">
        <f ca="1">AVERAGE(OFFSET($GD$3,0,0,'Données projet'!$E$17+1,1))-AVERAGE(OFFSET($H$3,0,0,'Données projet'!$E$17+1,1))</f>
        <v>#N/A</v>
      </c>
      <c r="GF61" s="58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66.375975701675102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8" t="e">
        <f t="shared" si="29"/>
        <v>#N/A</v>
      </c>
      <c r="GZ61" s="58" t="e">
        <f ca="1">AVERAGE(OFFSET($GY$3,0,0,'Données projet'!$E$18+1,1))-AVERAGE(OFFSET($H$3,0,0,'Données projet'!$E$18+1,1))</f>
        <v>#N/A</v>
      </c>
      <c r="HA61" s="58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2">
        <f>'Scénario référence'!$B$16*5+'Scénario référence'!$B$17*0+'Scénario référence'!$B$18*5</f>
        <v>2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7.333333333333333</v>
      </c>
      <c r="H62" s="66">
        <f t="shared" si="1"/>
        <v>227.33333333333334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10.107499999999998</v>
      </c>
      <c r="N62" s="13">
        <f>IF('Données projet'!$A$36&gt;35,N61+M62-V61,IF(A62&lt;'Données projet'!$A$36,$K$205^A62,IF(A62='Données projet'!$A$36,'Données projet'!$B$36,N61+M62-V61)))</f>
        <v>216.0175000000003</v>
      </c>
      <c r="O62" s="13">
        <f>N62*VLOOKUP('Données projet'!$B$9,Paramètres!$A$1:$I$89,3,0)*VLOOKUP('Données projet'!$B$9,Paramètres!$A$1:$I$89,5,0)</f>
        <v>195.45263400000027</v>
      </c>
      <c r="P62" s="13">
        <f t="shared" si="33"/>
        <v>48.743460533300031</v>
      </c>
      <c r="Q62" s="20">
        <f t="shared" si="53"/>
        <v>425.3081979788314</v>
      </c>
      <c r="R62" s="58">
        <f t="shared" si="0"/>
        <v>705.58396085636855</v>
      </c>
      <c r="S62" s="58">
        <f ca="1">AVERAGE(OFFSET($R$3,0,0,'Données projet'!$E$9+1,1))-AVERAGE(OFFSET($H$3,0,0,'Données projet'!$E$9+1,1))</f>
        <v>654.0179680178212</v>
      </c>
      <c r="T62" s="58">
        <f t="shared" si="34"/>
        <v>289.42065570013369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35.476964741346066</v>
      </c>
      <c r="AB62" s="21">
        <f>EXP(-LN(2)/2)*AB61+(1-EXP(-LN(2)/2))/(LN(2)/2)*V62*Y62*VLOOKUP('Données projet'!$B$9,Paramètres!$A$1:$I$89,3,0)*0.475*44/12</f>
        <v>6.0740339054928114</v>
      </c>
      <c r="AC62" s="22">
        <f t="shared" si="3"/>
        <v>41.550998646838877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15.604000000000003</v>
      </c>
      <c r="AI62" s="13">
        <f>IF('Données projet'!$A$62&gt;35,AI61+AH62-AQ61,IF(A62&lt;'Données projet'!$A$62,$AF$205^A62,IF(A62='Données projet'!$A$62,'Données projet'!$B$62,AI61+AH62-AQ61)))</f>
        <v>521.15200000000004</v>
      </c>
      <c r="AJ62" s="13">
        <f>AI62*VLOOKUP('Données projet'!$B$10,Paramètres!$A$1:$I$89,3,0)*VLOOKUP('Données projet'!$B$10,Paramètres!$A$1:$I$89,5,0)</f>
        <v>311.64889600000004</v>
      </c>
      <c r="AK62" s="13">
        <f t="shared" si="35"/>
        <v>73.613078893907499</v>
      </c>
      <c r="AL62" s="20">
        <f t="shared" si="4"/>
        <v>670.99793960688896</v>
      </c>
      <c r="AM62" s="58">
        <f t="shared" si="5"/>
        <v>951.27370248442605</v>
      </c>
      <c r="AN62" s="58">
        <f ca="1">AVERAGE(OFFSET($AM$3,0,0,'Données projet'!$E$10+1,1))-AVERAGE(OFFSET($H$3,0,0,'Données projet'!$E$10+1,1))</f>
        <v>447.44638185108147</v>
      </c>
      <c r="AO62" s="58">
        <f t="shared" si="36"/>
        <v>384.84260115068605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45.852028885544541</v>
      </c>
      <c r="AV62" s="21">
        <f>EXP(-LN(2)/25)*AV61+(1-EXP(-LN(2)/25))/(LN(2)/25)*Calculateur!AQ62*Calculateur!AS62*VLOOKUP('Données projet'!$B$10,Paramètres!$A$1:$I$89,3,0)*0.475*44/12</f>
        <v>19.992702410805247</v>
      </c>
      <c r="AW62" s="21">
        <f>EXP(-LN(2)/2)*AW61+(1-EXP(-LN(2)/2))/(LN(2)/2)*AQ62*AT62*VLOOKUP('Données projet'!$B$10,Paramètres!$A$1:$I$89,3,0)*0.475*44/12</f>
        <v>3.847486655395143</v>
      </c>
      <c r="AX62" s="21">
        <f t="shared" si="6"/>
        <v>69.692217951744936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219.0417450000003</v>
      </c>
      <c r="BF62" s="13">
        <f t="shared" si="37"/>
        <v>53.906560847753887</v>
      </c>
      <c r="BG62" s="20">
        <f t="shared" si="7"/>
        <v>475.38496601817178</v>
      </c>
      <c r="BH62" s="58">
        <f t="shared" si="8"/>
        <v>755.66072889570887</v>
      </c>
      <c r="BI62" s="58">
        <f ca="1">AVERAGE(OFFSET($BH$3,0,0,'Données projet'!$E$11+1,1))-AVERAGE(OFFSET($H$3,0,0,'Données projet'!$E$11+1,1))</f>
        <v>724.99760740673071</v>
      </c>
      <c r="BJ62" s="58">
        <f t="shared" si="38"/>
        <v>318.24184272438208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39.758667382543003</v>
      </c>
      <c r="BR62" s="21">
        <f>EXP(-LN(2)/2)*BR61+(1-EXP(-LN(2)/2))/(LN(2)/2)*BL62*BO62*VLOOKUP('Données projet'!$B$11,Paramètres!$A$1:$I$89,3,0)*0.475*44/12</f>
        <v>6.8071069630522869</v>
      </c>
      <c r="BS62" s="22">
        <f t="shared" si="9"/>
        <v>46.565774345595287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10.107499999999998</v>
      </c>
      <c r="BY62" s="12">
        <f>IF('Données projet'!$A$114&gt;35,BY61+BX62-CG61,IF(A62&lt;'Données projet'!$A$114,$BV$205^A62,IF(A62='Données projet'!$A$114,'Données projet'!$B$114,BY61+BX62-CG61)))</f>
        <v>216.0175000000003</v>
      </c>
      <c r="BZ62" s="13">
        <f>BY62*VLOOKUP('Données projet'!$B$12,Paramètres!$A$1:$I$89,3,0)*VLOOKUP('Données projet'!$B$12,Paramètres!$A$1:$I$89,5,0)</f>
        <v>205.56225300000028</v>
      </c>
      <c r="CA62" s="13">
        <f t="shared" si="39"/>
        <v>50.964624143866644</v>
      </c>
      <c r="CB62" s="20">
        <f t="shared" si="10"/>
        <v>446.78431102556823</v>
      </c>
      <c r="CC62" s="58">
        <f t="shared" si="11"/>
        <v>727.06007390310538</v>
      </c>
      <c r="CD62" s="58">
        <f ca="1">AVERAGE(OFFSET($CC$3,0,0,'Données projet'!$E$12+1,1))-AVERAGE(OFFSET($H$3,0,0,'Données projet'!$E$12+1,1))</f>
        <v>684.45757350513315</v>
      </c>
      <c r="CE62" s="58">
        <f t="shared" si="40"/>
        <v>301.78148341369194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37.311980159001898</v>
      </c>
      <c r="CM62" s="21">
        <f>EXP(-LN(2)/2)*CM61+(1-EXP(-LN(2)/2))/(LN(2)/2)*CG62*CJ62*VLOOKUP('Données projet'!$B$12,Paramètres!$A$1:$I$89,3,0)*0.475*44/12</f>
        <v>6.3882080730183004</v>
      </c>
      <c r="CN62" s="22">
        <f t="shared" si="12"/>
        <v>43.700188232020196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8" t="e">
        <f t="shared" si="14"/>
        <v>#N/A</v>
      </c>
      <c r="CY62" s="58" t="e">
        <f ca="1">AVERAGE(OFFSET($CX$3,0,0,'Données projet'!$E$13+1,1))-AVERAGE(OFFSET($H$3,0,0,'Données projet'!$E$13+1,1))</f>
        <v>#N/A</v>
      </c>
      <c r="CZ62" s="58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8" t="e">
        <f t="shared" si="17"/>
        <v>#N/A</v>
      </c>
      <c r="DT62" s="58" t="e">
        <f ca="1">AVERAGE(OFFSET($DS$3,0,0,'Données projet'!$E$14+1,1))-AVERAGE(OFFSET($H$3,0,0,'Données projet'!$E$14+1,1))</f>
        <v>#N/A</v>
      </c>
      <c r="DU62" s="58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8" t="e">
        <f t="shared" si="20"/>
        <v>#N/A</v>
      </c>
      <c r="EO62" s="58" t="e">
        <f ca="1">AVERAGE(OFFSET($EN$3,0,0,'Données projet'!$E$15+1,1))-AVERAGE(OFFSET($H$3,0,0,'Données projet'!$E$15+1,1))</f>
        <v>#N/A</v>
      </c>
      <c r="EP62" s="58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8" t="e">
        <f t="shared" si="23"/>
        <v>#N/A</v>
      </c>
      <c r="FJ62" s="58" t="e">
        <f ca="1">AVERAGE(OFFSET($FI$3,0,0,'Données projet'!$E$16+1,1))-AVERAGE(OFFSET($H$3,0,0,'Données projet'!$E$16+1,1))</f>
        <v>#N/A</v>
      </c>
      <c r="FK62" s="58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8" t="e">
        <f t="shared" si="26"/>
        <v>#N/A</v>
      </c>
      <c r="GE62" s="58" t="e">
        <f ca="1">AVERAGE(OFFSET($GD$3,0,0,'Données projet'!$E$17+1,1))-AVERAGE(OFFSET($H$3,0,0,'Données projet'!$E$17+1,1))</f>
        <v>#N/A</v>
      </c>
      <c r="GF62" s="58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66.438844421146484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8" t="e">
        <f t="shared" si="29"/>
        <v>#N/A</v>
      </c>
      <c r="GZ62" s="58" t="e">
        <f ca="1">AVERAGE(OFFSET($GY$3,0,0,'Données projet'!$E$18+1,1))-AVERAGE(OFFSET($H$3,0,0,'Données projet'!$E$18+1,1))</f>
        <v>#N/A</v>
      </c>
      <c r="HA62" s="58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2">
        <f>'Scénario référence'!$B$16*5+'Scénario référence'!$B$17*0+'Scénario référence'!$B$18*5</f>
        <v>2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7.333333333333333</v>
      </c>
      <c r="H63" s="66">
        <f t="shared" si="1"/>
        <v>227.33333333333334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10.107499999999998</v>
      </c>
      <c r="N63" s="13">
        <f>IF('Données projet'!$A$36&gt;35,N62+M63-V62,IF(A63&lt;'Données projet'!$A$36,$K$205^A63,IF(A63='Données projet'!$A$36,'Données projet'!$B$36,N62+M63-V62)))</f>
        <v>226.12500000000028</v>
      </c>
      <c r="O63" s="13">
        <f>N63*VLOOKUP('Données projet'!$B$9,Paramètres!$A$1:$I$89,3,0)*VLOOKUP('Données projet'!$B$9,Paramètres!$A$1:$I$89,5,0)</f>
        <v>204.59790000000024</v>
      </c>
      <c r="P63" s="13">
        <f t="shared" si="33"/>
        <v>50.753306398717811</v>
      </c>
      <c r="Q63" s="20">
        <f t="shared" si="53"/>
        <v>444.73668447776726</v>
      </c>
      <c r="R63" s="58">
        <f t="shared" si="0"/>
        <v>725.23896701035824</v>
      </c>
      <c r="S63" s="58">
        <f ca="1">AVERAGE(OFFSET($R$3,0,0,'Données projet'!$E$9+1,1))-AVERAGE(OFFSET($H$3,0,0,'Données projet'!$E$9+1,1))</f>
        <v>654.0179680178212</v>
      </c>
      <c r="T63" s="58">
        <f t="shared" si="34"/>
        <v>289.42065570013369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34.506845274841467</v>
      </c>
      <c r="AB63" s="21">
        <f>EXP(-LN(2)/2)*AB62+(1-EXP(-LN(2)/2))/(LN(2)/2)*V63*Y63*VLOOKUP('Données projet'!$B$9,Paramètres!$A$1:$I$89,3,0)*0.475*44/12</f>
        <v>4.294990563730976</v>
      </c>
      <c r="AC63" s="22">
        <f t="shared" si="3"/>
        <v>38.801835838572444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15.604000000000003</v>
      </c>
      <c r="AI63" s="13">
        <f>IF('Données projet'!$A$62&gt;35,AI62+AH63-AQ62,IF(A63&lt;'Données projet'!$A$62,$AF$205^A63,IF(A63='Données projet'!$A$62,'Données projet'!$B$62,AI62+AH63-AQ62)))</f>
        <v>536.75600000000009</v>
      </c>
      <c r="AJ63" s="13">
        <f>AI63*VLOOKUP('Données projet'!$B$10,Paramètres!$A$1:$I$89,3,0)*VLOOKUP('Données projet'!$B$10,Paramètres!$A$1:$I$89,5,0)</f>
        <v>320.98008800000008</v>
      </c>
      <c r="AK63" s="13">
        <f t="shared" si="35"/>
        <v>75.557243722559946</v>
      </c>
      <c r="AL63" s="20">
        <f t="shared" si="4"/>
        <v>690.63585275012531</v>
      </c>
      <c r="AM63" s="58">
        <f t="shared" si="5"/>
        <v>971.13813528271635</v>
      </c>
      <c r="AN63" s="58">
        <f ca="1">AVERAGE(OFFSET($AM$3,0,0,'Données projet'!$E$10+1,1))-AVERAGE(OFFSET($H$3,0,0,'Données projet'!$E$10+1,1))</f>
        <v>447.44638185108147</v>
      </c>
      <c r="AO63" s="58">
        <f t="shared" si="36"/>
        <v>384.84260115068605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44.95289856607512</v>
      </c>
      <c r="AV63" s="21">
        <f>EXP(-LN(2)/25)*AV62+(1-EXP(-LN(2)/25))/(LN(2)/25)*Calculateur!AQ63*Calculateur!AS63*VLOOKUP('Données projet'!$B$10,Paramètres!$A$1:$I$89,3,0)*0.475*44/12</f>
        <v>19.44600091201125</v>
      </c>
      <c r="AW63" s="21">
        <f>EXP(-LN(2)/2)*AW62+(1-EXP(-LN(2)/2))/(LN(2)/2)*AQ63*AT63*VLOOKUP('Données projet'!$B$10,Paramètres!$A$1:$I$89,3,0)*0.475*44/12</f>
        <v>2.7205839045546552</v>
      </c>
      <c r="AX63" s="21">
        <f t="shared" si="6"/>
        <v>67.119483382641036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229.29075000000029</v>
      </c>
      <c r="BF63" s="13">
        <f t="shared" si="37"/>
        <v>56.129297544192028</v>
      </c>
      <c r="BG63" s="20">
        <f t="shared" si="7"/>
        <v>497.1065828061349</v>
      </c>
      <c r="BH63" s="58">
        <f t="shared" si="8"/>
        <v>777.60886533872588</v>
      </c>
      <c r="BI63" s="58">
        <f ca="1">AVERAGE(OFFSET($BH$3,0,0,'Données projet'!$E$11+1,1))-AVERAGE(OFFSET($H$3,0,0,'Données projet'!$E$11+1,1))</f>
        <v>724.99760740673071</v>
      </c>
      <c r="BJ63" s="58">
        <f t="shared" si="38"/>
        <v>318.24184272438208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38.671464532149919</v>
      </c>
      <c r="BR63" s="21">
        <f>EXP(-LN(2)/2)*BR62+(1-EXP(-LN(2)/2))/(LN(2)/2)*BL63*BO63*VLOOKUP('Données projet'!$B$11,Paramètres!$A$1:$I$89,3,0)*0.475*44/12</f>
        <v>4.8133514938364375</v>
      </c>
      <c r="BS63" s="22">
        <f t="shared" si="9"/>
        <v>43.484816025986355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10.107499999999998</v>
      </c>
      <c r="BY63" s="12">
        <f>IF('Données projet'!$A$114&gt;35,BY62+BX63-CG62,IF(A63&lt;'Données projet'!$A$114,$BV$205^A63,IF(A63='Données projet'!$A$114,'Données projet'!$B$114,BY62+BX63-CG62)))</f>
        <v>226.12500000000028</v>
      </c>
      <c r="BZ63" s="13">
        <f>BY63*VLOOKUP('Données projet'!$B$12,Paramètres!$A$1:$I$89,3,0)*VLOOKUP('Données projet'!$B$12,Paramètres!$A$1:$I$89,5,0)</f>
        <v>215.18055000000027</v>
      </c>
      <c r="CA63" s="13">
        <f t="shared" si="39"/>
        <v>53.066055556356247</v>
      </c>
      <c r="CB63" s="20">
        <f t="shared" si="10"/>
        <v>467.19617134398754</v>
      </c>
      <c r="CC63" s="58">
        <f t="shared" si="11"/>
        <v>747.69845387657847</v>
      </c>
      <c r="CD63" s="58">
        <f ca="1">AVERAGE(OFFSET($CC$3,0,0,'Données projet'!$E$12+1,1))-AVERAGE(OFFSET($H$3,0,0,'Données projet'!$E$12+1,1))</f>
        <v>684.45757350513315</v>
      </c>
      <c r="CE63" s="58">
        <f t="shared" si="40"/>
        <v>301.78148341369194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36.29168209940223</v>
      </c>
      <c r="CM63" s="21">
        <f>EXP(-LN(2)/2)*CM62+(1-EXP(-LN(2)/2))/(LN(2)/2)*CG63*CJ63*VLOOKUP('Données projet'!$B$12,Paramètres!$A$1:$I$89,3,0)*0.475*44/12</f>
        <v>4.5171452480618877</v>
      </c>
      <c r="CN63" s="22">
        <f t="shared" si="12"/>
        <v>40.808827347464117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8" t="e">
        <f t="shared" si="14"/>
        <v>#N/A</v>
      </c>
      <c r="CY63" s="58" t="e">
        <f ca="1">AVERAGE(OFFSET($CX$3,0,0,'Données projet'!$E$13+1,1))-AVERAGE(OFFSET($H$3,0,0,'Données projet'!$E$13+1,1))</f>
        <v>#N/A</v>
      </c>
      <c r="CZ63" s="58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8" t="e">
        <f t="shared" si="17"/>
        <v>#N/A</v>
      </c>
      <c r="DT63" s="58" t="e">
        <f ca="1">AVERAGE(OFFSET($DS$3,0,0,'Données projet'!$E$14+1,1))-AVERAGE(OFFSET($H$3,0,0,'Données projet'!$E$14+1,1))</f>
        <v>#N/A</v>
      </c>
      <c r="DU63" s="58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8" t="e">
        <f t="shared" si="20"/>
        <v>#N/A</v>
      </c>
      <c r="EO63" s="58" t="e">
        <f ca="1">AVERAGE(OFFSET($EN$3,0,0,'Données projet'!$E$15+1,1))-AVERAGE(OFFSET($H$3,0,0,'Données projet'!$E$15+1,1))</f>
        <v>#N/A</v>
      </c>
      <c r="EP63" s="58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8" t="e">
        <f t="shared" si="23"/>
        <v>#N/A</v>
      </c>
      <c r="FJ63" s="58" t="e">
        <f ca="1">AVERAGE(OFFSET($FI$3,0,0,'Données projet'!$E$16+1,1))-AVERAGE(OFFSET($H$3,0,0,'Données projet'!$E$16+1,1))</f>
        <v>#N/A</v>
      </c>
      <c r="FK63" s="58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8" t="e">
        <f t="shared" si="26"/>
        <v>#N/A</v>
      </c>
      <c r="GE63" s="58" t="e">
        <f ca="1">AVERAGE(OFFSET($GD$3,0,0,'Données projet'!$E$17+1,1))-AVERAGE(OFFSET($H$3,0,0,'Données projet'!$E$17+1,1))</f>
        <v>#N/A</v>
      </c>
      <c r="GF63" s="58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66.500622508888455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8" t="e">
        <f t="shared" si="29"/>
        <v>#N/A</v>
      </c>
      <c r="GZ63" s="58" t="e">
        <f ca="1">AVERAGE(OFFSET($GY$3,0,0,'Données projet'!$E$18+1,1))-AVERAGE(OFFSET($H$3,0,0,'Données projet'!$E$18+1,1))</f>
        <v>#N/A</v>
      </c>
      <c r="HA63" s="58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2">
        <f>'Scénario référence'!$B$16*5+'Scénario référence'!$B$17*0+'Scénario référence'!$B$18*5</f>
        <v>2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7.333333333333333</v>
      </c>
      <c r="H64" s="66">
        <f t="shared" si="1"/>
        <v>227.33333333333334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10.107499999999998</v>
      </c>
      <c r="N64" s="13">
        <f>IF('Données projet'!$A$36&gt;35,N63+M64-V63,IF(A64&lt;'Données projet'!$A$36,$K$205^A64,IF(A64='Données projet'!$A$36,'Données projet'!$B$36,N63+M64-V63)))</f>
        <v>236.23250000000027</v>
      </c>
      <c r="O64" s="13">
        <f>N64*VLOOKUP('Données projet'!$B$9,Paramètres!$A$1:$I$89,3,0)*VLOOKUP('Données projet'!$B$9,Paramètres!$A$1:$I$89,5,0)</f>
        <v>213.74316600000023</v>
      </c>
      <c r="P64" s="13">
        <f t="shared" si="33"/>
        <v>52.752718660626023</v>
      </c>
      <c r="Q64" s="20">
        <f t="shared" si="53"/>
        <v>464.14699911725734</v>
      </c>
      <c r="R64" s="58">
        <f t="shared" si="0"/>
        <v>744.87187169530898</v>
      </c>
      <c r="S64" s="58">
        <f ca="1">AVERAGE(OFFSET($R$3,0,0,'Données projet'!$E$9+1,1))-AVERAGE(OFFSET($H$3,0,0,'Données projet'!$E$9+1,1))</f>
        <v>654.0179680178212</v>
      </c>
      <c r="T64" s="58">
        <f t="shared" si="34"/>
        <v>289.42065570013369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33.5632537761648</v>
      </c>
      <c r="AB64" s="21">
        <f>EXP(-LN(2)/2)*AB63+(1-EXP(-LN(2)/2))/(LN(2)/2)*V64*Y64*VLOOKUP('Données projet'!$B$9,Paramètres!$A$1:$I$89,3,0)*0.475*44/12</f>
        <v>3.0370169527464057</v>
      </c>
      <c r="AC64" s="22">
        <f t="shared" si="3"/>
        <v>36.600270728911205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15.604000000000003</v>
      </c>
      <c r="AI64" s="13">
        <f>IF('Données projet'!$A$62&gt;35,AI63+AH64-AQ63,IF(A64&lt;'Données projet'!$A$62,$AF$205^A64,IF(A64='Données projet'!$A$62,'Données projet'!$B$62,AI63+AH64-AQ63)))</f>
        <v>552.36000000000013</v>
      </c>
      <c r="AJ64" s="13">
        <f>AI64*VLOOKUP('Données projet'!$B$10,Paramètres!$A$1:$I$89,3,0)*VLOOKUP('Données projet'!$B$10,Paramètres!$A$1:$I$89,5,0)</f>
        <v>330.31128000000007</v>
      </c>
      <c r="AK64" s="13">
        <f t="shared" si="35"/>
        <v>77.494839915927869</v>
      </c>
      <c r="AL64" s="20">
        <f t="shared" si="4"/>
        <v>710.26232552024112</v>
      </c>
      <c r="AM64" s="58">
        <f t="shared" si="5"/>
        <v>990.98719809829277</v>
      </c>
      <c r="AN64" s="58">
        <f ca="1">AVERAGE(OFFSET($AM$3,0,0,'Données projet'!$E$10+1,1))-AVERAGE(OFFSET($H$3,0,0,'Données projet'!$E$10+1,1))</f>
        <v>447.44638185108147</v>
      </c>
      <c r="AO64" s="58">
        <f t="shared" si="36"/>
        <v>384.84260115068605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44.071399643755157</v>
      </c>
      <c r="AV64" s="21">
        <f>EXP(-LN(2)/25)*AV63+(1-EXP(-LN(2)/25))/(LN(2)/25)*Calculateur!AQ64*Calculateur!AS64*VLOOKUP('Données projet'!$B$10,Paramètres!$A$1:$I$89,3,0)*0.475*44/12</f>
        <v>18.914248994451558</v>
      </c>
      <c r="AW64" s="21">
        <f>EXP(-LN(2)/2)*AW63+(1-EXP(-LN(2)/2))/(LN(2)/2)*AQ64*AT64*VLOOKUP('Données projet'!$B$10,Paramètres!$A$1:$I$89,3,0)*0.475*44/12</f>
        <v>1.9237433276975717</v>
      </c>
      <c r="AX64" s="21">
        <f t="shared" si="6"/>
        <v>64.909391965904277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239.5397550000003</v>
      </c>
      <c r="BF64" s="13">
        <f t="shared" si="37"/>
        <v>58.340495468530364</v>
      </c>
      <c r="BG64" s="20">
        <f t="shared" si="7"/>
        <v>518.80810289935755</v>
      </c>
      <c r="BH64" s="58">
        <f t="shared" si="8"/>
        <v>799.53297547740931</v>
      </c>
      <c r="BI64" s="58">
        <f ca="1">AVERAGE(OFFSET($BH$3,0,0,'Données projet'!$E$11+1,1))-AVERAGE(OFFSET($H$3,0,0,'Données projet'!$E$11+1,1))</f>
        <v>724.99760740673071</v>
      </c>
      <c r="BJ64" s="58">
        <f t="shared" si="38"/>
        <v>318.24184272438208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37.613991300874346</v>
      </c>
      <c r="BR64" s="21">
        <f>EXP(-LN(2)/2)*BR63+(1-EXP(-LN(2)/2))/(LN(2)/2)*BL64*BO64*VLOOKUP('Données projet'!$B$11,Paramètres!$A$1:$I$89,3,0)*0.475*44/12</f>
        <v>3.4035534815261435</v>
      </c>
      <c r="BS64" s="22">
        <f t="shared" si="9"/>
        <v>41.017544782400492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10.107499999999998</v>
      </c>
      <c r="BY64" s="12">
        <f>IF('Données projet'!$A$114&gt;35,BY63+BX64-CG63,IF(A64&lt;'Données projet'!$A$114,$BV$205^A64,IF(A64='Données projet'!$A$114,'Données projet'!$B$114,BY63+BX64-CG63)))</f>
        <v>236.23250000000027</v>
      </c>
      <c r="BZ64" s="13">
        <f>BY64*VLOOKUP('Données projet'!$B$12,Paramètres!$A$1:$I$89,3,0)*VLOOKUP('Données projet'!$B$12,Paramètres!$A$1:$I$89,5,0)</f>
        <v>224.79884700000025</v>
      </c>
      <c r="CA64" s="13">
        <f t="shared" si="39"/>
        <v>55.156577922267701</v>
      </c>
      <c r="CB64" s="20">
        <f t="shared" si="10"/>
        <v>487.5890317396167</v>
      </c>
      <c r="CC64" s="58">
        <f t="shared" si="11"/>
        <v>768.3139043176684</v>
      </c>
      <c r="CD64" s="58">
        <f ca="1">AVERAGE(OFFSET($CC$3,0,0,'Données projet'!$E$12+1,1))-AVERAGE(OFFSET($H$3,0,0,'Données projet'!$E$12+1,1))</f>
        <v>684.45757350513315</v>
      </c>
      <c r="CE64" s="58">
        <f t="shared" si="40"/>
        <v>301.78148341369194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35.299284143897459</v>
      </c>
      <c r="CM64" s="21">
        <f>EXP(-LN(2)/2)*CM63+(1-EXP(-LN(2)/2))/(LN(2)/2)*CG64*CJ64*VLOOKUP('Données projet'!$B$12,Paramètres!$A$1:$I$89,3,0)*0.475*44/12</f>
        <v>3.1941040365091502</v>
      </c>
      <c r="CN64" s="22">
        <f t="shared" si="12"/>
        <v>38.493388180406612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8" t="e">
        <f t="shared" si="14"/>
        <v>#N/A</v>
      </c>
      <c r="CY64" s="58" t="e">
        <f ca="1">AVERAGE(OFFSET($CX$3,0,0,'Données projet'!$E$13+1,1))-AVERAGE(OFFSET($H$3,0,0,'Données projet'!$E$13+1,1))</f>
        <v>#N/A</v>
      </c>
      <c r="CZ64" s="58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8" t="e">
        <f t="shared" si="17"/>
        <v>#N/A</v>
      </c>
      <c r="DT64" s="58" t="e">
        <f ca="1">AVERAGE(OFFSET($DS$3,0,0,'Données projet'!$E$14+1,1))-AVERAGE(OFFSET($H$3,0,0,'Données projet'!$E$14+1,1))</f>
        <v>#N/A</v>
      </c>
      <c r="DU64" s="58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8" t="e">
        <f t="shared" si="20"/>
        <v>#N/A</v>
      </c>
      <c r="EO64" s="58" t="e">
        <f ca="1">AVERAGE(OFFSET($EN$3,0,0,'Données projet'!$E$15+1,1))-AVERAGE(OFFSET($H$3,0,0,'Données projet'!$E$15+1,1))</f>
        <v>#N/A</v>
      </c>
      <c r="EP64" s="58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8" t="e">
        <f t="shared" si="23"/>
        <v>#N/A</v>
      </c>
      <c r="FJ64" s="58" t="e">
        <f ca="1">AVERAGE(OFFSET($FI$3,0,0,'Données projet'!$E$16+1,1))-AVERAGE(OFFSET($H$3,0,0,'Données projet'!$E$16+1,1))</f>
        <v>#N/A</v>
      </c>
      <c r="FK64" s="58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8" t="e">
        <f t="shared" si="26"/>
        <v>#N/A</v>
      </c>
      <c r="GE64" s="58" t="e">
        <f ca="1">AVERAGE(OFFSET($GD$3,0,0,'Données projet'!$E$17+1,1))-AVERAGE(OFFSET($H$3,0,0,'Données projet'!$E$17+1,1))</f>
        <v>#N/A</v>
      </c>
      <c r="GF64" s="58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66.561328884923199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8" t="e">
        <f t="shared" si="29"/>
        <v>#N/A</v>
      </c>
      <c r="GZ64" s="58" t="e">
        <f ca="1">AVERAGE(OFFSET($GY$3,0,0,'Données projet'!$E$18+1,1))-AVERAGE(OFFSET($H$3,0,0,'Données projet'!$E$18+1,1))</f>
        <v>#N/A</v>
      </c>
      <c r="HA64" s="58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2">
        <f>'Scénario référence'!$B$16*5+'Scénario référence'!$B$17*0+'Scénario référence'!$B$18*5</f>
        <v>2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7.333333333333333</v>
      </c>
      <c r="H65" s="66">
        <f t="shared" si="1"/>
        <v>227.33333333333334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10.107499999999998</v>
      </c>
      <c r="N65" s="13">
        <f>IF('Données projet'!$A$36&gt;35,N64+M65-V64,IF(A65&lt;'Données projet'!$A$36,$K$205^A65,IF(A65='Données projet'!$A$36,'Données projet'!$B$36,N64+M65-V64)))</f>
        <v>246.34000000000026</v>
      </c>
      <c r="O65" s="13">
        <f>N65*VLOOKUP('Données projet'!$B$9,Paramètres!$A$1:$I$89,3,0)*VLOOKUP('Données projet'!$B$9,Paramètres!$A$1:$I$89,5,0)</f>
        <v>222.88843200000022</v>
      </c>
      <c r="P65" s="13">
        <f t="shared" si="33"/>
        <v>54.74219476708182</v>
      </c>
      <c r="Q65" s="20">
        <f t="shared" si="53"/>
        <v>483.54000828600118</v>
      </c>
      <c r="R65" s="58">
        <f t="shared" si="0"/>
        <v>764.48360946986168</v>
      </c>
      <c r="S65" s="58">
        <f ca="1">AVERAGE(OFFSET($R$3,0,0,'Données projet'!$E$9+1,1))-AVERAGE(OFFSET($H$3,0,0,'Données projet'!$E$9+1,1))</f>
        <v>654.0179680178212</v>
      </c>
      <c r="T65" s="58">
        <f t="shared" si="34"/>
        <v>289.42065570013369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32.64546483664077</v>
      </c>
      <c r="AB65" s="21">
        <f>EXP(-LN(2)/2)*AB64+(1-EXP(-LN(2)/2))/(LN(2)/2)*V65*Y65*VLOOKUP('Données projet'!$B$9,Paramètres!$A$1:$I$89,3,0)*0.475*44/12</f>
        <v>2.147495281865488</v>
      </c>
      <c r="AC65" s="22">
        <f t="shared" si="3"/>
        <v>34.792960118506258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15.604000000000003</v>
      </c>
      <c r="AI65" s="13">
        <f>IF('Données projet'!$A$62&gt;35,AI64+AH65-AQ64,IF(A65&lt;'Données projet'!$A$62,$AF$205^A65,IF(A65='Données projet'!$A$62,'Données projet'!$B$62,AI64+AH65-AQ64)))</f>
        <v>567.96400000000017</v>
      </c>
      <c r="AJ65" s="13">
        <f>AI65*VLOOKUP('Données projet'!$B$10,Paramètres!$A$1:$I$89,3,0)*VLOOKUP('Données projet'!$B$10,Paramètres!$A$1:$I$89,5,0)</f>
        <v>339.64247200000017</v>
      </c>
      <c r="AK65" s="13">
        <f t="shared" si="35"/>
        <v>79.426074350869143</v>
      </c>
      <c r="AL65" s="20">
        <f t="shared" si="4"/>
        <v>729.87771822776403</v>
      </c>
      <c r="AM65" s="58">
        <f t="shared" si="5"/>
        <v>1010.8213194116246</v>
      </c>
      <c r="AN65" s="58">
        <f ca="1">AVERAGE(OFFSET($AM$3,0,0,'Données projet'!$E$10+1,1))-AVERAGE(OFFSET($H$3,0,0,'Données projet'!$E$10+1,1))</f>
        <v>447.44638185108147</v>
      </c>
      <c r="AO65" s="58">
        <f t="shared" si="36"/>
        <v>384.84260115068605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43.207186377640632</v>
      </c>
      <c r="AV65" s="21">
        <f>EXP(-LN(2)/25)*AV64+(1-EXP(-LN(2)/25))/(LN(2)/25)*Calculateur!AQ65*Calculateur!AS65*VLOOKUP('Données projet'!$B$10,Paramètres!$A$1:$I$89,3,0)*0.475*44/12</f>
        <v>18.397037861041156</v>
      </c>
      <c r="AW65" s="21">
        <f>EXP(-LN(2)/2)*AW64+(1-EXP(-LN(2)/2))/(LN(2)/2)*AQ65*AT65*VLOOKUP('Données projet'!$B$10,Paramètres!$A$1:$I$89,3,0)*0.475*44/12</f>
        <v>1.3602919522773278</v>
      </c>
      <c r="AX65" s="21">
        <f t="shared" si="6"/>
        <v>62.964516190959117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249.78876000000028</v>
      </c>
      <c r="BF65" s="13">
        <f t="shared" si="37"/>
        <v>60.540704760493632</v>
      </c>
      <c r="BG65" s="20">
        <f t="shared" si="7"/>
        <v>540.49048445786013</v>
      </c>
      <c r="BH65" s="58">
        <f t="shared" si="8"/>
        <v>821.43408564172069</v>
      </c>
      <c r="BI65" s="58">
        <f ca="1">AVERAGE(OFFSET($BH$3,0,0,'Données projet'!$E$11+1,1))-AVERAGE(OFFSET($H$3,0,0,'Données projet'!$E$11+1,1))</f>
        <v>724.99760740673071</v>
      </c>
      <c r="BJ65" s="58">
        <f t="shared" si="38"/>
        <v>318.24184272438208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36.585434730718106</v>
      </c>
      <c r="BR65" s="21">
        <f>EXP(-LN(2)/2)*BR64+(1-EXP(-LN(2)/2))/(LN(2)/2)*BL65*BO65*VLOOKUP('Données projet'!$B$11,Paramètres!$A$1:$I$89,3,0)*0.475*44/12</f>
        <v>2.4066757469182187</v>
      </c>
      <c r="BS65" s="22">
        <f t="shared" si="9"/>
        <v>38.992110477636324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10.107499999999998</v>
      </c>
      <c r="BY65" s="12">
        <f>IF('Données projet'!$A$114&gt;35,BY64+BX65-CG64,IF(A65&lt;'Données projet'!$A$114,$BV$205^A65,IF(A65='Données projet'!$A$114,'Données projet'!$B$114,BY64+BX65-CG64)))</f>
        <v>246.34000000000026</v>
      </c>
      <c r="BZ65" s="13">
        <f>BY65*VLOOKUP('Données projet'!$B$12,Paramètres!$A$1:$I$89,3,0)*VLOOKUP('Données projet'!$B$12,Paramètres!$A$1:$I$89,5,0)</f>
        <v>234.41714400000023</v>
      </c>
      <c r="CA65" s="13">
        <f t="shared" si="39"/>
        <v>57.236711357591943</v>
      </c>
      <c r="CB65" s="20">
        <f t="shared" si="10"/>
        <v>507.96379808113971</v>
      </c>
      <c r="CC65" s="58">
        <f t="shared" si="11"/>
        <v>788.90739926500032</v>
      </c>
      <c r="CD65" s="58">
        <f ca="1">AVERAGE(OFFSET($CC$3,0,0,'Données projet'!$E$12+1,1))-AVERAGE(OFFSET($H$3,0,0,'Données projet'!$E$12+1,1))</f>
        <v>684.45757350513315</v>
      </c>
      <c r="CE65" s="58">
        <f t="shared" si="40"/>
        <v>301.78148341369194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34.334023362673911</v>
      </c>
      <c r="CM65" s="21">
        <f>EXP(-LN(2)/2)*CM64+(1-EXP(-LN(2)/2))/(LN(2)/2)*CG65*CJ65*VLOOKUP('Données projet'!$B$12,Paramètres!$A$1:$I$89,3,0)*0.475*44/12</f>
        <v>2.2585726240309438</v>
      </c>
      <c r="CN65" s="22">
        <f t="shared" si="12"/>
        <v>36.592595986704858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8" t="e">
        <f t="shared" si="14"/>
        <v>#N/A</v>
      </c>
      <c r="CY65" s="58" t="e">
        <f ca="1">AVERAGE(OFFSET($CX$3,0,0,'Données projet'!$E$13+1,1))-AVERAGE(OFFSET($H$3,0,0,'Données projet'!$E$13+1,1))</f>
        <v>#N/A</v>
      </c>
      <c r="CZ65" s="58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8" t="e">
        <f t="shared" si="17"/>
        <v>#N/A</v>
      </c>
      <c r="DT65" s="58" t="e">
        <f ca="1">AVERAGE(OFFSET($DS$3,0,0,'Données projet'!$E$14+1,1))-AVERAGE(OFFSET($H$3,0,0,'Données projet'!$E$14+1,1))</f>
        <v>#N/A</v>
      </c>
      <c r="DU65" s="58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8" t="e">
        <f t="shared" si="20"/>
        <v>#N/A</v>
      </c>
      <c r="EO65" s="58" t="e">
        <f ca="1">AVERAGE(OFFSET($EN$3,0,0,'Données projet'!$E$15+1,1))-AVERAGE(OFFSET($H$3,0,0,'Données projet'!$E$15+1,1))</f>
        <v>#N/A</v>
      </c>
      <c r="EP65" s="58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8" t="e">
        <f t="shared" si="23"/>
        <v>#N/A</v>
      </c>
      <c r="FJ65" s="58" t="e">
        <f ca="1">AVERAGE(OFFSET($FI$3,0,0,'Données projet'!$E$16+1,1))-AVERAGE(OFFSET($H$3,0,0,'Données projet'!$E$16+1,1))</f>
        <v>#N/A</v>
      </c>
      <c r="FK65" s="58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8" t="e">
        <f t="shared" si="26"/>
        <v>#N/A</v>
      </c>
      <c r="GE65" s="58" t="e">
        <f ca="1">AVERAGE(OFFSET($GD$3,0,0,'Données projet'!$E$17+1,1))-AVERAGE(OFFSET($H$3,0,0,'Données projet'!$E$17+1,1))</f>
        <v>#N/A</v>
      </c>
      <c r="GF65" s="58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66.620982141052878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8" t="e">
        <f t="shared" si="29"/>
        <v>#N/A</v>
      </c>
      <c r="GZ65" s="58" t="e">
        <f ca="1">AVERAGE(OFFSET($GY$3,0,0,'Données projet'!$E$18+1,1))-AVERAGE(OFFSET($H$3,0,0,'Données projet'!$E$18+1,1))</f>
        <v>#N/A</v>
      </c>
      <c r="HA65" s="58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2">
        <f>'Scénario référence'!$B$16*5+'Scénario référence'!$B$17*0+'Scénario référence'!$B$18*5</f>
        <v>2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7.333333333333333</v>
      </c>
      <c r="H66" s="66">
        <f t="shared" si="1"/>
        <v>227.33333333333334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10.107499999999998</v>
      </c>
      <c r="N66" s="13">
        <f>IF('Données projet'!$A$36&gt;35,N65+M66-V65,IF(A66&lt;'Données projet'!$A$36,$K$205^A66,IF(A66='Données projet'!$A$36,'Données projet'!$B$36,N65+M66-V65)))</f>
        <v>256.44750000000028</v>
      </c>
      <c r="O66" s="13">
        <f>N66*VLOOKUP('Données projet'!$B$9,Paramètres!$A$1:$I$89,3,0)*VLOOKUP('Données projet'!$B$9,Paramètres!$A$1:$I$89,5,0)</f>
        <v>232.03369800000024</v>
      </c>
      <c r="P66" s="13">
        <f t="shared" si="33"/>
        <v>56.722189034958802</v>
      </c>
      <c r="Q66" s="20">
        <f t="shared" si="53"/>
        <v>502.91650325255364</v>
      </c>
      <c r="R66" s="58">
        <f t="shared" si="0"/>
        <v>784.07503858991606</v>
      </c>
      <c r="S66" s="58">
        <f ca="1">AVERAGE(OFFSET($R$3,0,0,'Données projet'!$E$9+1,1))-AVERAGE(OFFSET($H$3,0,0,'Données projet'!$E$9+1,1))</f>
        <v>654.0179680178212</v>
      </c>
      <c r="T66" s="58">
        <f t="shared" si="34"/>
        <v>289.42065570013369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31.752772883932444</v>
      </c>
      <c r="AB66" s="21">
        <f>EXP(-LN(2)/2)*AB65+(1-EXP(-LN(2)/2))/(LN(2)/2)*V66*Y66*VLOOKUP('Données projet'!$B$9,Paramètres!$A$1:$I$89,3,0)*0.475*44/12</f>
        <v>1.5185084763732029</v>
      </c>
      <c r="AC66" s="22">
        <f t="shared" si="3"/>
        <v>33.27128136030565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15.604000000000003</v>
      </c>
      <c r="AI66" s="13">
        <f>IF('Données projet'!$A$62&gt;35,AI65+AH66-AQ65,IF(A66&lt;'Données projet'!$A$62,$AF$205^A66,IF(A66='Données projet'!$A$62,'Données projet'!$B$62,AI65+AH66-AQ65)))</f>
        <v>583.56800000000021</v>
      </c>
      <c r="AJ66" s="13">
        <f>AI66*VLOOKUP('Données projet'!$B$10,Paramètres!$A$1:$I$89,3,0)*VLOOKUP('Données projet'!$B$10,Paramètres!$A$1:$I$89,5,0)</f>
        <v>348.97366400000016</v>
      </c>
      <c r="AK66" s="13">
        <f t="shared" si="35"/>
        <v>81.351141890018027</v>
      </c>
      <c r="AL66" s="20">
        <f t="shared" si="4"/>
        <v>749.48237025844844</v>
      </c>
      <c r="AM66" s="58">
        <f t="shared" si="5"/>
        <v>1030.6409055958109</v>
      </c>
      <c r="AN66" s="58">
        <f ca="1">AVERAGE(OFFSET($AM$3,0,0,'Données projet'!$E$10+1,1))-AVERAGE(OFFSET($H$3,0,0,'Données projet'!$E$10+1,1))</f>
        <v>447.44638185108147</v>
      </c>
      <c r="AO66" s="58">
        <f t="shared" si="36"/>
        <v>384.84260115068605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42.359919806556569</v>
      </c>
      <c r="AV66" s="21">
        <f>EXP(-LN(2)/25)*AV65+(1-EXP(-LN(2)/25))/(LN(2)/25)*Calculateur!AQ66*Calculateur!AS66*VLOOKUP('Données projet'!$B$10,Paramètres!$A$1:$I$89,3,0)*0.475*44/12</f>
        <v>17.893969893272811</v>
      </c>
      <c r="AW66" s="21">
        <f>EXP(-LN(2)/2)*AW65+(1-EXP(-LN(2)/2))/(LN(2)/2)*AQ66*AT66*VLOOKUP('Données projet'!$B$10,Paramètres!$A$1:$I$89,3,0)*0.475*44/12</f>
        <v>0.96187166384878608</v>
      </c>
      <c r="AX66" s="21">
        <f t="shared" si="6"/>
        <v>61.215761363678169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260.03776500000026</v>
      </c>
      <c r="BF66" s="13">
        <f t="shared" si="37"/>
        <v>62.730427859997341</v>
      </c>
      <c r="BG66" s="20">
        <f t="shared" si="7"/>
        <v>562.1546025644958</v>
      </c>
      <c r="BH66" s="58">
        <f t="shared" si="8"/>
        <v>843.31313790185823</v>
      </c>
      <c r="BI66" s="58">
        <f ca="1">AVERAGE(OFFSET($BH$3,0,0,'Données projet'!$E$11+1,1))-AVERAGE(OFFSET($H$3,0,0,'Données projet'!$E$11+1,1))</f>
        <v>724.99760740673071</v>
      </c>
      <c r="BJ66" s="58">
        <f t="shared" si="38"/>
        <v>318.24184272438208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35.585004094062221</v>
      </c>
      <c r="BR66" s="21">
        <f>EXP(-LN(2)/2)*BR65+(1-EXP(-LN(2)/2))/(LN(2)/2)*BL66*BO66*VLOOKUP('Données projet'!$B$11,Paramètres!$A$1:$I$89,3,0)*0.475*44/12</f>
        <v>1.7017767407630717</v>
      </c>
      <c r="BS66" s="22">
        <f t="shared" si="9"/>
        <v>37.286780834825294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10.107499999999998</v>
      </c>
      <c r="BY66" s="12">
        <f>IF('Données projet'!$A$114&gt;35,BY65+BX66-CG65,IF(A66&lt;'Données projet'!$A$114,$BV$205^A66,IF(A66='Données projet'!$A$114,'Données projet'!$B$114,BY65+BX66-CG65)))</f>
        <v>256.44750000000028</v>
      </c>
      <c r="BZ66" s="13">
        <f>BY66*VLOOKUP('Données projet'!$B$12,Paramètres!$A$1:$I$89,3,0)*VLOOKUP('Données projet'!$B$12,Paramètres!$A$1:$I$89,5,0)</f>
        <v>244.03544100000028</v>
      </c>
      <c r="CA66" s="13">
        <f t="shared" si="39"/>
        <v>59.306930881715026</v>
      </c>
      <c r="CB66" s="20">
        <f t="shared" si="10"/>
        <v>528.3212976939875</v>
      </c>
      <c r="CC66" s="58">
        <f t="shared" si="11"/>
        <v>809.47983303134993</v>
      </c>
      <c r="CD66" s="58">
        <f ca="1">AVERAGE(OFFSET($CC$3,0,0,'Données projet'!$E$12+1,1))-AVERAGE(OFFSET($H$3,0,0,'Données projet'!$E$12+1,1))</f>
        <v>684.45757350513315</v>
      </c>
      <c r="CE66" s="58">
        <f t="shared" si="40"/>
        <v>301.78148341369194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33.395157688273777</v>
      </c>
      <c r="CM66" s="21">
        <f>EXP(-LN(2)/2)*CM65+(1-EXP(-LN(2)/2))/(LN(2)/2)*CG66*CJ66*VLOOKUP('Données projet'!$B$12,Paramètres!$A$1:$I$89,3,0)*0.475*44/12</f>
        <v>1.5970520182545751</v>
      </c>
      <c r="CN66" s="22">
        <f t="shared" si="12"/>
        <v>34.992209706528349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8" t="e">
        <f t="shared" si="14"/>
        <v>#N/A</v>
      </c>
      <c r="CY66" s="58" t="e">
        <f ca="1">AVERAGE(OFFSET($CX$3,0,0,'Données projet'!$E$13+1,1))-AVERAGE(OFFSET($H$3,0,0,'Données projet'!$E$13+1,1))</f>
        <v>#N/A</v>
      </c>
      <c r="CZ66" s="58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8" t="e">
        <f t="shared" si="17"/>
        <v>#N/A</v>
      </c>
      <c r="DT66" s="58" t="e">
        <f ca="1">AVERAGE(OFFSET($DS$3,0,0,'Données projet'!$E$14+1,1))-AVERAGE(OFFSET($H$3,0,0,'Données projet'!$E$14+1,1))</f>
        <v>#N/A</v>
      </c>
      <c r="DU66" s="58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8" t="e">
        <f t="shared" si="20"/>
        <v>#N/A</v>
      </c>
      <c r="EO66" s="58" t="e">
        <f ca="1">AVERAGE(OFFSET($EN$3,0,0,'Données projet'!$E$15+1,1))-AVERAGE(OFFSET($H$3,0,0,'Données projet'!$E$15+1,1))</f>
        <v>#N/A</v>
      </c>
      <c r="EP66" s="58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8" t="e">
        <f t="shared" si="23"/>
        <v>#N/A</v>
      </c>
      <c r="FJ66" s="58" t="e">
        <f ca="1">AVERAGE(OFFSET($FI$3,0,0,'Données projet'!$E$16+1,1))-AVERAGE(OFFSET($H$3,0,0,'Données projet'!$E$16+1,1))</f>
        <v>#N/A</v>
      </c>
      <c r="FK66" s="58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8" t="e">
        <f t="shared" si="26"/>
        <v>#N/A</v>
      </c>
      <c r="GE66" s="58" t="e">
        <f ca="1">AVERAGE(OFFSET($GD$3,0,0,'Données projet'!$E$17+1,1))-AVERAGE(OFFSET($H$3,0,0,'Données projet'!$E$17+1,1))</f>
        <v>#N/A</v>
      </c>
      <c r="GF66" s="58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66.679600546553388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8" t="e">
        <f t="shared" si="29"/>
        <v>#N/A</v>
      </c>
      <c r="GZ66" s="58" t="e">
        <f ca="1">AVERAGE(OFFSET($GY$3,0,0,'Données projet'!$E$18+1,1))-AVERAGE(OFFSET($H$3,0,0,'Données projet'!$E$18+1,1))</f>
        <v>#N/A</v>
      </c>
      <c r="HA66" s="58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2">
        <f>'Scénario référence'!$B$16*5+'Scénario référence'!$B$17*0+'Scénario référence'!$B$18*5</f>
        <v>2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7.333333333333333</v>
      </c>
      <c r="H67" s="66">
        <f t="shared" si="1"/>
        <v>227.33333333333334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10.107499999999998</v>
      </c>
      <c r="N67" s="13">
        <f>IF('Données projet'!$A$36&gt;35,N66+M67-V66,IF(A67&lt;'Données projet'!$A$36,$K$205^A67,IF(A67='Données projet'!$A$36,'Données projet'!$B$36,N66+M67-V66)))</f>
        <v>266.55500000000029</v>
      </c>
      <c r="O67" s="13">
        <f>N67*VLOOKUP('Données projet'!$B$9,Paramètres!$A$1:$I$89,3,0)*VLOOKUP('Données projet'!$B$9,Paramètres!$A$1:$I$89,5,0)</f>
        <v>241.17896400000026</v>
      </c>
      <c r="P67" s="13">
        <f t="shared" si="33"/>
        <v>58.693117941200413</v>
      </c>
      <c r="Q67" s="20">
        <f t="shared" ref="Q67:Q98" si="54">(O67+P67)*0.475*44/12</f>
        <v>522.27720938092455</v>
      </c>
      <c r="R67" s="58">
        <f t="shared" ref="R67:R130" si="55">Q67+(I67+J67)*44/12</f>
        <v>803.64695024474645</v>
      </c>
      <c r="S67" s="58">
        <f ca="1">AVERAGE(OFFSET($R$3,0,0,'Données projet'!$E$9+1,1))-AVERAGE(OFFSET($H$3,0,0,'Données projet'!$E$9+1,1))</f>
        <v>654.0179680178212</v>
      </c>
      <c r="T67" s="58">
        <f t="shared" si="34"/>
        <v>289.42065570013369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30.884491639615558</v>
      </c>
      <c r="AB67" s="21">
        <f>EXP(-LN(2)/2)*AB66+(1-EXP(-LN(2)/2))/(LN(2)/2)*V67*Y67*VLOOKUP('Données projet'!$B$9,Paramètres!$A$1:$I$89,3,0)*0.475*44/12</f>
        <v>1.073747640932744</v>
      </c>
      <c r="AC67" s="22">
        <f t="shared" si="3"/>
        <v>31.958239280548302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15.604000000000003</v>
      </c>
      <c r="AI67" s="13">
        <f>IF('Données projet'!$A$62&gt;35,AI66+AH67-AQ66,IF(A67&lt;'Données projet'!$A$62,$AF$205^A67,IF(A67='Données projet'!$A$62,'Données projet'!$B$62,AI66+AH67-AQ66)))</f>
        <v>599.17200000000025</v>
      </c>
      <c r="AJ67" s="13">
        <f>AI67*VLOOKUP('Données projet'!$B$10,Paramètres!$A$1:$I$89,3,0)*VLOOKUP('Données projet'!$B$10,Paramètres!$A$1:$I$89,5,0)</f>
        <v>358.3048560000002</v>
      </c>
      <c r="AK67" s="13">
        <f t="shared" si="35"/>
        <v>83.270226381847223</v>
      </c>
      <c r="AL67" s="20">
        <f t="shared" si="4"/>
        <v>769.07660181505105</v>
      </c>
      <c r="AM67" s="58">
        <f t="shared" si="5"/>
        <v>1050.446342678873</v>
      </c>
      <c r="AN67" s="58">
        <f ca="1">AVERAGE(OFFSET($AM$3,0,0,'Données projet'!$E$10+1,1))-AVERAGE(OFFSET($H$3,0,0,'Données projet'!$E$10+1,1))</f>
        <v>447.44638185108147</v>
      </c>
      <c r="AO67" s="58">
        <f t="shared" si="36"/>
        <v>384.84260115068605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41.529267616149887</v>
      </c>
      <c r="AV67" s="21">
        <f>EXP(-LN(2)/25)*AV66+(1-EXP(-LN(2)/25))/(LN(2)/25)*Calculateur!AQ67*Calculateur!AS67*VLOOKUP('Données projet'!$B$10,Paramètres!$A$1:$I$89,3,0)*0.475*44/12</f>
        <v>17.404658345538287</v>
      </c>
      <c r="AW67" s="21">
        <f>EXP(-LN(2)/2)*AW66+(1-EXP(-LN(2)/2))/(LN(2)/2)*AQ67*AT67*VLOOKUP('Données projet'!$B$10,Paramètres!$A$1:$I$89,3,0)*0.475*44/12</f>
        <v>0.68014597613866401</v>
      </c>
      <c r="AX67" s="21">
        <f t="shared" si="6"/>
        <v>59.614071937826836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270.28677000000033</v>
      </c>
      <c r="BF67" s="13">
        <f t="shared" si="37"/>
        <v>64.910125358871667</v>
      </c>
      <c r="BG67" s="20">
        <f t="shared" si="7"/>
        <v>583.80125941670201</v>
      </c>
      <c r="BH67" s="58">
        <f t="shared" si="8"/>
        <v>865.17100028052391</v>
      </c>
      <c r="BI67" s="58">
        <f ca="1">AVERAGE(OFFSET($BH$3,0,0,'Données projet'!$E$11+1,1))-AVERAGE(OFFSET($H$3,0,0,'Données projet'!$E$11+1,1))</f>
        <v>724.99760740673071</v>
      </c>
      <c r="BJ67" s="58">
        <f t="shared" si="38"/>
        <v>318.24184272438208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34.611930285776054</v>
      </c>
      <c r="BR67" s="21">
        <f>EXP(-LN(2)/2)*BR66+(1-EXP(-LN(2)/2))/(LN(2)/2)*BL67*BO67*VLOOKUP('Données projet'!$B$11,Paramètres!$A$1:$I$89,3,0)*0.475*44/12</f>
        <v>1.2033378734591094</v>
      </c>
      <c r="BS67" s="22">
        <f t="shared" si="9"/>
        <v>35.815268159235167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10.107499999999998</v>
      </c>
      <c r="BY67" s="12">
        <f>IF('Données projet'!$A$114&gt;35,BY66+BX67-CG66,IF(A67&lt;'Données projet'!$A$114,$BV$205^A67,IF(A67='Données projet'!$A$114,'Données projet'!$B$114,BY66+BX67-CG66)))</f>
        <v>266.55500000000029</v>
      </c>
      <c r="BZ67" s="13">
        <f>BY67*VLOOKUP('Données projet'!$B$12,Paramètres!$A$1:$I$89,3,0)*VLOOKUP('Données projet'!$B$12,Paramètres!$A$1:$I$89,5,0)</f>
        <v>253.65373800000029</v>
      </c>
      <c r="CA67" s="13">
        <f t="shared" si="39"/>
        <v>61.36767194978637</v>
      </c>
      <c r="CB67" s="20">
        <f t="shared" si="10"/>
        <v>548.66228899587838</v>
      </c>
      <c r="CC67" s="58">
        <f t="shared" si="11"/>
        <v>830.03202985970029</v>
      </c>
      <c r="CD67" s="58">
        <f ca="1">AVERAGE(OFFSET($CC$3,0,0,'Données projet'!$E$12+1,1))-AVERAGE(OFFSET($H$3,0,0,'Données projet'!$E$12+1,1))</f>
        <v>684.45757350513315</v>
      </c>
      <c r="CE67" s="58">
        <f t="shared" si="40"/>
        <v>301.78148341369194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32.481965345112911</v>
      </c>
      <c r="CM67" s="21">
        <f>EXP(-LN(2)/2)*CM66+(1-EXP(-LN(2)/2))/(LN(2)/2)*CG67*CJ67*VLOOKUP('Données projet'!$B$12,Paramètres!$A$1:$I$89,3,0)*0.475*44/12</f>
        <v>1.1292863120154719</v>
      </c>
      <c r="CN67" s="22">
        <f t="shared" si="12"/>
        <v>33.611251657128385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8" t="e">
        <f t="shared" si="14"/>
        <v>#N/A</v>
      </c>
      <c r="CY67" s="58" t="e">
        <f ca="1">AVERAGE(OFFSET($CX$3,0,0,'Données projet'!$E$13+1,1))-AVERAGE(OFFSET($H$3,0,0,'Données projet'!$E$13+1,1))</f>
        <v>#N/A</v>
      </c>
      <c r="CZ67" s="58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8" t="e">
        <f t="shared" si="17"/>
        <v>#N/A</v>
      </c>
      <c r="DT67" s="58" t="e">
        <f ca="1">AVERAGE(OFFSET($DS$3,0,0,'Données projet'!$E$14+1,1))-AVERAGE(OFFSET($H$3,0,0,'Données projet'!$E$14+1,1))</f>
        <v>#N/A</v>
      </c>
      <c r="DU67" s="58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8" t="e">
        <f t="shared" si="20"/>
        <v>#N/A</v>
      </c>
      <c r="EO67" s="58" t="e">
        <f ca="1">AVERAGE(OFFSET($EN$3,0,0,'Données projet'!$E$15+1,1))-AVERAGE(OFFSET($H$3,0,0,'Données projet'!$E$15+1,1))</f>
        <v>#N/A</v>
      </c>
      <c r="EP67" s="58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8" t="e">
        <f t="shared" si="23"/>
        <v>#N/A</v>
      </c>
      <c r="FJ67" s="58" t="e">
        <f ca="1">AVERAGE(OFFSET($FI$3,0,0,'Données projet'!$E$16+1,1))-AVERAGE(OFFSET($H$3,0,0,'Données projet'!$E$16+1,1))</f>
        <v>#N/A</v>
      </c>
      <c r="FK67" s="58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8" t="e">
        <f t="shared" si="26"/>
        <v>#N/A</v>
      </c>
      <c r="GE67" s="58" t="e">
        <f ca="1">AVERAGE(OFFSET($GD$3,0,0,'Données projet'!$E$17+1,1))-AVERAGE(OFFSET($H$3,0,0,'Données projet'!$E$17+1,1))</f>
        <v>#N/A</v>
      </c>
      <c r="GF67" s="58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66.737202053769607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8" t="e">
        <f t="shared" si="29"/>
        <v>#N/A</v>
      </c>
      <c r="GZ67" s="58" t="e">
        <f ca="1">AVERAGE(OFFSET($GY$3,0,0,'Données projet'!$E$18+1,1))-AVERAGE(OFFSET($H$3,0,0,'Données projet'!$E$18+1,1))</f>
        <v>#N/A</v>
      </c>
      <c r="HA67" s="58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2">
        <f>'Scénario référence'!$B$16*5+'Scénario référence'!$B$17*0+'Scénario référence'!$B$18*5</f>
        <v>2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7.333333333333333</v>
      </c>
      <c r="H68" s="66">
        <f t="shared" ref="H68:H131" si="56">(B68+E68+F68)*44/12+(C68+D68)*0.475*44/12</f>
        <v>227.33333333333334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10.107499999999998</v>
      </c>
      <c r="N68" s="13">
        <f>IF('Données projet'!$A$36&gt;35,N67+M68-V67,IF(A68&lt;'Données projet'!$A$36,$K$205^A68,IF(A68='Données projet'!$A$36,'Données projet'!$B$36,N67+M68-V67)))</f>
        <v>276.66250000000031</v>
      </c>
      <c r="O68" s="13">
        <f>N68*VLOOKUP('Données projet'!$B$9,Paramètres!$A$1:$I$89,3,0)*VLOOKUP('Données projet'!$B$9,Paramètres!$A$1:$I$89,5,0)</f>
        <v>250.32423000000026</v>
      </c>
      <c r="P68" s="13">
        <f t="shared" si="33"/>
        <v>60.655364588948935</v>
      </c>
      <c r="Q68" s="20">
        <f t="shared" si="54"/>
        <v>541.62279390908645</v>
      </c>
      <c r="R68" s="58">
        <f t="shared" si="55"/>
        <v>823.20007635566856</v>
      </c>
      <c r="S68" s="58">
        <f ca="1">AVERAGE(OFFSET($R$3,0,0,'Données projet'!$E$9+1,1))-AVERAGE(OFFSET($H$3,0,0,'Données projet'!$E$9+1,1))</f>
        <v>654.0179680178212</v>
      </c>
      <c r="T68" s="58">
        <f t="shared" si="34"/>
        <v>289.42065570013369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30.039953591585441</v>
      </c>
      <c r="AB68" s="21">
        <f>EXP(-LN(2)/2)*AB67+(1-EXP(-LN(2)/2))/(LN(2)/2)*V68*Y68*VLOOKUP('Données projet'!$B$9,Paramètres!$A$1:$I$89,3,0)*0.475*44/12</f>
        <v>0.75925423818660143</v>
      </c>
      <c r="AC68" s="22">
        <f t="shared" ref="AC68:AC131" si="57">SUM(Z68:AB68)</f>
        <v>30.799207829772044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15.604000000000003</v>
      </c>
      <c r="AI68" s="13">
        <f>IF('Données projet'!$A$62&gt;35,AI67+AH68-AQ67,IF(A68&lt;'Données projet'!$A$62,$AF$205^A68,IF(A68='Données projet'!$A$62,'Données projet'!$B$62,AI67+AH68-AQ67)))</f>
        <v>614.77600000000029</v>
      </c>
      <c r="AJ68" s="13">
        <f>AI68*VLOOKUP('Données projet'!$B$10,Paramètres!$A$1:$I$89,3,0)*VLOOKUP('Données projet'!$B$10,Paramètres!$A$1:$I$89,5,0)</f>
        <v>367.63604800000019</v>
      </c>
      <c r="AK68" s="13">
        <f t="shared" si="35"/>
        <v>85.183501553622747</v>
      </c>
      <c r="AL68" s="20">
        <f t="shared" ref="AL68:AL131" si="58">(AJ68+AK68)*0.475*44/12</f>
        <v>788.6607154725599</v>
      </c>
      <c r="AM68" s="58">
        <f t="shared" ref="AM68:AM131" si="59">AL68+(AD68+AE68)*44/12</f>
        <v>1070.2379979191419</v>
      </c>
      <c r="AN68" s="58">
        <f ca="1">AVERAGE(OFFSET($AM$3,0,0,'Données projet'!$E$10+1,1))-AVERAGE(OFFSET($H$3,0,0,'Données projet'!$E$10+1,1))</f>
        <v>447.44638185108147</v>
      </c>
      <c r="AO68" s="58">
        <f t="shared" si="36"/>
        <v>384.84260115068605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40.714904008549269</v>
      </c>
      <c r="AV68" s="21">
        <f>EXP(-LN(2)/25)*AV67+(1-EXP(-LN(2)/25))/(LN(2)/25)*Calculateur!AQ68*Calculateur!AS68*VLOOKUP('Données projet'!$B$10,Paramètres!$A$1:$I$89,3,0)*0.475*44/12</f>
        <v>16.928727047808341</v>
      </c>
      <c r="AW68" s="21">
        <f>EXP(-LN(2)/2)*AW67+(1-EXP(-LN(2)/2))/(LN(2)/2)*AQ68*AT68*VLOOKUP('Données projet'!$B$10,Paramètres!$A$1:$I$89,3,0)*0.475*44/12</f>
        <v>0.4809358319243931</v>
      </c>
      <c r="AX68" s="21">
        <f t="shared" ref="AX68:AX131" si="60">SUM(AU68:AW68)</f>
        <v>58.124566888281997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280.53577500000034</v>
      </c>
      <c r="BF68" s="13">
        <f t="shared" si="37"/>
        <v>67.080220940060286</v>
      </c>
      <c r="BG68" s="20">
        <f t="shared" ref="BG68:BG131" si="61">(BE68+BF68)*0.475*44/12</f>
        <v>605.43119292893903</v>
      </c>
      <c r="BH68" s="58">
        <f t="shared" ref="BH68:BH131" si="62">BG68+(AY68+AZ68)*44/12</f>
        <v>887.00847537552113</v>
      </c>
      <c r="BI68" s="58">
        <f ca="1">AVERAGE(OFFSET($BH$3,0,0,'Données projet'!$E$11+1,1))-AVERAGE(OFFSET($H$3,0,0,'Données projet'!$E$11+1,1))</f>
        <v>724.99760740673071</v>
      </c>
      <c r="BJ68" s="58">
        <f t="shared" si="38"/>
        <v>318.24184272438208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33.665465231949199</v>
      </c>
      <c r="BR68" s="21">
        <f>EXP(-LN(2)/2)*BR67+(1-EXP(-LN(2)/2))/(LN(2)/2)*BL68*BO68*VLOOKUP('Données projet'!$B$11,Paramètres!$A$1:$I$89,3,0)*0.475*44/12</f>
        <v>0.85088837038153586</v>
      </c>
      <c r="BS68" s="22">
        <f t="shared" ref="BS68:BS131" si="63">SUM(BP68:BR68)</f>
        <v>34.516353602330732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10.107499999999998</v>
      </c>
      <c r="BY68" s="12">
        <f>IF('Données projet'!$A$114&gt;35,BY67+BX68-CG67,IF(A68&lt;'Données projet'!$A$114,$BV$205^A68,IF(A68='Données projet'!$A$114,'Données projet'!$B$114,BY67+BX68-CG67)))</f>
        <v>276.66250000000031</v>
      </c>
      <c r="BZ68" s="13">
        <f>BY68*VLOOKUP('Données projet'!$B$12,Paramètres!$A$1:$I$89,3,0)*VLOOKUP('Données projet'!$B$12,Paramètres!$A$1:$I$89,5,0)</f>
        <v>263.2720350000003</v>
      </c>
      <c r="CA68" s="13">
        <f t="shared" si="39"/>
        <v>63.419335122362007</v>
      </c>
      <c r="CB68" s="20">
        <f t="shared" ref="CB68:CB131" si="64">(BZ68+CA68)*0.475*44/12</f>
        <v>568.987469629781</v>
      </c>
      <c r="CC68" s="58">
        <f t="shared" ref="CC68:CC131" si="65">CB68+(BT68+BU68)*44/12</f>
        <v>850.56475207636311</v>
      </c>
      <c r="CD68" s="58">
        <f ca="1">AVERAGE(OFFSET($CC$3,0,0,'Données projet'!$E$12+1,1))-AVERAGE(OFFSET($H$3,0,0,'Données projet'!$E$12+1,1))</f>
        <v>684.45757350513315</v>
      </c>
      <c r="CE68" s="58">
        <f t="shared" si="40"/>
        <v>301.78148341369194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31.59374429459848</v>
      </c>
      <c r="CM68" s="21">
        <f>EXP(-LN(2)/2)*CM67+(1-EXP(-LN(2)/2))/(LN(2)/2)*CG68*CJ68*VLOOKUP('Données projet'!$B$12,Paramètres!$A$1:$I$89,3,0)*0.475*44/12</f>
        <v>0.79852600912728755</v>
      </c>
      <c r="CN68" s="22">
        <f t="shared" ref="CN68:CN131" si="66">SUM(CK68:CM68)</f>
        <v>32.392270303725766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8" t="e">
        <f t="shared" ref="CX68:CX131" si="68">CW68+(CO68+CP68)*44/12</f>
        <v>#N/A</v>
      </c>
      <c r="CY68" s="58" t="e">
        <f ca="1">AVERAGE(OFFSET($CX$3,0,0,'Données projet'!$E$13+1,1))-AVERAGE(OFFSET($H$3,0,0,'Données projet'!$E$13+1,1))</f>
        <v>#N/A</v>
      </c>
      <c r="CZ68" s="58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8" t="e">
        <f t="shared" ref="DS68:DS131" si="71">DR68+(DJ68+DK68)*44/12</f>
        <v>#N/A</v>
      </c>
      <c r="DT68" s="58" t="e">
        <f ca="1">AVERAGE(OFFSET($DS$3,0,0,'Données projet'!$E$14+1,1))-AVERAGE(OFFSET($H$3,0,0,'Données projet'!$E$14+1,1))</f>
        <v>#N/A</v>
      </c>
      <c r="DU68" s="58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8" t="e">
        <f t="shared" ref="EN68:EN131" si="74">EM68+(EE68+EF68)*44/12</f>
        <v>#N/A</v>
      </c>
      <c r="EO68" s="58" t="e">
        <f ca="1">AVERAGE(OFFSET($EN$3,0,0,'Données projet'!$E$15+1,1))-AVERAGE(OFFSET($H$3,0,0,'Données projet'!$E$15+1,1))</f>
        <v>#N/A</v>
      </c>
      <c r="EP68" s="58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8" t="e">
        <f t="shared" ref="FI68:FI131" si="77">FH68+(EZ68+FA68)*44/12</f>
        <v>#N/A</v>
      </c>
      <c r="FJ68" s="58" t="e">
        <f ca="1">AVERAGE(OFFSET($FI$3,0,0,'Données projet'!$E$16+1,1))-AVERAGE(OFFSET($H$3,0,0,'Données projet'!$E$16+1,1))</f>
        <v>#N/A</v>
      </c>
      <c r="FK68" s="58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8" t="e">
        <f t="shared" ref="GD68:GD131" si="80">GC68+(FU68+FV68)*44/12</f>
        <v>#N/A</v>
      </c>
      <c r="GE68" s="58" t="e">
        <f ca="1">AVERAGE(OFFSET($GD$3,0,0,'Données projet'!$E$17+1,1))-AVERAGE(OFFSET($H$3,0,0,'Données projet'!$E$17+1,1))</f>
        <v>#N/A</v>
      </c>
      <c r="GF68" s="58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66.7938043036133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8" t="e">
        <f t="shared" ref="GY68:GY131" si="83">GX68+(GP68+GQ68)*44/12</f>
        <v>#N/A</v>
      </c>
      <c r="GZ68" s="58" t="e">
        <f ca="1">AVERAGE(OFFSET($GY$3,0,0,'Données projet'!$E$18+1,1))-AVERAGE(OFFSET($H$3,0,0,'Données projet'!$E$18+1,1))</f>
        <v>#N/A</v>
      </c>
      <c r="HA68" s="58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2">
        <f>'Scénario référence'!$B$16*5+'Scénario référence'!$B$17*0+'Scénario référence'!$B$18*5</f>
        <v>2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7.333333333333333</v>
      </c>
      <c r="H69" s="66">
        <f t="shared" si="56"/>
        <v>227.33333333333334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286.77</v>
      </c>
      <c r="L69" s="12">
        <f>VLOOKUP(A69,'Données projet'!$A$35:$I$55,9,0)</f>
        <v>10.107499999999998</v>
      </c>
      <c r="M69" s="12">
        <f t="array" ref="M69">INDEX(L:L,MIN(IF(ISNUMBER(L69:L265),ROW(L69:L265),"")))</f>
        <v>10.107499999999998</v>
      </c>
      <c r="N69" s="13">
        <f>IF('Données projet'!$A$36&gt;35,N68+M69-V68,IF(A69&lt;'Données projet'!$A$36,$K$205^A69,IF(A69='Données projet'!$A$36,'Données projet'!$B$36,N68+M69-V68)))</f>
        <v>286.77000000000032</v>
      </c>
      <c r="O69" s="13">
        <f>N69*VLOOKUP('Données projet'!$B$9,Paramètres!$A$1:$I$89,3,0)*VLOOKUP('Données projet'!$B$9,Paramètres!$A$1:$I$89,5,0)</f>
        <v>259.46949600000028</v>
      </c>
      <c r="P69" s="13">
        <f t="shared" ref="P69:P132" si="87">EXP(-1.0587+0.8836*LN(O69)+0.284)</f>
        <v>62.609282502673501</v>
      </c>
      <c r="Q69" s="20">
        <f t="shared" si="54"/>
        <v>560.95387255882349</v>
      </c>
      <c r="R69" s="58">
        <f t="shared" si="55"/>
        <v>842.73509620569837</v>
      </c>
      <c r="S69" s="58">
        <f ca="1">AVERAGE(OFFSET($R$3,0,0,'Données projet'!$E$9+1,1))-AVERAGE(OFFSET($H$3,0,0,'Données projet'!$E$9+1,1))</f>
        <v>654.0179680178212</v>
      </c>
      <c r="T69" s="58">
        <f t="shared" ref="T69:T132" si="88">$T$3</f>
        <v>289.42065570013369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53.679999999999978</v>
      </c>
      <c r="W69" s="16">
        <f>IF(ISNA(VLOOKUP(A69,'Données projet'!$A$35:$I$55,5,0)),0%,VLOOKUP(A69,'Données projet'!$A$35:$I$55,5,0)*VLOOKUP('Données projet'!$B$9,Paramètres!$A$1:$I$89,7,0))</f>
        <v>0.15049999999999999</v>
      </c>
      <c r="X69" s="16">
        <f>IF(ISNA(VLOOKUP(A69,'Données projet'!$A$35:$I$55,6,0)),0%,VLOOKUP(A69,'Données projet'!$A$35:$I$55,6,0)*VLOOKUP('Données projet'!$B$9,Paramètres!$A$1:$I$89,7,0))</f>
        <v>8.6000000000000007E-2</v>
      </c>
      <c r="Y69" s="16">
        <f>IF(ISNA(VLOOKUP(A69,'Données projet'!$A$35:$I$55,7,0)),0%,VLOOKUP(A69,'Données projet'!$A$35:$I$55,7,0))</f>
        <v>0.1</v>
      </c>
      <c r="Z69" s="21">
        <f>EXP(-LN(2)/35)*Z68+(1-EXP(-LN(2)/35))/(LN(2)/35)*V69*W69*VLOOKUP('Données projet'!$B$9,Paramètres!$A$1:$I$89,3,0)*0.475*44/12</f>
        <v>8.0806948968281098</v>
      </c>
      <c r="AA69" s="21">
        <f>EXP(-LN(2)/25)*AA68+(1-EXP(-LN(2)/25))/(LN(2)/25)*Calculateur!V69*Calculateur!X69*VLOOKUP('Données projet'!$B$9,Paramètres!$A$1:$I$89,3,0)*0.475*44/12</f>
        <v>33.817868407767122</v>
      </c>
      <c r="AB69" s="21">
        <f>EXP(-LN(2)/2)*AB68+(1-EXP(-LN(2)/2))/(LN(2)/2)*V69*Y69*VLOOKUP('Données projet'!$B$9,Paramètres!$A$1:$I$89,3,0)*0.475*44/12</f>
        <v>5.1195523422004099</v>
      </c>
      <c r="AC69" s="22">
        <f t="shared" si="57"/>
        <v>47.018115646795636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630.38</v>
      </c>
      <c r="AG69" s="12">
        <f>VLOOKUP(A69,'Données projet'!$A$61:$I$81,9,0)</f>
        <v>15.604000000000003</v>
      </c>
      <c r="AH69" s="12">
        <f t="array" ref="AH69">INDEX(AG:AG,MIN(IF(ISNUMBER(AG69:AG265),ROW(AG69:AG265),"")))</f>
        <v>15.604000000000003</v>
      </c>
      <c r="AI69" s="13">
        <f>IF('Données projet'!$A$62&gt;35,AI68+AH69-AQ68,IF(A69&lt;'Données projet'!$A$62,$AF$205^A69,IF(A69='Données projet'!$A$62,'Données projet'!$B$62,AI68+AH69-AQ68)))</f>
        <v>630.38000000000034</v>
      </c>
      <c r="AJ69" s="13">
        <f>AI69*VLOOKUP('Données projet'!$B$10,Paramètres!$A$1:$I$89,3,0)*VLOOKUP('Données projet'!$B$10,Paramètres!$A$1:$I$89,5,0)</f>
        <v>376.96724000000023</v>
      </c>
      <c r="AK69" s="13">
        <f t="shared" ref="AK69:AK132" si="89">EXP(-1.0587+0.8836*LN(AJ69)+0.284)</f>
        <v>87.091131811148003</v>
      </c>
      <c r="AL69" s="20">
        <f t="shared" si="58"/>
        <v>808.23499757108311</v>
      </c>
      <c r="AM69" s="58">
        <f t="shared" si="59"/>
        <v>1090.016221217958</v>
      </c>
      <c r="AN69" s="58">
        <f ca="1">AVERAGE(OFFSET($AM$3,0,0,'Données projet'!$E$10+1,1))-AVERAGE(OFFSET($H$3,0,0,'Données projet'!$E$10+1,1))</f>
        <v>447.44638185108147</v>
      </c>
      <c r="AO69" s="58">
        <f t="shared" ref="AO69:AO132" si="90">$AO$3</f>
        <v>384.84260115068605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87.850000000000023</v>
      </c>
      <c r="AR69" s="16">
        <f>IF(ISNA(VLOOKUP(A69,'Données projet'!$A$61:$I$81,5,0)),0%,VLOOKUP(A69,'Données projet'!$A$61:$I$81,5,0)*VLOOKUP('Données projet'!$B$10,Paramètres!$A$1:$I$89,7,0))</f>
        <v>0.27</v>
      </c>
      <c r="AS69" s="16">
        <f>IF(ISNA(VLOOKUP(A69,'Données projet'!$A$61:$I$81,6,0)),0%,VLOOKUP(A69,'Données projet'!$A$61:$I$81,6,0)*VLOOKUP('Données projet'!$B$10,Paramètres!$A$1:$I$89,7,0))</f>
        <v>9.0000000000000011E-2</v>
      </c>
      <c r="AT69" s="16">
        <f>IF(ISNA(VLOOKUP(A69,'Données projet'!$A$61:$I$81,7,0)),0%,VLOOKUP(A69,'Données projet'!$A$61:$I$81,7,0))</f>
        <v>0.2</v>
      </c>
      <c r="AU69" s="21">
        <f>EXP(-LN(2)/35)*AU68+(1-EXP(-LN(2)/35))/(LN(2)/35)*AQ69*AR69*VLOOKUP('Données projet'!$B$10,Paramètres!$A$1:$I$89,3,0)*0.475*44/12</f>
        <v>58.73284604385826</v>
      </c>
      <c r="AV69" s="21">
        <f>EXP(-LN(2)/25)*AV68+(1-EXP(-LN(2)/25))/(LN(2)/25)*Calculateur!AQ69*Calculateur!AS69*VLOOKUP('Données projet'!$B$10,Paramètres!$A$1:$I$89,3,0)*0.475*44/12</f>
        <v>22.713226577446786</v>
      </c>
      <c r="AW69" s="21">
        <f>EXP(-LN(2)/2)*AW68+(1-EXP(-LN(2)/2))/(LN(2)/2)*AQ69*AT69*VLOOKUP('Données projet'!$B$10,Paramètres!$A$1:$I$89,3,0)*0.475*44/12</f>
        <v>12.236279225658258</v>
      </c>
      <c r="AX69" s="21">
        <f t="shared" si="60"/>
        <v>93.682351846963314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290.78478000000035</v>
      </c>
      <c r="BF69" s="13">
        <f t="shared" ref="BF69:BF132" si="91">EXP(-1.0587+0.8836*LN(BE69)+0.284)</f>
        <v>69.241105574743742</v>
      </c>
      <c r="BG69" s="20">
        <f t="shared" si="61"/>
        <v>627.04508404267926</v>
      </c>
      <c r="BH69" s="58">
        <f t="shared" si="62"/>
        <v>908.82630768955414</v>
      </c>
      <c r="BI69" s="58">
        <f ca="1">AVERAGE(OFFSET($BH$3,0,0,'Données projet'!$E$11+1,1))-AVERAGE(OFFSET($H$3,0,0,'Données projet'!$E$11+1,1))</f>
        <v>724.99760740673071</v>
      </c>
      <c r="BJ69" s="58">
        <f t="shared" ref="BJ69:BJ132" si="92">$BJ$3</f>
        <v>318.24184272438208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9.0559511774797787</v>
      </c>
      <c r="BQ69" s="21">
        <f>EXP(-LN(2)/25)*BQ68+(1-EXP(-LN(2)/25))/(LN(2)/25)*Calculateur!BL69*Calculateur!BN69*VLOOKUP('Données projet'!$B$11,Paramètres!$A$1:$I$89,3,0)*0.475*44/12</f>
        <v>37.899335284566604</v>
      </c>
      <c r="BR69" s="21">
        <f>EXP(-LN(2)/2)*BR68+(1-EXP(-LN(2)/2))/(LN(2)/2)*BL69*BO69*VLOOKUP('Données projet'!$B$11,Paramètres!$A$1:$I$89,3,0)*0.475*44/12</f>
        <v>5.7374293490177015</v>
      </c>
      <c r="BS69" s="22">
        <f t="shared" si="63"/>
        <v>52.692715811064083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10.107499999999998</v>
      </c>
      <c r="BX69" s="12">
        <f t="array" ref="BX69">INDEX(BW:BW,MIN(IF(ISNUMBER(BW69:BW265),ROW(BW69:BW265),"")))</f>
        <v>10.107499999999998</v>
      </c>
      <c r="BY69" s="12">
        <f>IF('Données projet'!$A$114&gt;35,BY68+BX69-CG68,IF(A69&lt;'Données projet'!$A$114,$BV$205^A69,IF(A69='Données projet'!$A$114,'Données projet'!$B$114,BY68+BX69-CG68)))</f>
        <v>286.77000000000032</v>
      </c>
      <c r="BZ69" s="13">
        <f>BY69*VLOOKUP('Données projet'!$B$12,Paramètres!$A$1:$I$89,3,0)*VLOOKUP('Données projet'!$B$12,Paramètres!$A$1:$I$89,5,0)</f>
        <v>272.89033200000034</v>
      </c>
      <c r="CA69" s="13">
        <f t="shared" ref="CA69:CA132" si="93">EXP(-1.0587+0.8836*LN(BZ69)+0.284)</f>
        <v>65.462290033470751</v>
      </c>
      <c r="CB69" s="20">
        <f t="shared" si="64"/>
        <v>589.2974833749621</v>
      </c>
      <c r="CC69" s="58">
        <f t="shared" si="65"/>
        <v>871.07870702183698</v>
      </c>
      <c r="CD69" s="58">
        <f ca="1">AVERAGE(OFFSET($CC$3,0,0,'Données projet'!$E$12+1,1))-AVERAGE(OFFSET($H$3,0,0,'Données projet'!$E$12+1,1))</f>
        <v>684.45757350513315</v>
      </c>
      <c r="CE69" s="58">
        <f t="shared" ref="CE69:CE132" si="94">$CE$3</f>
        <v>301.78148341369194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53.679999999999978</v>
      </c>
      <c r="CH69" s="16">
        <f>IF(ISNA(VLOOKUP(A69,'Données projet'!$A$113:$I$133,5,0)),0%,VLOOKUP(A69,'Données projet'!$A$113:$I$133,5,0)*VLOOKUP('Données projet'!$B$12,Paramètres!$A$1:$I$89,7,0))</f>
        <v>0.15049999999999999</v>
      </c>
      <c r="CI69" s="16">
        <f>IF(ISNA(VLOOKUP(A69,'Données projet'!$A$113:$I$133,6,0)),0%,VLOOKUP(A69,'Données projet'!$A$113:$I$133,6,0)*VLOOKUP('Données projet'!$B$12,Paramètres!$A$1:$I$89,7,0))</f>
        <v>8.6000000000000007E-2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8.4986618742502529</v>
      </c>
      <c r="CL69" s="21">
        <f>EXP(-LN(2)/25)*CL68+(1-EXP(-LN(2)/25))/(LN(2)/25)*Calculateur!CG69*Calculateur!CI69*VLOOKUP('Données projet'!$B$12,Paramètres!$A$1:$I$89,3,0)*0.475*44/12</f>
        <v>35.567068497824039</v>
      </c>
      <c r="CM69" s="21">
        <f>EXP(-LN(2)/2)*CM68+(1-EXP(-LN(2)/2))/(LN(2)/2)*CG69*CJ69*VLOOKUP('Données projet'!$B$12,Paramètres!$A$1:$I$89,3,0)*0.475*44/12</f>
        <v>5.3843567736935345</v>
      </c>
      <c r="CN69" s="22">
        <f t="shared" si="66"/>
        <v>49.450087145767824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8" t="e">
        <f t="shared" si="68"/>
        <v>#N/A</v>
      </c>
      <c r="CY69" s="58" t="e">
        <f ca="1">AVERAGE(OFFSET($CX$3,0,0,'Données projet'!$E$13+1,1))-AVERAGE(OFFSET($H$3,0,0,'Données projet'!$E$13+1,1))</f>
        <v>#N/A</v>
      </c>
      <c r="CZ69" s="58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8" t="e">
        <f t="shared" si="71"/>
        <v>#N/A</v>
      </c>
      <c r="DT69" s="58" t="e">
        <f ca="1">AVERAGE(OFFSET($DS$3,0,0,'Données projet'!$E$14+1,1))-AVERAGE(OFFSET($H$3,0,0,'Données projet'!$E$14+1,1))</f>
        <v>#N/A</v>
      </c>
      <c r="DU69" s="58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8" t="e">
        <f t="shared" si="74"/>
        <v>#N/A</v>
      </c>
      <c r="EO69" s="58" t="e">
        <f ca="1">AVERAGE(OFFSET($EN$3,0,0,'Données projet'!$E$15+1,1))-AVERAGE(OFFSET($H$3,0,0,'Données projet'!$E$15+1,1))</f>
        <v>#N/A</v>
      </c>
      <c r="EP69" s="58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8" t="e">
        <f t="shared" si="77"/>
        <v>#N/A</v>
      </c>
      <c r="FJ69" s="58" t="e">
        <f ca="1">AVERAGE(OFFSET($FI$3,0,0,'Données projet'!$E$16+1,1))-AVERAGE(OFFSET($H$3,0,0,'Données projet'!$E$16+1,1))</f>
        <v>#N/A</v>
      </c>
      <c r="FK69" s="58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8" t="e">
        <f t="shared" si="80"/>
        <v>#N/A</v>
      </c>
      <c r="GE69" s="58" t="e">
        <f ca="1">AVERAGE(OFFSET($GD$3,0,0,'Données projet'!$E$17+1,1))-AVERAGE(OFFSET($H$3,0,0,'Données projet'!$E$17+1,1))</f>
        <v>#N/A</v>
      </c>
      <c r="GF69" s="58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66.849424630965871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8" t="e">
        <f t="shared" si="83"/>
        <v>#N/A</v>
      </c>
      <c r="GZ69" s="58" t="e">
        <f ca="1">AVERAGE(OFFSET($GY$3,0,0,'Données projet'!$E$18+1,1))-AVERAGE(OFFSET($H$3,0,0,'Données projet'!$E$18+1,1))</f>
        <v>#N/A</v>
      </c>
      <c r="HA69" s="58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2">
        <f>'Scénario référence'!$B$16*5+'Scénario référence'!$B$17*0+'Scénario référence'!$B$18*5</f>
        <v>2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7.333333333333333</v>
      </c>
      <c r="H70" s="66">
        <f t="shared" si="56"/>
        <v>227.33333333333334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9.733749999999997</v>
      </c>
      <c r="N70" s="13">
        <f>IF('Données projet'!$A$36&gt;35,N69+M70-V69,IF(A70&lt;'Données projet'!$A$36,$K$205^A70,IF(A70='Données projet'!$A$36,'Données projet'!$B$36,N69+M70-V69)))</f>
        <v>242.82375000000033</v>
      </c>
      <c r="O70" s="13">
        <f>N70*VLOOKUP('Données projet'!$B$9,Paramètres!$A$1:$I$89,3,0)*VLOOKUP('Données projet'!$B$9,Paramètres!$A$1:$I$89,5,0)</f>
        <v>219.70692900000031</v>
      </c>
      <c r="P70" s="13">
        <f t="shared" si="87"/>
        <v>54.051183245794981</v>
      </c>
      <c r="Q70" s="20">
        <f t="shared" si="54"/>
        <v>476.79537882809342</v>
      </c>
      <c r="R70" s="58">
        <f t="shared" si="55"/>
        <v>758.77700575138022</v>
      </c>
      <c r="S70" s="58">
        <f ca="1">AVERAGE(OFFSET($R$3,0,0,'Données projet'!$E$9+1,1))-AVERAGE(OFFSET($H$3,0,0,'Données projet'!$E$9+1,1))</f>
        <v>654.0179680178212</v>
      </c>
      <c r="T70" s="58">
        <f t="shared" si="88"/>
        <v>289.42065570013369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7.9222373986385248</v>
      </c>
      <c r="AA70" s="21">
        <f>EXP(-LN(2)/25)*AA69+(1-EXP(-LN(2)/25))/(LN(2)/25)*Calculateur!V70*Calculateur!X70*VLOOKUP('Données projet'!$B$9,Paramètres!$A$1:$I$89,3,0)*0.475*44/12</f>
        <v>32.893117017752324</v>
      </c>
      <c r="AB70" s="21">
        <f>EXP(-LN(2)/2)*AB69+(1-EXP(-LN(2)/2))/(LN(2)/2)*V70*Y70*VLOOKUP('Données projet'!$B$9,Paramètres!$A$1:$I$89,3,0)*0.475*44/12</f>
        <v>3.6200701778093825</v>
      </c>
      <c r="AC70" s="22">
        <f t="shared" si="57"/>
        <v>44.435424594200228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12.908000000000005</v>
      </c>
      <c r="AI70" s="13">
        <f>IF('Données projet'!$A$62&gt;35,AI69+AH70-AQ69,IF(A70&lt;'Données projet'!$A$62,$AF$205^A70,IF(A70='Données projet'!$A$62,'Données projet'!$B$62,AI69+AH70-AQ69)))</f>
        <v>555.43800000000033</v>
      </c>
      <c r="AJ70" s="13">
        <f>AI70*VLOOKUP('Données projet'!$B$10,Paramètres!$A$1:$I$89,3,0)*VLOOKUP('Données projet'!$B$10,Paramètres!$A$1:$I$89,5,0)</f>
        <v>332.15192400000024</v>
      </c>
      <c r="AK70" s="13">
        <f t="shared" si="89"/>
        <v>77.876287006484546</v>
      </c>
      <c r="AL70" s="20">
        <f t="shared" si="58"/>
        <v>714.13246750296094</v>
      </c>
      <c r="AM70" s="58">
        <f t="shared" si="59"/>
        <v>996.11409442624768</v>
      </c>
      <c r="AN70" s="58">
        <f ca="1">AVERAGE(OFFSET($AM$3,0,0,'Données projet'!$E$10+1,1))-AVERAGE(OFFSET($H$3,0,0,'Données projet'!$E$10+1,1))</f>
        <v>447.44638185108147</v>
      </c>
      <c r="AO70" s="58">
        <f t="shared" si="90"/>
        <v>384.84260115068605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57.581130756437013</v>
      </c>
      <c r="AV70" s="21">
        <f>EXP(-LN(2)/25)*AV69+(1-EXP(-LN(2)/25))/(LN(2)/25)*Calculateur!AQ70*Calculateur!AS70*VLOOKUP('Données projet'!$B$10,Paramètres!$A$1:$I$89,3,0)*0.475*44/12</f>
        <v>22.092132202249829</v>
      </c>
      <c r="AW70" s="21">
        <f>EXP(-LN(2)/2)*AW69+(1-EXP(-LN(2)/2))/(LN(2)/2)*AQ70*AT70*VLOOKUP('Données projet'!$B$10,Paramètres!$A$1:$I$89,3,0)*0.475*44/12</f>
        <v>8.6523560169550322</v>
      </c>
      <c r="AX70" s="21">
        <f t="shared" si="60"/>
        <v>88.325618975641873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246.22328250000032</v>
      </c>
      <c r="BF70" s="13">
        <f t="shared" si="91"/>
        <v>59.776498563165894</v>
      </c>
      <c r="BG70" s="20">
        <f t="shared" si="61"/>
        <v>532.94961868501457</v>
      </c>
      <c r="BH70" s="58">
        <f t="shared" si="62"/>
        <v>814.93124560830142</v>
      </c>
      <c r="BI70" s="58">
        <f ca="1">AVERAGE(OFFSET($BH$3,0,0,'Données projet'!$E$11+1,1))-AVERAGE(OFFSET($H$3,0,0,'Données projet'!$E$11+1,1))</f>
        <v>724.99760740673071</v>
      </c>
      <c r="BJ70" s="58">
        <f t="shared" si="92"/>
        <v>318.24184272438208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8.8783694984742105</v>
      </c>
      <c r="BQ70" s="21">
        <f>EXP(-LN(2)/25)*BQ69+(1-EXP(-LN(2)/25))/(LN(2)/25)*Calculateur!BL70*Calculateur!BN70*VLOOKUP('Données projet'!$B$11,Paramètres!$A$1:$I$89,3,0)*0.475*44/12</f>
        <v>36.862975968170709</v>
      </c>
      <c r="BR70" s="21">
        <f>EXP(-LN(2)/2)*BR69+(1-EXP(-LN(2)/2))/(LN(2)/2)*BL70*BO70*VLOOKUP('Données projet'!$B$11,Paramètres!$A$1:$I$89,3,0)*0.475*44/12</f>
        <v>4.0569751992691359</v>
      </c>
      <c r="BS70" s="22">
        <f t="shared" si="63"/>
        <v>49.798320665914048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9.733749999999997</v>
      </c>
      <c r="BY70" s="12">
        <f>IF('Données projet'!$A$114&gt;35,BY69+BX70-CG69,IF(A70&lt;'Données projet'!$A$114,$BV$205^A70,IF(A70='Données projet'!$A$114,'Données projet'!$B$114,BY69+BX70-CG69)))</f>
        <v>242.82375000000033</v>
      </c>
      <c r="BZ70" s="13">
        <f>BY70*VLOOKUP('Données projet'!$B$12,Paramètres!$A$1:$I$89,3,0)*VLOOKUP('Données projet'!$B$12,Paramètres!$A$1:$I$89,5,0)</f>
        <v>231.07108050000033</v>
      </c>
      <c r="CA70" s="13">
        <f t="shared" si="93"/>
        <v>56.514211517076802</v>
      </c>
      <c r="CB70" s="20">
        <f t="shared" si="64"/>
        <v>500.87771692974269</v>
      </c>
      <c r="CC70" s="58">
        <f t="shared" si="65"/>
        <v>782.85934385302949</v>
      </c>
      <c r="CD70" s="58">
        <f ca="1">AVERAGE(OFFSET($CC$3,0,0,'Données projet'!$E$12+1,1))-AVERAGE(OFFSET($H$3,0,0,'Données projet'!$E$12+1,1))</f>
        <v>684.45757350513315</v>
      </c>
      <c r="CE70" s="58">
        <f t="shared" si="94"/>
        <v>301.78148341369194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8.3320082985681037</v>
      </c>
      <c r="CL70" s="21">
        <f>EXP(-LN(2)/25)*CL69+(1-EXP(-LN(2)/25))/(LN(2)/25)*Calculateur!CG70*Calculateur!CI70*VLOOKUP('Données projet'!$B$12,Paramètres!$A$1:$I$89,3,0)*0.475*44/12</f>
        <v>34.594485139360195</v>
      </c>
      <c r="CM70" s="21">
        <f>EXP(-LN(2)/2)*CM69+(1-EXP(-LN(2)/2))/(LN(2)/2)*CG70*CJ70*VLOOKUP('Données projet'!$B$12,Paramètres!$A$1:$I$89,3,0)*0.475*44/12</f>
        <v>3.8073151870064192</v>
      </c>
      <c r="CN70" s="22">
        <f t="shared" si="66"/>
        <v>46.733808624934717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8" t="e">
        <f t="shared" si="68"/>
        <v>#N/A</v>
      </c>
      <c r="CY70" s="58" t="e">
        <f ca="1">AVERAGE(OFFSET($CX$3,0,0,'Données projet'!$E$13+1,1))-AVERAGE(OFFSET($H$3,0,0,'Données projet'!$E$13+1,1))</f>
        <v>#N/A</v>
      </c>
      <c r="CZ70" s="58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8" t="e">
        <f t="shared" si="71"/>
        <v>#N/A</v>
      </c>
      <c r="DT70" s="58" t="e">
        <f ca="1">AVERAGE(OFFSET($DS$3,0,0,'Données projet'!$E$14+1,1))-AVERAGE(OFFSET($H$3,0,0,'Données projet'!$E$14+1,1))</f>
        <v>#N/A</v>
      </c>
      <c r="DU70" s="58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8" t="e">
        <f t="shared" si="74"/>
        <v>#N/A</v>
      </c>
      <c r="EO70" s="58" t="e">
        <f ca="1">AVERAGE(OFFSET($EN$3,0,0,'Données projet'!$E$15+1,1))-AVERAGE(OFFSET($H$3,0,0,'Données projet'!$E$15+1,1))</f>
        <v>#N/A</v>
      </c>
      <c r="EP70" s="58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8" t="e">
        <f t="shared" si="77"/>
        <v>#N/A</v>
      </c>
      <c r="FJ70" s="58" t="e">
        <f ca="1">AVERAGE(OFFSET($FI$3,0,0,'Données projet'!$E$16+1,1))-AVERAGE(OFFSET($H$3,0,0,'Données projet'!$E$16+1,1))</f>
        <v>#N/A</v>
      </c>
      <c r="FK70" s="58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8" t="e">
        <f t="shared" si="80"/>
        <v>#N/A</v>
      </c>
      <c r="GE70" s="58" t="e">
        <f ca="1">AVERAGE(OFFSET($GD$3,0,0,'Données projet'!$E$17+1,1))-AVERAGE(OFFSET($H$3,0,0,'Données projet'!$E$17+1,1))</f>
        <v>#N/A</v>
      </c>
      <c r="GF70" s="58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66.904080069987302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8" t="e">
        <f t="shared" si="83"/>
        <v>#N/A</v>
      </c>
      <c r="GZ70" s="58" t="e">
        <f ca="1">AVERAGE(OFFSET($GY$3,0,0,'Données projet'!$E$18+1,1))-AVERAGE(OFFSET($H$3,0,0,'Données projet'!$E$18+1,1))</f>
        <v>#N/A</v>
      </c>
      <c r="HA70" s="58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2">
        <f>'Scénario référence'!$B$16*5+'Scénario référence'!$B$17*0+'Scénario référence'!$B$18*5</f>
        <v>2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7.333333333333333</v>
      </c>
      <c r="H71" s="66">
        <f t="shared" si="56"/>
        <v>227.33333333333334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9.733749999999997</v>
      </c>
      <c r="N71" s="13">
        <f>IF('Données projet'!$A$36&gt;35,N70+M71-V70,IF(A71&lt;'Données projet'!$A$36,$K$205^A71,IF(A71='Données projet'!$A$36,'Données projet'!$B$36,N70+M71-V70)))</f>
        <v>252.55750000000032</v>
      </c>
      <c r="O71" s="13">
        <f>N71*VLOOKUP('Données projet'!$B$9,Paramètres!$A$1:$I$89,3,0)*VLOOKUP('Données projet'!$B$9,Paramètres!$A$1:$I$89,5,0)</f>
        <v>228.51402600000029</v>
      </c>
      <c r="P71" s="13">
        <f t="shared" si="87"/>
        <v>55.96125810397254</v>
      </c>
      <c r="Q71" s="20">
        <f t="shared" si="54"/>
        <v>495.46111981441936</v>
      </c>
      <c r="R71" s="58">
        <f t="shared" si="55"/>
        <v>777.63967346530694</v>
      </c>
      <c r="S71" s="58">
        <f ca="1">AVERAGE(OFFSET($R$3,0,0,'Données projet'!$E$9+1,1))-AVERAGE(OFFSET($H$3,0,0,'Données projet'!$E$9+1,1))</f>
        <v>654.0179680178212</v>
      </c>
      <c r="T71" s="58">
        <f t="shared" si="88"/>
        <v>289.42065570013369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7.7668871553389076</v>
      </c>
      <c r="AA71" s="21">
        <f>EXP(-LN(2)/25)*AA70+(1-EXP(-LN(2)/25))/(LN(2)/25)*Calculateur!V71*Calculateur!X71*VLOOKUP('Données projet'!$B$9,Paramètres!$A$1:$I$89,3,0)*0.475*44/12</f>
        <v>31.993653003128042</v>
      </c>
      <c r="AB71" s="21">
        <f>EXP(-LN(2)/2)*AB70+(1-EXP(-LN(2)/2))/(LN(2)/2)*V71*Y71*VLOOKUP('Données projet'!$B$9,Paramètres!$A$1:$I$89,3,0)*0.475*44/12</f>
        <v>2.5597761711002054</v>
      </c>
      <c r="AC71" s="22">
        <f t="shared" si="57"/>
        <v>42.320316329567156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12.908000000000005</v>
      </c>
      <c r="AI71" s="13">
        <f>IF('Données projet'!$A$62&gt;35,AI70+AH71-AQ70,IF(A71&lt;'Données projet'!$A$62,$AF$205^A71,IF(A71='Données projet'!$A$62,'Données projet'!$B$62,AI70+AH71-AQ70)))</f>
        <v>568.34600000000034</v>
      </c>
      <c r="AJ71" s="13">
        <f>AI71*VLOOKUP('Données projet'!$B$10,Paramètres!$A$1:$I$89,3,0)*VLOOKUP('Données projet'!$B$10,Paramètres!$A$1:$I$89,5,0)</f>
        <v>339.87090800000027</v>
      </c>
      <c r="AK71" s="13">
        <f t="shared" si="89"/>
        <v>79.473274607818112</v>
      </c>
      <c r="AL71" s="20">
        <f t="shared" si="58"/>
        <v>730.35778470861703</v>
      </c>
      <c r="AM71" s="58">
        <f t="shared" si="59"/>
        <v>1012.5363383595045</v>
      </c>
      <c r="AN71" s="58">
        <f ca="1">AVERAGE(OFFSET($AM$3,0,0,'Données projet'!$E$10+1,1))-AVERAGE(OFFSET($H$3,0,0,'Données projet'!$E$10+1,1))</f>
        <v>447.44638185108147</v>
      </c>
      <c r="AO71" s="58">
        <f t="shared" si="90"/>
        <v>384.84260115068605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56.451999903325131</v>
      </c>
      <c r="AV71" s="21">
        <f>EXP(-LN(2)/25)*AV70+(1-EXP(-LN(2)/25))/(LN(2)/25)*Calculateur!AQ71*Calculateur!AS71*VLOOKUP('Données projet'!$B$10,Paramètres!$A$1:$I$89,3,0)*0.475*44/12</f>
        <v>21.488021685404568</v>
      </c>
      <c r="AW71" s="21">
        <f>EXP(-LN(2)/2)*AW70+(1-EXP(-LN(2)/2))/(LN(2)/2)*AQ71*AT71*VLOOKUP('Données projet'!$B$10,Paramètres!$A$1:$I$89,3,0)*0.475*44/12</f>
        <v>6.1181396128291299</v>
      </c>
      <c r="AX71" s="21">
        <f t="shared" si="60"/>
        <v>84.058161201558832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256.09330500000038</v>
      </c>
      <c r="BF71" s="13">
        <f t="shared" si="91"/>
        <v>61.888896112284726</v>
      </c>
      <c r="BG71" s="20">
        <f t="shared" si="61"/>
        <v>553.81900027056327</v>
      </c>
      <c r="BH71" s="58">
        <f t="shared" si="62"/>
        <v>835.99755392145084</v>
      </c>
      <c r="BI71" s="58">
        <f ca="1">AVERAGE(OFFSET($BH$3,0,0,'Données projet'!$E$11+1,1))-AVERAGE(OFFSET($H$3,0,0,'Données projet'!$E$11+1,1))</f>
        <v>724.99760740673071</v>
      </c>
      <c r="BJ71" s="58">
        <f t="shared" si="92"/>
        <v>318.24184272438208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8.7042700878798112</v>
      </c>
      <c r="BQ71" s="21">
        <f>EXP(-LN(2)/25)*BQ70+(1-EXP(-LN(2)/25))/(LN(2)/25)*Calculateur!BL71*Calculateur!BN71*VLOOKUP('Données projet'!$B$11,Paramètres!$A$1:$I$89,3,0)*0.475*44/12</f>
        <v>35.854955951781427</v>
      </c>
      <c r="BR71" s="21">
        <f>EXP(-LN(2)/2)*BR70+(1-EXP(-LN(2)/2))/(LN(2)/2)*BL71*BO71*VLOOKUP('Données projet'!$B$11,Paramètres!$A$1:$I$89,3,0)*0.475*44/12</f>
        <v>2.8687146745088512</v>
      </c>
      <c r="BS71" s="22">
        <f t="shared" si="63"/>
        <v>47.427940714170091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9.733749999999997</v>
      </c>
      <c r="BY71" s="12">
        <f>IF('Données projet'!$A$114&gt;35,BY70+BX71-CG70,IF(A71&lt;'Données projet'!$A$114,$BV$205^A71,IF(A71='Données projet'!$A$114,'Données projet'!$B$114,BY70+BX71-CG70)))</f>
        <v>252.55750000000032</v>
      </c>
      <c r="BZ71" s="13">
        <f>BY71*VLOOKUP('Données projet'!$B$12,Paramètres!$A$1:$I$89,3,0)*VLOOKUP('Données projet'!$B$12,Paramètres!$A$1:$I$89,5,0)</f>
        <v>240.33371700000029</v>
      </c>
      <c r="CA71" s="13">
        <f t="shared" si="93"/>
        <v>58.511325512853986</v>
      </c>
      <c r="CB71" s="20">
        <f t="shared" si="64"/>
        <v>520.48844904322118</v>
      </c>
      <c r="CC71" s="58">
        <f t="shared" si="65"/>
        <v>802.66700269410876</v>
      </c>
      <c r="CD71" s="58">
        <f ca="1">AVERAGE(OFFSET($CC$3,0,0,'Données projet'!$E$12+1,1))-AVERAGE(OFFSET($H$3,0,0,'Données projet'!$E$12+1,1))</f>
        <v>684.45757350513315</v>
      </c>
      <c r="CE71" s="58">
        <f t="shared" si="94"/>
        <v>301.78148341369194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8.1686226978564367</v>
      </c>
      <c r="CL71" s="21">
        <f>EXP(-LN(2)/25)*CL70+(1-EXP(-LN(2)/25))/(LN(2)/25)*Calculateur!CG71*Calculateur!CI71*VLOOKUP('Données projet'!$B$12,Paramètres!$A$1:$I$89,3,0)*0.475*44/12</f>
        <v>33.648497123979482</v>
      </c>
      <c r="CM71" s="21">
        <f>EXP(-LN(2)/2)*CM70+(1-EXP(-LN(2)/2))/(LN(2)/2)*CG71*CJ71*VLOOKUP('Données projet'!$B$12,Paramètres!$A$1:$I$89,3,0)*0.475*44/12</f>
        <v>2.6921783868467677</v>
      </c>
      <c r="CN71" s="22">
        <f t="shared" si="66"/>
        <v>44.509298208682686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8" t="e">
        <f t="shared" si="68"/>
        <v>#N/A</v>
      </c>
      <c r="CY71" s="58" t="e">
        <f ca="1">AVERAGE(OFFSET($CX$3,0,0,'Données projet'!$E$13+1,1))-AVERAGE(OFFSET($H$3,0,0,'Données projet'!$E$13+1,1))</f>
        <v>#N/A</v>
      </c>
      <c r="CZ71" s="58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8" t="e">
        <f t="shared" si="71"/>
        <v>#N/A</v>
      </c>
      <c r="DT71" s="58" t="e">
        <f ca="1">AVERAGE(OFFSET($DS$3,0,0,'Données projet'!$E$14+1,1))-AVERAGE(OFFSET($H$3,0,0,'Données projet'!$E$14+1,1))</f>
        <v>#N/A</v>
      </c>
      <c r="DU71" s="58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8" t="e">
        <f t="shared" si="74"/>
        <v>#N/A</v>
      </c>
      <c r="EO71" s="58" t="e">
        <f ca="1">AVERAGE(OFFSET($EN$3,0,0,'Données projet'!$E$15+1,1))-AVERAGE(OFFSET($H$3,0,0,'Données projet'!$E$15+1,1))</f>
        <v>#N/A</v>
      </c>
      <c r="EP71" s="58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8" t="e">
        <f t="shared" si="77"/>
        <v>#N/A</v>
      </c>
      <c r="FJ71" s="58" t="e">
        <f ca="1">AVERAGE(OFFSET($FI$3,0,0,'Données projet'!$E$16+1,1))-AVERAGE(OFFSET($H$3,0,0,'Données projet'!$E$16+1,1))</f>
        <v>#N/A</v>
      </c>
      <c r="FK71" s="58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8" t="e">
        <f t="shared" si="80"/>
        <v>#N/A</v>
      </c>
      <c r="GE71" s="58" t="e">
        <f ca="1">AVERAGE(OFFSET($GD$3,0,0,'Données projet'!$E$17+1,1))-AVERAGE(OFFSET($H$3,0,0,'Données projet'!$E$17+1,1))</f>
        <v>#N/A</v>
      </c>
      <c r="GF71" s="58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66.957787359332968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8" t="e">
        <f t="shared" si="83"/>
        <v>#N/A</v>
      </c>
      <c r="GZ71" s="58" t="e">
        <f ca="1">AVERAGE(OFFSET($GY$3,0,0,'Données projet'!$E$18+1,1))-AVERAGE(OFFSET($H$3,0,0,'Données projet'!$E$18+1,1))</f>
        <v>#N/A</v>
      </c>
      <c r="HA71" s="58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2">
        <f>'Scénario référence'!$B$16*5+'Scénario référence'!$B$17*0+'Scénario référence'!$B$18*5</f>
        <v>2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7.333333333333333</v>
      </c>
      <c r="H72" s="66">
        <f t="shared" si="56"/>
        <v>227.33333333333334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9.733749999999997</v>
      </c>
      <c r="N72" s="13">
        <f>IF('Données projet'!$A$36&gt;35,N71+M72-V71,IF(A72&lt;'Données projet'!$A$36,$K$205^A72,IF(A72='Données projet'!$A$36,'Données projet'!$B$36,N71+M72-V71)))</f>
        <v>262.29125000000033</v>
      </c>
      <c r="O72" s="13">
        <f>N72*VLOOKUP('Données projet'!$B$9,Paramètres!$A$1:$I$89,3,0)*VLOOKUP('Données projet'!$B$9,Paramètres!$A$1:$I$89,5,0)</f>
        <v>237.32112300000028</v>
      </c>
      <c r="P72" s="13">
        <f t="shared" si="87"/>
        <v>57.862781053141006</v>
      </c>
      <c r="Q72" s="20">
        <f t="shared" si="54"/>
        <v>514.11196622588784</v>
      </c>
      <c r="R72" s="58">
        <f t="shared" si="55"/>
        <v>796.48403036591446</v>
      </c>
      <c r="S72" s="58">
        <f ca="1">AVERAGE(OFFSET($R$3,0,0,'Données projet'!$E$9+1,1))-AVERAGE(OFFSET($H$3,0,0,'Données projet'!$E$9+1,1))</f>
        <v>654.0179680178212</v>
      </c>
      <c r="T72" s="58">
        <f t="shared" si="88"/>
        <v>289.42065570013369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7.6145832355561032</v>
      </c>
      <c r="AA72" s="21">
        <f>EXP(-LN(2)/25)*AA71+(1-EXP(-LN(2)/25))/(LN(2)/25)*Calculateur!V72*Calculateur!X72*VLOOKUP('Données projet'!$B$9,Paramètres!$A$1:$I$89,3,0)*0.475*44/12</f>
        <v>31.118784879284416</v>
      </c>
      <c r="AB72" s="21">
        <f>EXP(-LN(2)/2)*AB71+(1-EXP(-LN(2)/2))/(LN(2)/2)*V72*Y72*VLOOKUP('Données projet'!$B$9,Paramètres!$A$1:$I$89,3,0)*0.475*44/12</f>
        <v>1.8100350889046914</v>
      </c>
      <c r="AC72" s="22">
        <f t="shared" si="57"/>
        <v>40.543403203745207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12.908000000000005</v>
      </c>
      <c r="AI72" s="13">
        <f>IF('Données projet'!$A$62&gt;35,AI71+AH72-AQ71,IF(A72&lt;'Données projet'!$A$62,$AF$205^A72,IF(A72='Données projet'!$A$62,'Données projet'!$B$62,AI71+AH72-AQ71)))</f>
        <v>581.25400000000036</v>
      </c>
      <c r="AJ72" s="13">
        <f>AI72*VLOOKUP('Données projet'!$B$10,Paramètres!$A$1:$I$89,3,0)*VLOOKUP('Données projet'!$B$10,Paramètres!$A$1:$I$89,5,0)</f>
        <v>347.58989200000025</v>
      </c>
      <c r="AK72" s="13">
        <f t="shared" si="89"/>
        <v>81.066045572217988</v>
      </c>
      <c r="AL72" s="20">
        <f t="shared" si="58"/>
        <v>746.57575793828016</v>
      </c>
      <c r="AM72" s="58">
        <f t="shared" si="59"/>
        <v>1028.9478220783067</v>
      </c>
      <c r="AN72" s="58">
        <f ca="1">AVERAGE(OFFSET($AM$3,0,0,'Données projet'!$E$10+1,1))-AVERAGE(OFFSET($H$3,0,0,'Données projet'!$E$10+1,1))</f>
        <v>447.44638185108147</v>
      </c>
      <c r="AO72" s="58">
        <f t="shared" si="90"/>
        <v>384.84260115068605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55.345010617540957</v>
      </c>
      <c r="AV72" s="21">
        <f>EXP(-LN(2)/25)*AV71+(1-EXP(-LN(2)/25))/(LN(2)/25)*Calculateur!AQ72*Calculateur!AS72*VLOOKUP('Données projet'!$B$10,Paramètres!$A$1:$I$89,3,0)*0.475*44/12</f>
        <v>20.90043060241123</v>
      </c>
      <c r="AW72" s="21">
        <f>EXP(-LN(2)/2)*AW71+(1-EXP(-LN(2)/2))/(LN(2)/2)*AQ72*AT72*VLOOKUP('Données projet'!$B$10,Paramètres!$A$1:$I$89,3,0)*0.475*44/12</f>
        <v>4.3261780084775161</v>
      </c>
      <c r="AX72" s="21">
        <f t="shared" si="60"/>
        <v>80.571619228429697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265.96332750000033</v>
      </c>
      <c r="BF72" s="13">
        <f t="shared" si="91"/>
        <v>63.991835900335317</v>
      </c>
      <c r="BG72" s="20">
        <f t="shared" si="61"/>
        <v>574.67190958891786</v>
      </c>
      <c r="BH72" s="58">
        <f t="shared" si="62"/>
        <v>857.04397372894448</v>
      </c>
      <c r="BI72" s="58">
        <f ca="1">AVERAGE(OFFSET($BH$3,0,0,'Données projet'!$E$11+1,1))-AVERAGE(OFFSET($H$3,0,0,'Données projet'!$E$11+1,1))</f>
        <v>724.99760740673071</v>
      </c>
      <c r="BJ72" s="58">
        <f t="shared" si="92"/>
        <v>318.24184272438208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8.5335846605370129</v>
      </c>
      <c r="BQ72" s="21">
        <f>EXP(-LN(2)/25)*BQ71+(1-EXP(-LN(2)/25))/(LN(2)/25)*Calculateur!BL72*Calculateur!BN72*VLOOKUP('Données projet'!$B$11,Paramètres!$A$1:$I$89,3,0)*0.475*44/12</f>
        <v>34.874500295749776</v>
      </c>
      <c r="BR72" s="21">
        <f>EXP(-LN(2)/2)*BR71+(1-EXP(-LN(2)/2))/(LN(2)/2)*BL72*BO72*VLOOKUP('Données projet'!$B$11,Paramètres!$A$1:$I$89,3,0)*0.475*44/12</f>
        <v>2.0284875996345684</v>
      </c>
      <c r="BS72" s="22">
        <f t="shared" si="63"/>
        <v>45.436572555921352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9.733749999999997</v>
      </c>
      <c r="BY72" s="12">
        <f>IF('Données projet'!$A$114&gt;35,BY71+BX72-CG71,IF(A72&lt;'Données projet'!$A$114,$BV$205^A72,IF(A72='Données projet'!$A$114,'Données projet'!$B$114,BY71+BX72-CG71)))</f>
        <v>262.29125000000033</v>
      </c>
      <c r="BZ72" s="13">
        <f>BY72*VLOOKUP('Données projet'!$B$12,Paramètres!$A$1:$I$89,3,0)*VLOOKUP('Données projet'!$B$12,Paramètres!$A$1:$I$89,5,0)</f>
        <v>249.5963535000003</v>
      </c>
      <c r="CA72" s="13">
        <f t="shared" si="93"/>
        <v>60.49949790244262</v>
      </c>
      <c r="CB72" s="20">
        <f t="shared" si="64"/>
        <v>540.0836078592547</v>
      </c>
      <c r="CC72" s="58">
        <f t="shared" si="65"/>
        <v>822.45567199928132</v>
      </c>
      <c r="CD72" s="58">
        <f ca="1">AVERAGE(OFFSET($CC$3,0,0,'Données projet'!$E$12+1,1))-AVERAGE(OFFSET($H$3,0,0,'Données projet'!$E$12+1,1))</f>
        <v>684.45757350513315</v>
      </c>
      <c r="CE72" s="58">
        <f t="shared" si="94"/>
        <v>301.78148341369194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8.0084409891193502</v>
      </c>
      <c r="CL72" s="21">
        <f>EXP(-LN(2)/25)*CL71+(1-EXP(-LN(2)/25))/(LN(2)/25)*Calculateur!CG72*Calculateur!CI72*VLOOKUP('Données projet'!$B$12,Paramètres!$A$1:$I$89,3,0)*0.475*44/12</f>
        <v>32.728377200626703</v>
      </c>
      <c r="CM72" s="21">
        <f>EXP(-LN(2)/2)*CM71+(1-EXP(-LN(2)/2))/(LN(2)/2)*CG72*CJ72*VLOOKUP('Données projet'!$B$12,Paramètres!$A$1:$I$89,3,0)*0.475*44/12</f>
        <v>1.9036575935032101</v>
      </c>
      <c r="CN72" s="22">
        <f t="shared" si="66"/>
        <v>42.640475783249265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8" t="e">
        <f t="shared" si="68"/>
        <v>#N/A</v>
      </c>
      <c r="CY72" s="58" t="e">
        <f ca="1">AVERAGE(OFFSET($CX$3,0,0,'Données projet'!$E$13+1,1))-AVERAGE(OFFSET($H$3,0,0,'Données projet'!$E$13+1,1))</f>
        <v>#N/A</v>
      </c>
      <c r="CZ72" s="58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8" t="e">
        <f t="shared" si="71"/>
        <v>#N/A</v>
      </c>
      <c r="DT72" s="58" t="e">
        <f ca="1">AVERAGE(OFFSET($DS$3,0,0,'Données projet'!$E$14+1,1))-AVERAGE(OFFSET($H$3,0,0,'Données projet'!$E$14+1,1))</f>
        <v>#N/A</v>
      </c>
      <c r="DU72" s="58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8" t="e">
        <f t="shared" si="74"/>
        <v>#N/A</v>
      </c>
      <c r="EO72" s="58" t="e">
        <f ca="1">AVERAGE(OFFSET($EN$3,0,0,'Données projet'!$E$15+1,1))-AVERAGE(OFFSET($H$3,0,0,'Données projet'!$E$15+1,1))</f>
        <v>#N/A</v>
      </c>
      <c r="EP72" s="58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8" t="e">
        <f t="shared" si="77"/>
        <v>#N/A</v>
      </c>
      <c r="FJ72" s="58" t="e">
        <f ca="1">AVERAGE(OFFSET($FI$3,0,0,'Données projet'!$E$16+1,1))-AVERAGE(OFFSET($H$3,0,0,'Données projet'!$E$16+1,1))</f>
        <v>#N/A</v>
      </c>
      <c r="FK72" s="58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8" t="e">
        <f t="shared" si="80"/>
        <v>#N/A</v>
      </c>
      <c r="GE72" s="58" t="e">
        <f ca="1">AVERAGE(OFFSET($GD$3,0,0,'Données projet'!$E$17+1,1))-AVERAGE(OFFSET($H$3,0,0,'Données projet'!$E$17+1,1))</f>
        <v>#N/A</v>
      </c>
      <c r="GF72" s="58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67.010562947279993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8" t="e">
        <f t="shared" si="83"/>
        <v>#N/A</v>
      </c>
      <c r="GZ72" s="58" t="e">
        <f ca="1">AVERAGE(OFFSET($GY$3,0,0,'Données projet'!$E$18+1,1))-AVERAGE(OFFSET($H$3,0,0,'Données projet'!$E$18+1,1))</f>
        <v>#N/A</v>
      </c>
      <c r="HA72" s="58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2">
        <f>'Scénario référence'!$B$16*5+'Scénario référence'!$B$17*0+'Scénario référence'!$B$18*5</f>
        <v>2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7.333333333333333</v>
      </c>
      <c r="H73" s="66">
        <f t="shared" si="56"/>
        <v>227.33333333333334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9.733749999999997</v>
      </c>
      <c r="N73" s="13">
        <f>IF('Données projet'!$A$36&gt;35,N72+M73-V72,IF(A73&lt;'Données projet'!$A$36,$K$205^A73,IF(A73='Données projet'!$A$36,'Données projet'!$B$36,N72+M73-V72)))</f>
        <v>272.02500000000032</v>
      </c>
      <c r="O73" s="13">
        <f>N73*VLOOKUP('Données projet'!$B$9,Paramètres!$A$1:$I$89,3,0)*VLOOKUP('Données projet'!$B$9,Paramètres!$A$1:$I$89,5,0)</f>
        <v>246.12822000000025</v>
      </c>
      <c r="P73" s="13">
        <f t="shared" si="87"/>
        <v>59.756105801003123</v>
      </c>
      <c r="Q73" s="20">
        <f t="shared" si="54"/>
        <v>532.74853410341427</v>
      </c>
      <c r="R73" s="58">
        <f t="shared" si="55"/>
        <v>815.31075175821798</v>
      </c>
      <c r="S73" s="58">
        <f ca="1">AVERAGE(OFFSET($R$3,0,0,'Données projet'!$E$9+1,1))-AVERAGE(OFFSET($H$3,0,0,'Données projet'!$E$9+1,1))</f>
        <v>654.0179680178212</v>
      </c>
      <c r="T73" s="58">
        <f t="shared" si="88"/>
        <v>289.42065570013369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7.4652659027440214</v>
      </c>
      <c r="AA73" s="21">
        <f>EXP(-LN(2)/25)*AA72+(1-EXP(-LN(2)/25))/(LN(2)/25)*Calculateur!V73*Calculateur!X73*VLOOKUP('Données projet'!$B$9,Paramètres!$A$1:$I$89,3,0)*0.475*44/12</f>
        <v>30.267840070294611</v>
      </c>
      <c r="AB73" s="21">
        <f>EXP(-LN(2)/2)*AB72+(1-EXP(-LN(2)/2))/(LN(2)/2)*V73*Y73*VLOOKUP('Données projet'!$B$9,Paramètres!$A$1:$I$89,3,0)*0.475*44/12</f>
        <v>1.2798880855501029</v>
      </c>
      <c r="AC73" s="22">
        <f t="shared" si="57"/>
        <v>39.012994058588738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12.908000000000005</v>
      </c>
      <c r="AI73" s="13">
        <f>IF('Données projet'!$A$62&gt;35,AI72+AH73-AQ72,IF(A73&lt;'Données projet'!$A$62,$AF$205^A73,IF(A73='Données projet'!$A$62,'Données projet'!$B$62,AI72+AH73-AQ72)))</f>
        <v>594.16200000000038</v>
      </c>
      <c r="AJ73" s="13">
        <f>AI73*VLOOKUP('Données projet'!$B$10,Paramètres!$A$1:$I$89,3,0)*VLOOKUP('Données projet'!$B$10,Paramètres!$A$1:$I$89,5,0)</f>
        <v>355.30887600000028</v>
      </c>
      <c r="AK73" s="13">
        <f t="shared" si="89"/>
        <v>82.654704321195922</v>
      </c>
      <c r="AL73" s="20">
        <f t="shared" si="58"/>
        <v>762.78656905941671</v>
      </c>
      <c r="AM73" s="58">
        <f t="shared" si="59"/>
        <v>1045.3487867142205</v>
      </c>
      <c r="AN73" s="58">
        <f ca="1">AVERAGE(OFFSET($AM$3,0,0,'Données projet'!$E$10+1,1))-AVERAGE(OFFSET($H$3,0,0,'Données projet'!$E$10+1,1))</f>
        <v>447.44638185108147</v>
      </c>
      <c r="AO73" s="58">
        <f t="shared" si="90"/>
        <v>384.84260115068605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54.259728716454219</v>
      </c>
      <c r="AV73" s="21">
        <f>EXP(-LN(2)/25)*AV72+(1-EXP(-LN(2)/25))/(LN(2)/25)*Calculateur!AQ73*Calculateur!AS73*VLOOKUP('Données projet'!$B$10,Paramètres!$A$1:$I$89,3,0)*0.475*44/12</f>
        <v>20.328907228482418</v>
      </c>
      <c r="AW73" s="21">
        <f>EXP(-LN(2)/2)*AW72+(1-EXP(-LN(2)/2))/(LN(2)/2)*AQ73*AT73*VLOOKUP('Données projet'!$B$10,Paramètres!$A$1:$I$89,3,0)*0.475*44/12</f>
        <v>3.0590698064145649</v>
      </c>
      <c r="AX73" s="21">
        <f t="shared" si="60"/>
        <v>77.647705751351211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275.83335000000034</v>
      </c>
      <c r="BF73" s="13">
        <f t="shared" si="91"/>
        <v>66.085709101140665</v>
      </c>
      <c r="BG73" s="20">
        <f t="shared" si="61"/>
        <v>595.50902793448722</v>
      </c>
      <c r="BH73" s="58">
        <f t="shared" si="62"/>
        <v>878.07124558929104</v>
      </c>
      <c r="BI73" s="58">
        <f ca="1">AVERAGE(OFFSET($BH$3,0,0,'Données projet'!$E$11+1,1))-AVERAGE(OFFSET($H$3,0,0,'Données projet'!$E$11+1,1))</f>
        <v>724.99760740673071</v>
      </c>
      <c r="BJ73" s="58">
        <f t="shared" si="92"/>
        <v>318.24184272438208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8.3662462703165765</v>
      </c>
      <c r="BQ73" s="21">
        <f>EXP(-LN(2)/25)*BQ72+(1-EXP(-LN(2)/25))/(LN(2)/25)*Calculateur!BL73*Calculateur!BN73*VLOOKUP('Données projet'!$B$11,Paramètres!$A$1:$I$89,3,0)*0.475*44/12</f>
        <v>33.920855251192236</v>
      </c>
      <c r="BR73" s="21">
        <f>EXP(-LN(2)/2)*BR72+(1-EXP(-LN(2)/2))/(LN(2)/2)*BL73*BO73*VLOOKUP('Données projet'!$B$11,Paramètres!$A$1:$I$89,3,0)*0.475*44/12</f>
        <v>1.4343573372544258</v>
      </c>
      <c r="BS73" s="22">
        <f t="shared" si="63"/>
        <v>43.721458858763242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9.733749999999997</v>
      </c>
      <c r="BY73" s="12">
        <f>IF('Données projet'!$A$114&gt;35,BY72+BX73-CG72,IF(A73&lt;'Données projet'!$A$114,$BV$205^A73,IF(A73='Données projet'!$A$114,'Données projet'!$B$114,BY72+BX73-CG72)))</f>
        <v>272.02500000000032</v>
      </c>
      <c r="BZ73" s="13">
        <f>BY73*VLOOKUP('Données projet'!$B$12,Paramètres!$A$1:$I$89,3,0)*VLOOKUP('Données projet'!$B$12,Paramètres!$A$1:$I$89,5,0)</f>
        <v>258.85899000000029</v>
      </c>
      <c r="CA73" s="13">
        <f t="shared" si="93"/>
        <v>62.47909851145463</v>
      </c>
      <c r="CB73" s="20">
        <f t="shared" si="64"/>
        <v>559.66383749078398</v>
      </c>
      <c r="CC73" s="58">
        <f t="shared" si="65"/>
        <v>842.22605514558768</v>
      </c>
      <c r="CD73" s="58">
        <f ca="1">AVERAGE(OFFSET($CC$3,0,0,'Données projet'!$E$12+1,1))-AVERAGE(OFFSET($H$3,0,0,'Données projet'!$E$12+1,1))</f>
        <v>684.45757350513315</v>
      </c>
      <c r="CE73" s="58">
        <f t="shared" si="94"/>
        <v>301.78148341369194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7.8514003459894024</v>
      </c>
      <c r="CL73" s="21">
        <f>EXP(-LN(2)/25)*CL72+(1-EXP(-LN(2)/25))/(LN(2)/25)*Calculateur!CG73*Calculateur!CI73*VLOOKUP('Données projet'!$B$12,Paramètres!$A$1:$I$89,3,0)*0.475*44/12</f>
        <v>31.833418004965012</v>
      </c>
      <c r="CM73" s="21">
        <f>EXP(-LN(2)/2)*CM72+(1-EXP(-LN(2)/2))/(LN(2)/2)*CG73*CJ73*VLOOKUP('Données projet'!$B$12,Paramètres!$A$1:$I$89,3,0)*0.475*44/12</f>
        <v>1.3460891934233841</v>
      </c>
      <c r="CN73" s="22">
        <f t="shared" si="66"/>
        <v>41.030907544377797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8" t="e">
        <f t="shared" si="68"/>
        <v>#N/A</v>
      </c>
      <c r="CY73" s="58" t="e">
        <f ca="1">AVERAGE(OFFSET($CX$3,0,0,'Données projet'!$E$13+1,1))-AVERAGE(OFFSET($H$3,0,0,'Données projet'!$E$13+1,1))</f>
        <v>#N/A</v>
      </c>
      <c r="CZ73" s="58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8" t="e">
        <f t="shared" si="71"/>
        <v>#N/A</v>
      </c>
      <c r="DT73" s="58" t="e">
        <f ca="1">AVERAGE(OFFSET($DS$3,0,0,'Données projet'!$E$14+1,1))-AVERAGE(OFFSET($H$3,0,0,'Données projet'!$E$14+1,1))</f>
        <v>#N/A</v>
      </c>
      <c r="DU73" s="58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8" t="e">
        <f t="shared" si="74"/>
        <v>#N/A</v>
      </c>
      <c r="EO73" s="58" t="e">
        <f ca="1">AVERAGE(OFFSET($EN$3,0,0,'Données projet'!$E$15+1,1))-AVERAGE(OFFSET($H$3,0,0,'Données projet'!$E$15+1,1))</f>
        <v>#N/A</v>
      </c>
      <c r="EP73" s="58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8" t="e">
        <f t="shared" si="77"/>
        <v>#N/A</v>
      </c>
      <c r="FJ73" s="58" t="e">
        <f ca="1">AVERAGE(OFFSET($FI$3,0,0,'Données projet'!$E$16+1,1))-AVERAGE(OFFSET($H$3,0,0,'Données projet'!$E$16+1,1))</f>
        <v>#N/A</v>
      </c>
      <c r="FK73" s="58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8" t="e">
        <f t="shared" si="80"/>
        <v>#N/A</v>
      </c>
      <c r="GE73" s="58" t="e">
        <f ca="1">AVERAGE(OFFSET($GD$3,0,0,'Données projet'!$E$17+1,1))-AVERAGE(OFFSET($H$3,0,0,'Données projet'!$E$17+1,1))</f>
        <v>#N/A</v>
      </c>
      <c r="GF73" s="58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67.062422996764667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8" t="e">
        <f t="shared" si="83"/>
        <v>#N/A</v>
      </c>
      <c r="GZ73" s="58" t="e">
        <f ca="1">AVERAGE(OFFSET($GY$3,0,0,'Données projet'!$E$18+1,1))-AVERAGE(OFFSET($H$3,0,0,'Données projet'!$E$18+1,1))</f>
        <v>#N/A</v>
      </c>
      <c r="HA73" s="58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2">
        <f>'Scénario référence'!$B$16*5+'Scénario référence'!$B$17*0+'Scénario référence'!$B$18*5</f>
        <v>2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7.333333333333333</v>
      </c>
      <c r="H74" s="66">
        <f t="shared" si="56"/>
        <v>227.33333333333334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9.733749999999997</v>
      </c>
      <c r="N74" s="13">
        <f>IF('Données projet'!$A$36&gt;35,N73+M74-V73,IF(A74&lt;'Données projet'!$A$36,$K$205^A74,IF(A74='Données projet'!$A$36,'Données projet'!$B$36,N73+M74-V73)))</f>
        <v>281.7587500000003</v>
      </c>
      <c r="O74" s="13">
        <f>N74*VLOOKUP('Données projet'!$B$9,Paramètres!$A$1:$I$89,3,0)*VLOOKUP('Données projet'!$B$9,Paramètres!$A$1:$I$89,5,0)</f>
        <v>254.93531700000028</v>
      </c>
      <c r="P74" s="13">
        <f t="shared" si="87"/>
        <v>61.641559307209917</v>
      </c>
      <c r="Q74" s="20">
        <f t="shared" si="54"/>
        <v>551.37139290172445</v>
      </c>
      <c r="R74" s="58">
        <f t="shared" si="55"/>
        <v>834.1204653329437</v>
      </c>
      <c r="S74" s="58">
        <f ca="1">AVERAGE(OFFSET($R$3,0,0,'Données projet'!$E$9+1,1))-AVERAGE(OFFSET($H$3,0,0,'Données projet'!$E$9+1,1))</f>
        <v>654.0179680178212</v>
      </c>
      <c r="T74" s="58">
        <f t="shared" si="88"/>
        <v>289.42065570013369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7.3188765917538046</v>
      </c>
      <c r="AA74" s="21">
        <f>EXP(-LN(2)/25)*AA73+(1-EXP(-LN(2)/25))/(LN(2)/25)*Calculateur!V74*Calculateur!X74*VLOOKUP('Données projet'!$B$9,Paramètres!$A$1:$I$89,3,0)*0.475*44/12</f>
        <v>29.440164391855873</v>
      </c>
      <c r="AB74" s="21">
        <f>EXP(-LN(2)/2)*AB73+(1-EXP(-LN(2)/2))/(LN(2)/2)*V74*Y74*VLOOKUP('Données projet'!$B$9,Paramètres!$A$1:$I$89,3,0)*0.475*44/12</f>
        <v>0.90501754445234595</v>
      </c>
      <c r="AC74" s="22">
        <f t="shared" si="57"/>
        <v>37.664058528062029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12.908000000000005</v>
      </c>
      <c r="AI74" s="13">
        <f>IF('Données projet'!$A$62&gt;35,AI73+AH74-AQ73,IF(A74&lt;'Données projet'!$A$62,$AF$205^A74,IF(A74='Données projet'!$A$62,'Données projet'!$B$62,AI73+AH74-AQ73)))</f>
        <v>607.07000000000039</v>
      </c>
      <c r="AJ74" s="13">
        <f>AI74*VLOOKUP('Données projet'!$B$10,Paramètres!$A$1:$I$89,3,0)*VLOOKUP('Données projet'!$B$10,Paramètres!$A$1:$I$89,5,0)</f>
        <v>363.02786000000026</v>
      </c>
      <c r="AK74" s="13">
        <f t="shared" si="89"/>
        <v>84.239350480083729</v>
      </c>
      <c r="AL74" s="20">
        <f t="shared" si="58"/>
        <v>778.9903915861463</v>
      </c>
      <c r="AM74" s="58">
        <f t="shared" si="59"/>
        <v>1061.7394640173654</v>
      </c>
      <c r="AN74" s="58">
        <f ca="1">AVERAGE(OFFSET($AM$3,0,0,'Données projet'!$E$10+1,1))-AVERAGE(OFFSET($H$3,0,0,'Données projet'!$E$10+1,1))</f>
        <v>447.44638185108147</v>
      </c>
      <c r="AO74" s="58">
        <f t="shared" si="90"/>
        <v>384.84260115068605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53.195728531491191</v>
      </c>
      <c r="AV74" s="21">
        <f>EXP(-LN(2)/25)*AV73+(1-EXP(-LN(2)/25))/(LN(2)/25)*Calculateur!AQ74*Calculateur!AS74*VLOOKUP('Données projet'!$B$10,Paramètres!$A$1:$I$89,3,0)*0.475*44/12</f>
        <v>19.773012191268798</v>
      </c>
      <c r="AW74" s="21">
        <f>EXP(-LN(2)/2)*AW73+(1-EXP(-LN(2)/2))/(LN(2)/2)*AQ74*AT74*VLOOKUP('Données projet'!$B$10,Paramètres!$A$1:$I$89,3,0)*0.475*44/12</f>
        <v>2.1630890042387581</v>
      </c>
      <c r="AX74" s="21">
        <f t="shared" si="60"/>
        <v>75.131829726998745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285.70337250000034</v>
      </c>
      <c r="BF74" s="13">
        <f t="shared" si="91"/>
        <v>68.170877307212365</v>
      </c>
      <c r="BG74" s="20">
        <f t="shared" si="61"/>
        <v>616.3309850808954</v>
      </c>
      <c r="BH74" s="58">
        <f t="shared" si="62"/>
        <v>899.08005751211454</v>
      </c>
      <c r="BI74" s="58">
        <f ca="1">AVERAGE(OFFSET($BH$3,0,0,'Données projet'!$E$11+1,1))-AVERAGE(OFFSET($H$3,0,0,'Données projet'!$E$11+1,1))</f>
        <v>724.99760740673071</v>
      </c>
      <c r="BJ74" s="58">
        <f t="shared" si="92"/>
        <v>318.24184272438208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8.2021892838620225</v>
      </c>
      <c r="BQ74" s="21">
        <f>EXP(-LN(2)/25)*BQ73+(1-EXP(-LN(2)/25))/(LN(2)/25)*Calculateur!BL74*Calculateur!BN74*VLOOKUP('Données projet'!$B$11,Paramètres!$A$1:$I$89,3,0)*0.475*44/12</f>
        <v>32.993287680528134</v>
      </c>
      <c r="BR74" s="21">
        <f>EXP(-LN(2)/2)*BR73+(1-EXP(-LN(2)/2))/(LN(2)/2)*BL74*BO74*VLOOKUP('Données projet'!$B$11,Paramètres!$A$1:$I$89,3,0)*0.475*44/12</f>
        <v>1.0142437998172844</v>
      </c>
      <c r="BS74" s="22">
        <f t="shared" si="63"/>
        <v>42.209720764207439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9.733749999999997</v>
      </c>
      <c r="BY74" s="12">
        <f>IF('Données projet'!$A$114&gt;35,BY73+BX74-CG73,IF(A74&lt;'Données projet'!$A$114,$BV$205^A74,IF(A74='Données projet'!$A$114,'Données projet'!$B$114,BY73+BX74-CG73)))</f>
        <v>281.7587500000003</v>
      </c>
      <c r="BZ74" s="13">
        <f>BY74*VLOOKUP('Données projet'!$B$12,Paramètres!$A$1:$I$89,3,0)*VLOOKUP('Données projet'!$B$12,Paramètres!$A$1:$I$89,5,0)</f>
        <v>268.12162650000027</v>
      </c>
      <c r="CA74" s="13">
        <f t="shared" si="93"/>
        <v>64.450469198583448</v>
      </c>
      <c r="CB74" s="20">
        <f t="shared" si="64"/>
        <v>579.2297333416999</v>
      </c>
      <c r="CC74" s="58">
        <f t="shared" si="65"/>
        <v>861.97880577291903</v>
      </c>
      <c r="CD74" s="58">
        <f ca="1">AVERAGE(OFFSET($CC$3,0,0,'Données projet'!$E$12+1,1))-AVERAGE(OFFSET($H$3,0,0,'Données projet'!$E$12+1,1))</f>
        <v>684.45757350513315</v>
      </c>
      <c r="CE74" s="58">
        <f t="shared" si="94"/>
        <v>301.78148341369194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7.6974391740858987</v>
      </c>
      <c r="CL74" s="21">
        <f>EXP(-LN(2)/25)*CL73+(1-EXP(-LN(2)/25))/(LN(2)/25)*Calculateur!CG74*Calculateur!CI74*VLOOKUP('Données projet'!$B$12,Paramètres!$A$1:$I$89,3,0)*0.475*44/12</f>
        <v>30.962931515572546</v>
      </c>
      <c r="CM74" s="21">
        <f>EXP(-LN(2)/2)*CM73+(1-EXP(-LN(2)/2))/(LN(2)/2)*CG74*CJ74*VLOOKUP('Données projet'!$B$12,Paramètres!$A$1:$I$89,3,0)*0.475*44/12</f>
        <v>0.95182879675160514</v>
      </c>
      <c r="CN74" s="22">
        <f t="shared" si="66"/>
        <v>39.612199486410049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8" t="e">
        <f t="shared" si="68"/>
        <v>#N/A</v>
      </c>
      <c r="CY74" s="58" t="e">
        <f ca="1">AVERAGE(OFFSET($CX$3,0,0,'Données projet'!$E$13+1,1))-AVERAGE(OFFSET($H$3,0,0,'Données projet'!$E$13+1,1))</f>
        <v>#N/A</v>
      </c>
      <c r="CZ74" s="58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8" t="e">
        <f t="shared" si="71"/>
        <v>#N/A</v>
      </c>
      <c r="DT74" s="58" t="e">
        <f ca="1">AVERAGE(OFFSET($DS$3,0,0,'Données projet'!$E$14+1,1))-AVERAGE(OFFSET($H$3,0,0,'Données projet'!$E$14+1,1))</f>
        <v>#N/A</v>
      </c>
      <c r="DU74" s="58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8" t="e">
        <f t="shared" si="74"/>
        <v>#N/A</v>
      </c>
      <c r="EO74" s="58" t="e">
        <f ca="1">AVERAGE(OFFSET($EN$3,0,0,'Données projet'!$E$15+1,1))-AVERAGE(OFFSET($H$3,0,0,'Données projet'!$E$15+1,1))</f>
        <v>#N/A</v>
      </c>
      <c r="EP74" s="58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8" t="e">
        <f t="shared" si="77"/>
        <v>#N/A</v>
      </c>
      <c r="FJ74" s="58" t="e">
        <f ca="1">AVERAGE(OFFSET($FI$3,0,0,'Données projet'!$E$16+1,1))-AVERAGE(OFFSET($H$3,0,0,'Données projet'!$E$16+1,1))</f>
        <v>#N/A</v>
      </c>
      <c r="FK74" s="58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8" t="e">
        <f t="shared" si="80"/>
        <v>#N/A</v>
      </c>
      <c r="GE74" s="58" t="e">
        <f ca="1">AVERAGE(OFFSET($GD$3,0,0,'Données projet'!$E$17+1,1))-AVERAGE(OFFSET($H$3,0,0,'Données projet'!$E$17+1,1))</f>
        <v>#N/A</v>
      </c>
      <c r="GF74" s="58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67.113383390332501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8" t="e">
        <f t="shared" si="83"/>
        <v>#N/A</v>
      </c>
      <c r="GZ74" s="58" t="e">
        <f ca="1">AVERAGE(OFFSET($GY$3,0,0,'Données projet'!$E$18+1,1))-AVERAGE(OFFSET($H$3,0,0,'Données projet'!$E$18+1,1))</f>
        <v>#N/A</v>
      </c>
      <c r="HA74" s="58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2">
        <f>'Scénario référence'!$B$16*5+'Scénario référence'!$B$17*0+'Scénario référence'!$B$18*5</f>
        <v>2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7.333333333333333</v>
      </c>
      <c r="H75" s="66">
        <f t="shared" si="56"/>
        <v>227.33333333333334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9.733749999999997</v>
      </c>
      <c r="N75" s="13">
        <f>IF('Données projet'!$A$36&gt;35,N74+M75-V74,IF(A75&lt;'Données projet'!$A$36,$K$205^A75,IF(A75='Données projet'!$A$36,'Données projet'!$B$36,N74+M75-V74)))</f>
        <v>291.49250000000029</v>
      </c>
      <c r="O75" s="13">
        <f>N75*VLOOKUP('Données projet'!$B$9,Paramètres!$A$1:$I$89,3,0)*VLOOKUP('Données projet'!$B$9,Paramètres!$A$1:$I$89,5,0)</f>
        <v>263.74241400000022</v>
      </c>
      <c r="P75" s="13">
        <f t="shared" si="87"/>
        <v>63.519444659628142</v>
      </c>
      <c r="Q75" s="20">
        <f t="shared" si="54"/>
        <v>569.98107049885277</v>
      </c>
      <c r="R75" s="58">
        <f t="shared" si="55"/>
        <v>852.91375619386122</v>
      </c>
      <c r="S75" s="58">
        <f ca="1">AVERAGE(OFFSET($R$3,0,0,'Données projet'!$E$9+1,1))-AVERAGE(OFFSET($H$3,0,0,'Données projet'!$E$9+1,1))</f>
        <v>654.0179680178212</v>
      </c>
      <c r="T75" s="58">
        <f t="shared" si="88"/>
        <v>289.42065570013369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7.175357885863443</v>
      </c>
      <c r="AA75" s="21">
        <f>EXP(-LN(2)/25)*AA74+(1-EXP(-LN(2)/25))/(LN(2)/25)*Calculateur!V75*Calculateur!X75*VLOOKUP('Données projet'!$B$9,Paramètres!$A$1:$I$89,3,0)*0.475*44/12</f>
        <v>28.635121548369614</v>
      </c>
      <c r="AB75" s="21">
        <f>EXP(-LN(2)/2)*AB74+(1-EXP(-LN(2)/2))/(LN(2)/2)*V75*Y75*VLOOKUP('Données projet'!$B$9,Paramètres!$A$1:$I$89,3,0)*0.475*44/12</f>
        <v>0.63994404277505157</v>
      </c>
      <c r="AC75" s="22">
        <f t="shared" si="57"/>
        <v>36.450423477008108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12.908000000000005</v>
      </c>
      <c r="AI75" s="13">
        <f>IF('Données projet'!$A$62&gt;35,AI74+AH75-AQ74,IF(A75&lt;'Données projet'!$A$62,$AF$205^A75,IF(A75='Données projet'!$A$62,'Données projet'!$B$62,AI74+AH75-AQ74)))</f>
        <v>619.97800000000041</v>
      </c>
      <c r="AJ75" s="13">
        <f>AI75*VLOOKUP('Données projet'!$B$10,Paramètres!$A$1:$I$89,3,0)*VLOOKUP('Données projet'!$B$10,Paramètres!$A$1:$I$89,5,0)</f>
        <v>370.74684400000024</v>
      </c>
      <c r="AK75" s="13">
        <f t="shared" si="89"/>
        <v>85.820079195547208</v>
      </c>
      <c r="AL75" s="20">
        <f t="shared" si="58"/>
        <v>795.1873912322452</v>
      </c>
      <c r="AM75" s="58">
        <f t="shared" si="59"/>
        <v>1078.1200769272536</v>
      </c>
      <c r="AN75" s="58">
        <f ca="1">AVERAGE(OFFSET($AM$3,0,0,'Données projet'!$E$10+1,1))-AVERAGE(OFFSET($H$3,0,0,'Données projet'!$E$10+1,1))</f>
        <v>447.44638185108147</v>
      </c>
      <c r="AO75" s="58">
        <f t="shared" si="90"/>
        <v>384.84260115068605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52.152592741179255</v>
      </c>
      <c r="AV75" s="21">
        <f>EXP(-LN(2)/25)*AV74+(1-EXP(-LN(2)/25))/(LN(2)/25)*Calculateur!AQ75*Calculateur!AS75*VLOOKUP('Données projet'!$B$10,Paramètres!$A$1:$I$89,3,0)*0.475*44/12</f>
        <v>19.232318133081034</v>
      </c>
      <c r="AW75" s="21">
        <f>EXP(-LN(2)/2)*AW74+(1-EXP(-LN(2)/2))/(LN(2)/2)*AQ75*AT75*VLOOKUP('Données projet'!$B$10,Paramètres!$A$1:$I$89,3,0)*0.475*44/12</f>
        <v>1.5295349032072825</v>
      </c>
      <c r="AX75" s="21">
        <f t="shared" si="60"/>
        <v>72.914445777467563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295.57339500000029</v>
      </c>
      <c r="BF75" s="13">
        <f t="shared" si="91"/>
        <v>70.247675710683964</v>
      </c>
      <c r="BG75" s="20">
        <f t="shared" si="61"/>
        <v>637.13836482110844</v>
      </c>
      <c r="BH75" s="58">
        <f t="shared" si="62"/>
        <v>920.07105051611688</v>
      </c>
      <c r="BI75" s="58">
        <f ca="1">AVERAGE(OFFSET($BH$3,0,0,'Données projet'!$E$11+1,1))-AVERAGE(OFFSET($H$3,0,0,'Données projet'!$E$11+1,1))</f>
        <v>724.99760740673071</v>
      </c>
      <c r="BJ75" s="58">
        <f t="shared" si="92"/>
        <v>318.24184272438208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8.041349354846961</v>
      </c>
      <c r="BQ75" s="21">
        <f>EXP(-LN(2)/25)*BQ74+(1-EXP(-LN(2)/25))/(LN(2)/25)*Calculateur!BL75*Calculateur!BN75*VLOOKUP('Données projet'!$B$11,Paramètres!$A$1:$I$89,3,0)*0.475*44/12</f>
        <v>32.091084493862503</v>
      </c>
      <c r="BR75" s="21">
        <f>EXP(-LN(2)/2)*BR74+(1-EXP(-LN(2)/2))/(LN(2)/2)*BL75*BO75*VLOOKUP('Données projet'!$B$11,Paramètres!$A$1:$I$89,3,0)*0.475*44/12</f>
        <v>0.71717866862721313</v>
      </c>
      <c r="BS75" s="22">
        <f t="shared" si="63"/>
        <v>40.849612517336681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9.733749999999997</v>
      </c>
      <c r="BY75" s="12">
        <f>IF('Données projet'!$A$114&gt;35,BY74+BX75-CG74,IF(A75&lt;'Données projet'!$A$114,$BV$205^A75,IF(A75='Données projet'!$A$114,'Données projet'!$B$114,BY74+BX75-CG74)))</f>
        <v>291.49250000000029</v>
      </c>
      <c r="BZ75" s="13">
        <f>BY75*VLOOKUP('Données projet'!$B$12,Paramètres!$A$1:$I$89,3,0)*VLOOKUP('Données projet'!$B$12,Paramètres!$A$1:$I$89,5,0)</f>
        <v>277.38426300000032</v>
      </c>
      <c r="CA75" s="13">
        <f t="shared" si="93"/>
        <v>66.413926862937842</v>
      </c>
      <c r="CB75" s="20">
        <f t="shared" si="64"/>
        <v>598.78184734461729</v>
      </c>
      <c r="CC75" s="58">
        <f t="shared" si="65"/>
        <v>881.71453303962574</v>
      </c>
      <c r="CD75" s="58">
        <f ca="1">AVERAGE(OFFSET($CC$3,0,0,'Données projet'!$E$12+1,1))-AVERAGE(OFFSET($H$3,0,0,'Données projet'!$E$12+1,1))</f>
        <v>684.45757350513315</v>
      </c>
      <c r="CE75" s="58">
        <f t="shared" si="94"/>
        <v>301.78148341369194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7.5464970868563803</v>
      </c>
      <c r="CL75" s="21">
        <f>EXP(-LN(2)/25)*CL74+(1-EXP(-LN(2)/25))/(LN(2)/25)*Calculateur!CG75*Calculateur!CI75*VLOOKUP('Données projet'!$B$12,Paramètres!$A$1:$I$89,3,0)*0.475*44/12</f>
        <v>30.116248525009414</v>
      </c>
      <c r="CM75" s="21">
        <f>EXP(-LN(2)/2)*CM74+(1-EXP(-LN(2)/2))/(LN(2)/2)*CG75*CJ75*VLOOKUP('Données projet'!$B$12,Paramètres!$A$1:$I$89,3,0)*0.475*44/12</f>
        <v>0.67304459671169214</v>
      </c>
      <c r="CN75" s="22">
        <f t="shared" si="66"/>
        <v>38.335790208577485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8" t="e">
        <f t="shared" si="68"/>
        <v>#N/A</v>
      </c>
      <c r="CY75" s="58" t="e">
        <f ca="1">AVERAGE(OFFSET($CX$3,0,0,'Données projet'!$E$13+1,1))-AVERAGE(OFFSET($H$3,0,0,'Données projet'!$E$13+1,1))</f>
        <v>#N/A</v>
      </c>
      <c r="CZ75" s="58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8" t="e">
        <f t="shared" si="71"/>
        <v>#N/A</v>
      </c>
      <c r="DT75" s="58" t="e">
        <f ca="1">AVERAGE(OFFSET($DS$3,0,0,'Données projet'!$E$14+1,1))-AVERAGE(OFFSET($H$3,0,0,'Données projet'!$E$14+1,1))</f>
        <v>#N/A</v>
      </c>
      <c r="DU75" s="58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8" t="e">
        <f t="shared" si="74"/>
        <v>#N/A</v>
      </c>
      <c r="EO75" s="58" t="e">
        <f ca="1">AVERAGE(OFFSET($EN$3,0,0,'Données projet'!$E$15+1,1))-AVERAGE(OFFSET($H$3,0,0,'Données projet'!$E$15+1,1))</f>
        <v>#N/A</v>
      </c>
      <c r="EP75" s="58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8" t="e">
        <f t="shared" si="77"/>
        <v>#N/A</v>
      </c>
      <c r="FJ75" s="58" t="e">
        <f ca="1">AVERAGE(OFFSET($FI$3,0,0,'Données projet'!$E$16+1,1))-AVERAGE(OFFSET($H$3,0,0,'Données projet'!$E$16+1,1))</f>
        <v>#N/A</v>
      </c>
      <c r="FK75" s="58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8" t="e">
        <f t="shared" si="80"/>
        <v>#N/A</v>
      </c>
      <c r="GE75" s="58" t="e">
        <f ca="1">AVERAGE(OFFSET($GD$3,0,0,'Données projet'!$E$17+1,1))-AVERAGE(OFFSET($H$3,0,0,'Données projet'!$E$17+1,1))</f>
        <v>#N/A</v>
      </c>
      <c r="GF75" s="58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67.163459735002306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8" t="e">
        <f t="shared" si="83"/>
        <v>#N/A</v>
      </c>
      <c r="GZ75" s="58" t="e">
        <f ca="1">AVERAGE(OFFSET($GY$3,0,0,'Données projet'!$E$18+1,1))-AVERAGE(OFFSET($H$3,0,0,'Données projet'!$E$18+1,1))</f>
        <v>#N/A</v>
      </c>
      <c r="HA75" s="58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2">
        <f>'Scénario référence'!$B$16*5+'Scénario référence'!$B$17*0+'Scénario référence'!$B$18*5</f>
        <v>2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7.333333333333333</v>
      </c>
      <c r="H76" s="66">
        <f t="shared" si="56"/>
        <v>227.33333333333334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9.733749999999997</v>
      </c>
      <c r="N76" s="13">
        <f>IF('Données projet'!$A$36&gt;35,N75+M76-V75,IF(A76&lt;'Données projet'!$A$36,$K$205^A76,IF(A76='Données projet'!$A$36,'Données projet'!$B$36,N75+M76-V75)))</f>
        <v>301.22625000000028</v>
      </c>
      <c r="O76" s="13">
        <f>N76*VLOOKUP('Données projet'!$B$9,Paramètres!$A$1:$I$89,3,0)*VLOOKUP('Données projet'!$B$9,Paramètres!$A$1:$I$89,5,0)</f>
        <v>272.54951100000028</v>
      </c>
      <c r="P76" s="13">
        <f t="shared" si="87"/>
        <v>65.390043555628168</v>
      </c>
      <c r="Q76" s="20">
        <f t="shared" si="54"/>
        <v>588.57805751771946</v>
      </c>
      <c r="R76" s="58">
        <f t="shared" si="55"/>
        <v>871.69117119688815</v>
      </c>
      <c r="S76" s="58">
        <f ca="1">AVERAGE(OFFSET($R$3,0,0,'Données projet'!$E$9+1,1))-AVERAGE(OFFSET($H$3,0,0,'Données projet'!$E$9+1,1))</f>
        <v>654.0179680178212</v>
      </c>
      <c r="T76" s="58">
        <f t="shared" si="88"/>
        <v>289.42065570013369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7.0346534942578245</v>
      </c>
      <c r="AA76" s="21">
        <f>EXP(-LN(2)/25)*AA75+(1-EXP(-LN(2)/25))/(LN(2)/25)*Calculateur!V76*Calculateur!X76*VLOOKUP('Données projet'!$B$9,Paramètres!$A$1:$I$89,3,0)*0.475*44/12</f>
        <v>27.852092643773851</v>
      </c>
      <c r="AB76" s="21">
        <f>EXP(-LN(2)/2)*AB75+(1-EXP(-LN(2)/2))/(LN(2)/2)*V76*Y76*VLOOKUP('Données projet'!$B$9,Paramètres!$A$1:$I$89,3,0)*0.475*44/12</f>
        <v>0.45250877222617303</v>
      </c>
      <c r="AC76" s="22">
        <f t="shared" si="57"/>
        <v>35.33925491025785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12.908000000000005</v>
      </c>
      <c r="AI76" s="13">
        <f>IF('Données projet'!$A$62&gt;35,AI75+AH76-AQ75,IF(A76&lt;'Données projet'!$A$62,$AF$205^A76,IF(A76='Données projet'!$A$62,'Données projet'!$B$62,AI75+AH76-AQ75)))</f>
        <v>632.88600000000042</v>
      </c>
      <c r="AJ76" s="13">
        <f>AI76*VLOOKUP('Données projet'!$B$10,Paramètres!$A$1:$I$89,3,0)*VLOOKUP('Données projet'!$B$10,Paramètres!$A$1:$I$89,5,0)</f>
        <v>378.46582800000027</v>
      </c>
      <c r="AK76" s="13">
        <f t="shared" si="89"/>
        <v>87.396981425910752</v>
      </c>
      <c r="AL76" s="20">
        <f t="shared" si="58"/>
        <v>811.3777264167951</v>
      </c>
      <c r="AM76" s="58">
        <f t="shared" si="59"/>
        <v>1094.4908400959639</v>
      </c>
      <c r="AN76" s="58">
        <f ca="1">AVERAGE(OFFSET($AM$3,0,0,'Données projet'!$E$10+1,1))-AVERAGE(OFFSET($H$3,0,0,'Données projet'!$E$10+1,1))</f>
        <v>447.44638185108147</v>
      </c>
      <c r="AO76" s="58">
        <f t="shared" si="90"/>
        <v>384.84260115068605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51.129912207465331</v>
      </c>
      <c r="AV76" s="21">
        <f>EXP(-LN(2)/25)*AV75+(1-EXP(-LN(2)/25))/(LN(2)/25)*Calculateur!AQ76*Calculateur!AS76*VLOOKUP('Données projet'!$B$10,Paramètres!$A$1:$I$89,3,0)*0.475*44/12</f>
        <v>18.706409382348276</v>
      </c>
      <c r="AW76" s="21">
        <f>EXP(-LN(2)/2)*AW75+(1-EXP(-LN(2)/2))/(LN(2)/2)*AQ76*AT76*VLOOKUP('Données projet'!$B$10,Paramètres!$A$1:$I$89,3,0)*0.475*44/12</f>
        <v>1.081544502119379</v>
      </c>
      <c r="AX76" s="21">
        <f t="shared" si="60"/>
        <v>70.917866091932993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305.44341750000029</v>
      </c>
      <c r="BF76" s="13">
        <f t="shared" si="91"/>
        <v>72.316415847426583</v>
      </c>
      <c r="BG76" s="20">
        <f t="shared" si="61"/>
        <v>657.93170974676843</v>
      </c>
      <c r="BH76" s="58">
        <f t="shared" si="62"/>
        <v>941.04482342593712</v>
      </c>
      <c r="BI76" s="58">
        <f ca="1">AVERAGE(OFFSET($BH$3,0,0,'Données projet'!$E$11+1,1))-AVERAGE(OFFSET($H$3,0,0,'Données projet'!$E$11+1,1))</f>
        <v>724.99760740673071</v>
      </c>
      <c r="BJ76" s="58">
        <f t="shared" si="92"/>
        <v>318.24184272438208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7.883663398737216</v>
      </c>
      <c r="BQ76" s="21">
        <f>EXP(-LN(2)/25)*BQ75+(1-EXP(-LN(2)/25))/(LN(2)/25)*Calculateur!BL76*Calculateur!BN76*VLOOKUP('Données projet'!$B$11,Paramètres!$A$1:$I$89,3,0)*0.475*44/12</f>
        <v>31.213552100781044</v>
      </c>
      <c r="BR76" s="21">
        <f>EXP(-LN(2)/2)*BR75+(1-EXP(-LN(2)/2))/(LN(2)/2)*BL76*BO76*VLOOKUP('Données projet'!$B$11,Paramètres!$A$1:$I$89,3,0)*0.475*44/12</f>
        <v>0.50712189990864232</v>
      </c>
      <c r="BS76" s="22">
        <f t="shared" si="63"/>
        <v>39.604337399426896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9.733749999999997</v>
      </c>
      <c r="BY76" s="12">
        <f>IF('Données projet'!$A$114&gt;35,BY75+BX76-CG75,IF(A76&lt;'Données projet'!$A$114,$BV$205^A76,IF(A76='Données projet'!$A$114,'Données projet'!$B$114,BY75+BX76-CG75)))</f>
        <v>301.22625000000028</v>
      </c>
      <c r="BZ76" s="13">
        <f>BY76*VLOOKUP('Données projet'!$B$12,Paramètres!$A$1:$I$89,3,0)*VLOOKUP('Données projet'!$B$12,Paramètres!$A$1:$I$89,5,0)</f>
        <v>286.64689950000025</v>
      </c>
      <c r="CA76" s="13">
        <f t="shared" si="93"/>
        <v>68.369766038399021</v>
      </c>
      <c r="CB76" s="20">
        <f t="shared" si="64"/>
        <v>618.32069247937864</v>
      </c>
      <c r="CC76" s="58">
        <f t="shared" si="65"/>
        <v>901.43380615854733</v>
      </c>
      <c r="CD76" s="58">
        <f ca="1">AVERAGE(OFFSET($CC$3,0,0,'Données projet'!$E$12+1,1))-AVERAGE(OFFSET($H$3,0,0,'Données projet'!$E$12+1,1))</f>
        <v>684.45757350513315</v>
      </c>
      <c r="CE76" s="58">
        <f t="shared" si="94"/>
        <v>301.78148341369194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7.3985148818918498</v>
      </c>
      <c r="CL76" s="21">
        <f>EXP(-LN(2)/25)*CL75+(1-EXP(-LN(2)/25))/(LN(2)/25)*Calculateur!CG76*Calculateur!CI76*VLOOKUP('Données projet'!$B$12,Paramètres!$A$1:$I$89,3,0)*0.475*44/12</f>
        <v>29.292718125348355</v>
      </c>
      <c r="CM76" s="21">
        <f>EXP(-LN(2)/2)*CM75+(1-EXP(-LN(2)/2))/(LN(2)/2)*CG76*CJ76*VLOOKUP('Données projet'!$B$12,Paramètres!$A$1:$I$89,3,0)*0.475*44/12</f>
        <v>0.47591439837580263</v>
      </c>
      <c r="CN76" s="22">
        <f t="shared" si="66"/>
        <v>37.167147405616006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8" t="e">
        <f t="shared" si="68"/>
        <v>#N/A</v>
      </c>
      <c r="CY76" s="58" t="e">
        <f ca="1">AVERAGE(OFFSET($CX$3,0,0,'Données projet'!$E$13+1,1))-AVERAGE(OFFSET($H$3,0,0,'Données projet'!$E$13+1,1))</f>
        <v>#N/A</v>
      </c>
      <c r="CZ76" s="58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8" t="e">
        <f t="shared" si="71"/>
        <v>#N/A</v>
      </c>
      <c r="DT76" s="58" t="e">
        <f ca="1">AVERAGE(OFFSET($DS$3,0,0,'Données projet'!$E$14+1,1))-AVERAGE(OFFSET($H$3,0,0,'Données projet'!$E$14+1,1))</f>
        <v>#N/A</v>
      </c>
      <c r="DU76" s="58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8" t="e">
        <f t="shared" si="74"/>
        <v>#N/A</v>
      </c>
      <c r="EO76" s="58" t="e">
        <f ca="1">AVERAGE(OFFSET($EN$3,0,0,'Données projet'!$E$15+1,1))-AVERAGE(OFFSET($H$3,0,0,'Données projet'!$E$15+1,1))</f>
        <v>#N/A</v>
      </c>
      <c r="EP76" s="58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8" t="e">
        <f t="shared" si="77"/>
        <v>#N/A</v>
      </c>
      <c r="FJ76" s="58" t="e">
        <f ca="1">AVERAGE(OFFSET($FI$3,0,0,'Données projet'!$E$16+1,1))-AVERAGE(OFFSET($H$3,0,0,'Données projet'!$E$16+1,1))</f>
        <v>#N/A</v>
      </c>
      <c r="FK76" s="58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8" t="e">
        <f t="shared" si="80"/>
        <v>#N/A</v>
      </c>
      <c r="GE76" s="58" t="e">
        <f ca="1">AVERAGE(OFFSET($GD$3,0,0,'Données projet'!$E$17+1,1))-AVERAGE(OFFSET($H$3,0,0,'Données projet'!$E$17+1,1))</f>
        <v>#N/A</v>
      </c>
      <c r="GF76" s="58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67.212667367046009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8" t="e">
        <f t="shared" si="83"/>
        <v>#N/A</v>
      </c>
      <c r="GZ76" s="58" t="e">
        <f ca="1">AVERAGE(OFFSET($GY$3,0,0,'Données projet'!$E$18+1,1))-AVERAGE(OFFSET($H$3,0,0,'Données projet'!$E$18+1,1))</f>
        <v>#N/A</v>
      </c>
      <c r="HA76" s="58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2">
        <f>'Scénario référence'!$B$16*5+'Scénario référence'!$B$17*0+'Scénario référence'!$B$18*5</f>
        <v>2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7.333333333333333</v>
      </c>
      <c r="H77" s="66">
        <f t="shared" si="56"/>
        <v>227.33333333333334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310.95999999999998</v>
      </c>
      <c r="L77" s="12">
        <f>VLOOKUP(A77,'Données projet'!$A$35:$I$55,9,0)</f>
        <v>9.733749999999997</v>
      </c>
      <c r="M77" s="12">
        <f t="array" ref="M77">INDEX(L:L,MIN(IF(ISNUMBER(L77:L273),ROW(L77:L273),"")))</f>
        <v>9.733749999999997</v>
      </c>
      <c r="N77" s="13">
        <f>IF('Données projet'!$A$36&gt;35,N76+M77-V76,IF(A77&lt;'Données projet'!$A$36,$K$205^A77,IF(A77='Données projet'!$A$36,'Données projet'!$B$36,N76+M77-V76)))</f>
        <v>310.96000000000026</v>
      </c>
      <c r="O77" s="13">
        <f>N77*VLOOKUP('Données projet'!$B$9,Paramètres!$A$1:$I$89,3,0)*VLOOKUP('Données projet'!$B$9,Paramètres!$A$1:$I$89,5,0)</f>
        <v>281.35660800000022</v>
      </c>
      <c r="P77" s="13">
        <f t="shared" si="87"/>
        <v>67.253618453644265</v>
      </c>
      <c r="Q77" s="20">
        <f t="shared" si="54"/>
        <v>607.16281107343082</v>
      </c>
      <c r="R77" s="58">
        <f t="shared" si="55"/>
        <v>890.45322271461123</v>
      </c>
      <c r="S77" s="58">
        <f ca="1">AVERAGE(OFFSET($R$3,0,0,'Données projet'!$E$9+1,1))-AVERAGE(OFFSET($H$3,0,0,'Données projet'!$E$9+1,1))</f>
        <v>654.0179680178212</v>
      </c>
      <c r="T77" s="58">
        <f t="shared" si="88"/>
        <v>289.42065570013369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51.339999999999975</v>
      </c>
      <c r="W77" s="16">
        <f>IF(ISNA(VLOOKUP(A77,'Données projet'!$A$35:$I$55,5,0)),0%,VLOOKUP(A77,'Données projet'!$A$35:$I$55,5,0)*VLOOKUP('Données projet'!$B$9,Paramètres!$A$1:$I$89,7,0))</f>
        <v>0.15049999999999999</v>
      </c>
      <c r="X77" s="16">
        <f>IF(ISNA(VLOOKUP(A77,'Données projet'!$A$35:$I$55,6,0)),0%,VLOOKUP(A77,'Données projet'!$A$35:$I$55,6,0)*VLOOKUP('Données projet'!$B$9,Paramètres!$A$1:$I$89,7,0))</f>
        <v>8.6000000000000007E-2</v>
      </c>
      <c r="Y77" s="16">
        <f>IF(ISNA(VLOOKUP(A77,'Données projet'!$A$35:$I$55,7,0)),0%,VLOOKUP(A77,'Données projet'!$A$35:$I$55,7,0))</f>
        <v>0.1</v>
      </c>
      <c r="Z77" s="21">
        <f>EXP(-LN(2)/35)*Z76+(1-EXP(-LN(2)/35))/(LN(2)/35)*V77*W77*VLOOKUP('Données projet'!$B$9,Paramètres!$A$1:$I$89,3,0)*0.475*44/12</f>
        <v>14.625152268757301</v>
      </c>
      <c r="AA77" s="21">
        <f>EXP(-LN(2)/25)*AA76+(1-EXP(-LN(2)/25))/(LN(2)/25)*Calculateur!V77*Calculateur!X77*VLOOKUP('Données projet'!$B$9,Paramètres!$A$1:$I$89,3,0)*0.475*44/12</f>
        <v>31.489340968528012</v>
      </c>
      <c r="AB77" s="21">
        <f>EXP(-LN(2)/2)*AB76+(1-EXP(-LN(2)/2))/(LN(2)/2)*V77*Y77*VLOOKUP('Données projet'!$B$9,Paramètres!$A$1:$I$89,3,0)*0.475*44/12</f>
        <v>4.7028840054751821</v>
      </c>
      <c r="AC77" s="22">
        <f t="shared" si="57"/>
        <v>50.8173772427605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12.908000000000005</v>
      </c>
      <c r="AI77" s="13">
        <f>IF('Données projet'!$A$62&gt;35,AI76+AH77-AQ76,IF(A77&lt;'Données projet'!$A$62,$AF$205^A77,IF(A77='Données projet'!$A$62,'Données projet'!$B$62,AI76+AH77-AQ76)))</f>
        <v>645.79400000000044</v>
      </c>
      <c r="AJ77" s="13">
        <f>AI77*VLOOKUP('Données projet'!$B$10,Paramètres!$A$1:$I$89,3,0)*VLOOKUP('Données projet'!$B$10,Paramètres!$A$1:$I$89,5,0)</f>
        <v>386.18481200000025</v>
      </c>
      <c r="AK77" s="13">
        <f t="shared" si="89"/>
        <v>88.970144207128087</v>
      </c>
      <c r="AL77" s="20">
        <f t="shared" si="58"/>
        <v>827.56154872741524</v>
      </c>
      <c r="AM77" s="58">
        <f t="shared" si="59"/>
        <v>1110.8519603685957</v>
      </c>
      <c r="AN77" s="58">
        <f ca="1">AVERAGE(OFFSET($AM$3,0,0,'Données projet'!$E$10+1,1))-AVERAGE(OFFSET($H$3,0,0,'Données projet'!$E$10+1,1))</f>
        <v>447.44638185108147</v>
      </c>
      <c r="AO77" s="58">
        <f t="shared" si="90"/>
        <v>384.84260115068605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50.127285815244001</v>
      </c>
      <c r="AV77" s="21">
        <f>EXP(-LN(2)/25)*AV76+(1-EXP(-LN(2)/25))/(LN(2)/25)*Calculateur!AQ77*Calculateur!AS77*VLOOKUP('Données projet'!$B$10,Paramètres!$A$1:$I$89,3,0)*0.475*44/12</f>
        <v>18.194881634060646</v>
      </c>
      <c r="AW77" s="21">
        <f>EXP(-LN(2)/2)*AW76+(1-EXP(-LN(2)/2))/(LN(2)/2)*AQ77*AT77*VLOOKUP('Données projet'!$B$10,Paramètres!$A$1:$I$89,3,0)*0.475*44/12</f>
        <v>0.76476745160364124</v>
      </c>
      <c r="AX77" s="21">
        <f t="shared" si="60"/>
        <v>69.08693490090829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315.31344000000024</v>
      </c>
      <c r="BF77" s="13">
        <f t="shared" si="91"/>
        <v>74.377387976510789</v>
      </c>
      <c r="BG77" s="20">
        <f t="shared" si="61"/>
        <v>678.71152539242337</v>
      </c>
      <c r="BH77" s="58">
        <f t="shared" si="62"/>
        <v>962.00193703360378</v>
      </c>
      <c r="BI77" s="58">
        <f ca="1">AVERAGE(OFFSET($BH$3,0,0,'Données projet'!$E$11+1,1))-AVERAGE(OFFSET($H$3,0,0,'Données projet'!$E$11+1,1))</f>
        <v>724.99760740673071</v>
      </c>
      <c r="BJ77" s="58">
        <f t="shared" si="92"/>
        <v>318.24184272438208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16.390256852917666</v>
      </c>
      <c r="BQ77" s="21">
        <f>EXP(-LN(2)/25)*BQ76+(1-EXP(-LN(2)/25))/(LN(2)/25)*Calculateur!BL77*Calculateur!BN77*VLOOKUP('Données projet'!$B$11,Paramètres!$A$1:$I$89,3,0)*0.475*44/12</f>
        <v>35.289778671626223</v>
      </c>
      <c r="BR77" s="21">
        <f>EXP(-LN(2)/2)*BR76+(1-EXP(-LN(2)/2))/(LN(2)/2)*BL77*BO77*VLOOKUP('Données projet'!$B$11,Paramètres!$A$1:$I$89,3,0)*0.475*44/12</f>
        <v>5.2704734544118432</v>
      </c>
      <c r="BS77" s="22">
        <f t="shared" si="63"/>
        <v>56.950508978955732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9.733749999999997</v>
      </c>
      <c r="BX77" s="12">
        <f t="array" ref="BX77">INDEX(BW:BW,MIN(IF(ISNUMBER(BW77:BW273),ROW(BW77:BW273),"")))</f>
        <v>9.733749999999997</v>
      </c>
      <c r="BY77" s="12">
        <f>IF('Données projet'!$A$114&gt;35,BY76+BX77-CG76,IF(A77&lt;'Données projet'!$A$114,$BV$205^A77,IF(A77='Données projet'!$A$114,'Données projet'!$B$114,BY76+BX77-CG76)))</f>
        <v>310.96000000000026</v>
      </c>
      <c r="BZ77" s="13">
        <f>BY77*VLOOKUP('Données projet'!$B$12,Paramètres!$A$1:$I$89,3,0)*VLOOKUP('Données projet'!$B$12,Paramètres!$A$1:$I$89,5,0)</f>
        <v>295.90953600000029</v>
      </c>
      <c r="CA77" s="13">
        <f t="shared" si="93"/>
        <v>70.318261143223381</v>
      </c>
      <c r="CB77" s="20">
        <f t="shared" si="64"/>
        <v>637.8467466911145</v>
      </c>
      <c r="CC77" s="58">
        <f t="shared" si="65"/>
        <v>921.1371583322948</v>
      </c>
      <c r="CD77" s="58">
        <f ca="1">AVERAGE(OFFSET($CC$3,0,0,'Données projet'!$E$12+1,1))-AVERAGE(OFFSET($H$3,0,0,'Données projet'!$E$12+1,1))</f>
        <v>684.45757350513315</v>
      </c>
      <c r="CE77" s="58">
        <f t="shared" si="94"/>
        <v>301.78148341369194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51.339999999999975</v>
      </c>
      <c r="CH77" s="16">
        <f>IF(ISNA(VLOOKUP(A77,'Données projet'!$A$113:$I$133,5,0)),0%,VLOOKUP(A77,'Données projet'!$A$113:$I$133,5,0)*VLOOKUP('Données projet'!$B$12,Paramètres!$A$1:$I$89,7,0))</f>
        <v>0.15049999999999999</v>
      </c>
      <c r="CI77" s="16">
        <f>IF(ISNA(VLOOKUP(A77,'Données projet'!$A$113:$I$133,6,0)),0%,VLOOKUP(A77,'Données projet'!$A$113:$I$133,6,0)*VLOOKUP('Données projet'!$B$12,Paramètres!$A$1:$I$89,7,0))</f>
        <v>8.6000000000000007E-2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15.381625661968885</v>
      </c>
      <c r="CL77" s="21">
        <f>EXP(-LN(2)/25)*CL76+(1-EXP(-LN(2)/25))/(LN(2)/25)*Calculateur!CG77*Calculateur!CI77*VLOOKUP('Données projet'!$B$12,Paramètres!$A$1:$I$89,3,0)*0.475*44/12</f>
        <v>33.118099984141523</v>
      </c>
      <c r="CM77" s="21">
        <f>EXP(-LN(2)/2)*CM76+(1-EXP(-LN(2)/2))/(LN(2)/2)*CG77*CJ77*VLOOKUP('Données projet'!$B$12,Paramètres!$A$1:$I$89,3,0)*0.475*44/12</f>
        <v>4.9461366264480375</v>
      </c>
      <c r="CN77" s="22">
        <f t="shared" si="66"/>
        <v>53.445862272558443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8" t="e">
        <f t="shared" si="68"/>
        <v>#N/A</v>
      </c>
      <c r="CY77" s="58" t="e">
        <f ca="1">AVERAGE(OFFSET($CX$3,0,0,'Données projet'!$E$13+1,1))-AVERAGE(OFFSET($H$3,0,0,'Données projet'!$E$13+1,1))</f>
        <v>#N/A</v>
      </c>
      <c r="CZ77" s="58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8" t="e">
        <f t="shared" si="71"/>
        <v>#N/A</v>
      </c>
      <c r="DT77" s="58" t="e">
        <f ca="1">AVERAGE(OFFSET($DS$3,0,0,'Données projet'!$E$14+1,1))-AVERAGE(OFFSET($H$3,0,0,'Données projet'!$E$14+1,1))</f>
        <v>#N/A</v>
      </c>
      <c r="DU77" s="58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8" t="e">
        <f t="shared" si="74"/>
        <v>#N/A</v>
      </c>
      <c r="EO77" s="58" t="e">
        <f ca="1">AVERAGE(OFFSET($EN$3,0,0,'Données projet'!$E$15+1,1))-AVERAGE(OFFSET($H$3,0,0,'Données projet'!$E$15+1,1))</f>
        <v>#N/A</v>
      </c>
      <c r="EP77" s="58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8" t="e">
        <f t="shared" si="77"/>
        <v>#N/A</v>
      </c>
      <c r="FJ77" s="58" t="e">
        <f ca="1">AVERAGE(OFFSET($FI$3,0,0,'Données projet'!$E$16+1,1))-AVERAGE(OFFSET($H$3,0,0,'Données projet'!$E$16+1,1))</f>
        <v>#N/A</v>
      </c>
      <c r="FK77" s="58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8" t="e">
        <f t="shared" si="80"/>
        <v>#N/A</v>
      </c>
      <c r="GE77" s="58" t="e">
        <f ca="1">AVERAGE(OFFSET($GD$3,0,0,'Données projet'!$E$17+1,1))-AVERAGE(OFFSET($H$3,0,0,'Données projet'!$E$17+1,1))</f>
        <v>#N/A</v>
      </c>
      <c r="GF77" s="58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67.261021356685546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8" t="e">
        <f t="shared" si="83"/>
        <v>#N/A</v>
      </c>
      <c r="GZ77" s="58" t="e">
        <f ca="1">AVERAGE(OFFSET($GY$3,0,0,'Données projet'!$E$18+1,1))-AVERAGE(OFFSET($H$3,0,0,'Données projet'!$E$18+1,1))</f>
        <v>#N/A</v>
      </c>
      <c r="HA77" s="58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2">
        <f>'Scénario référence'!$B$16*5+'Scénario référence'!$B$17*0+'Scénario référence'!$B$18*5</f>
        <v>2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7.333333333333333</v>
      </c>
      <c r="H78" s="66">
        <f t="shared" si="56"/>
        <v>227.33333333333334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9.546999999999997</v>
      </c>
      <c r="N78" s="13">
        <f>IF('Données projet'!$A$36&gt;35,N77+M78-V77,IF(A78&lt;'Données projet'!$A$36,$K$205^A78,IF(A78='Données projet'!$A$36,'Données projet'!$B$36,N77+M78-V77)))</f>
        <v>269.16700000000031</v>
      </c>
      <c r="O78" s="13">
        <f>N78*VLOOKUP('Données projet'!$B$9,Paramètres!$A$1:$I$89,3,0)*VLOOKUP('Données projet'!$B$9,Paramètres!$A$1:$I$89,5,0)</f>
        <v>243.54230160000029</v>
      </c>
      <c r="P78" s="13">
        <f t="shared" si="87"/>
        <v>59.201022808040776</v>
      </c>
      <c r="Q78" s="20">
        <f t="shared" si="54"/>
        <v>527.27795667733812</v>
      </c>
      <c r="R78" s="58">
        <f t="shared" si="55"/>
        <v>810.74259055726804</v>
      </c>
      <c r="S78" s="58">
        <f ca="1">AVERAGE(OFFSET($R$3,0,0,'Données projet'!$E$9+1,1))-AVERAGE(OFFSET($H$3,0,0,'Données projet'!$E$9+1,1))</f>
        <v>654.0179680178212</v>
      </c>
      <c r="T78" s="58">
        <f t="shared" si="88"/>
        <v>289.42065570013369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14.338361953229031</v>
      </c>
      <c r="AA78" s="21">
        <f>EXP(-LN(2)/25)*AA77+(1-EXP(-LN(2)/25))/(LN(2)/25)*Calculateur!V78*Calculateur!X78*VLOOKUP('Données projet'!$B$9,Paramètres!$A$1:$I$89,3,0)*0.475*44/12</f>
        <v>30.628263283791142</v>
      </c>
      <c r="AB78" s="21">
        <f>EXP(-LN(2)/2)*AB77+(1-EXP(-LN(2)/2))/(LN(2)/2)*V78*Y78*VLOOKUP('Données projet'!$B$9,Paramètres!$A$1:$I$89,3,0)*0.475*44/12</f>
        <v>3.3254411714052541</v>
      </c>
      <c r="AC78" s="22">
        <f t="shared" si="57"/>
        <v>48.292066408425427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12.908000000000005</v>
      </c>
      <c r="AI78" s="13">
        <f>IF('Données projet'!$A$62&gt;35,AI77+AH78-AQ77,IF(A78&lt;'Données projet'!$A$62,$AF$205^A78,IF(A78='Données projet'!$A$62,'Données projet'!$B$62,AI77+AH78-AQ77)))</f>
        <v>658.70200000000045</v>
      </c>
      <c r="AJ78" s="13">
        <f>AI78*VLOOKUP('Données projet'!$B$10,Paramètres!$A$1:$I$89,3,0)*VLOOKUP('Données projet'!$B$10,Paramètres!$A$1:$I$89,5,0)</f>
        <v>393.90379600000034</v>
      </c>
      <c r="AK78" s="13">
        <f t="shared" si="89"/>
        <v>90.539650896888205</v>
      </c>
      <c r="AL78" s="20">
        <f t="shared" si="58"/>
        <v>843.73900334541406</v>
      </c>
      <c r="AM78" s="58">
        <f t="shared" si="59"/>
        <v>1127.203637225344</v>
      </c>
      <c r="AN78" s="58">
        <f ca="1">AVERAGE(OFFSET($AM$3,0,0,'Données projet'!$E$10+1,1))-AVERAGE(OFFSET($H$3,0,0,'Données projet'!$E$10+1,1))</f>
        <v>447.44638185108147</v>
      </c>
      <c r="AO78" s="58">
        <f t="shared" si="90"/>
        <v>384.84260115068605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49.144320315032417</v>
      </c>
      <c r="AV78" s="21">
        <f>EXP(-LN(2)/25)*AV77+(1-EXP(-LN(2)/25))/(LN(2)/25)*Calculateur!AQ78*Calculateur!AS78*VLOOKUP('Données projet'!$B$10,Paramètres!$A$1:$I$89,3,0)*0.475*44/12</f>
        <v>17.697341638950018</v>
      </c>
      <c r="AW78" s="21">
        <f>EXP(-LN(2)/2)*AW77+(1-EXP(-LN(2)/2))/(LN(2)/2)*AQ78*AT78*VLOOKUP('Données projet'!$B$10,Paramètres!$A$1:$I$89,3,0)*0.475*44/12</f>
        <v>0.54077225105968951</v>
      </c>
      <c r="AX78" s="21">
        <f t="shared" si="60"/>
        <v>67.382434205042131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272.93533800000034</v>
      </c>
      <c r="BF78" s="13">
        <f t="shared" si="91"/>
        <v>65.471829519996945</v>
      </c>
      <c r="BG78" s="20">
        <f t="shared" si="61"/>
        <v>589.39248343066197</v>
      </c>
      <c r="BH78" s="58">
        <f t="shared" si="62"/>
        <v>872.85711731059189</v>
      </c>
      <c r="BI78" s="58">
        <f ca="1">AVERAGE(OFFSET($BH$3,0,0,'Données projet'!$E$11+1,1))-AVERAGE(OFFSET($H$3,0,0,'Données projet'!$E$11+1,1))</f>
        <v>724.99760740673071</v>
      </c>
      <c r="BJ78" s="58">
        <f t="shared" si="92"/>
        <v>318.24184272438208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16.068853913101503</v>
      </c>
      <c r="BQ78" s="21">
        <f>EXP(-LN(2)/25)*BQ77+(1-EXP(-LN(2)/25))/(LN(2)/25)*Calculateur!BL78*Calculateur!BN78*VLOOKUP('Données projet'!$B$11,Paramètres!$A$1:$I$89,3,0)*0.475*44/12</f>
        <v>34.324777818041802</v>
      </c>
      <c r="BR78" s="21">
        <f>EXP(-LN(2)/2)*BR77+(1-EXP(-LN(2)/2))/(LN(2)/2)*BL78*BO78*VLOOKUP('Données projet'!$B$11,Paramètres!$A$1:$I$89,3,0)*0.475*44/12</f>
        <v>3.7267875196783029</v>
      </c>
      <c r="BS78" s="22">
        <f t="shared" si="63"/>
        <v>54.120419250821605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9.546999999999997</v>
      </c>
      <c r="BY78" s="12">
        <f>IF('Données projet'!$A$114&gt;35,BY77+BX78-CG77,IF(A78&lt;'Données projet'!$A$114,$BV$205^A78,IF(A78='Données projet'!$A$114,'Données projet'!$B$114,BY77+BX78-CG77)))</f>
        <v>269.16700000000031</v>
      </c>
      <c r="BZ78" s="13">
        <f>BY78*VLOOKUP('Données projet'!$B$12,Paramètres!$A$1:$I$89,3,0)*VLOOKUP('Données projet'!$B$12,Paramètres!$A$1:$I$89,5,0)</f>
        <v>256.13931720000033</v>
      </c>
      <c r="CA78" s="13">
        <f t="shared" si="93"/>
        <v>61.898721250680353</v>
      </c>
      <c r="CB78" s="20">
        <f t="shared" si="64"/>
        <v>553.91625030160219</v>
      </c>
      <c r="CC78" s="58">
        <f t="shared" si="65"/>
        <v>837.38088418153211</v>
      </c>
      <c r="CD78" s="58">
        <f ca="1">AVERAGE(OFFSET($CC$3,0,0,'Données projet'!$E$12+1,1))-AVERAGE(OFFSET($H$3,0,0,'Données projet'!$E$12+1,1))</f>
        <v>684.45757350513315</v>
      </c>
      <c r="CE78" s="58">
        <f t="shared" si="94"/>
        <v>301.78148341369194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15.080001364602946</v>
      </c>
      <c r="CL78" s="21">
        <f>EXP(-LN(2)/25)*CL77+(1-EXP(-LN(2)/25))/(LN(2)/25)*Calculateur!CG78*Calculateur!CI78*VLOOKUP('Données projet'!$B$12,Paramètres!$A$1:$I$89,3,0)*0.475*44/12</f>
        <v>32.212483798469989</v>
      </c>
      <c r="CM78" s="21">
        <f>EXP(-LN(2)/2)*CM77+(1-EXP(-LN(2)/2))/(LN(2)/2)*CG78*CJ78*VLOOKUP('Données projet'!$B$12,Paramètres!$A$1:$I$89,3,0)*0.475*44/12</f>
        <v>3.4974467492365608</v>
      </c>
      <c r="CN78" s="22">
        <f t="shared" si="66"/>
        <v>50.789931912309498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8" t="e">
        <f t="shared" si="68"/>
        <v>#N/A</v>
      </c>
      <c r="CY78" s="58" t="e">
        <f ca="1">AVERAGE(OFFSET($CX$3,0,0,'Données projet'!$E$13+1,1))-AVERAGE(OFFSET($H$3,0,0,'Données projet'!$E$13+1,1))</f>
        <v>#N/A</v>
      </c>
      <c r="CZ78" s="58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8" t="e">
        <f t="shared" si="71"/>
        <v>#N/A</v>
      </c>
      <c r="DT78" s="58" t="e">
        <f ca="1">AVERAGE(OFFSET($DS$3,0,0,'Données projet'!$E$14+1,1))-AVERAGE(OFFSET($H$3,0,0,'Données projet'!$E$14+1,1))</f>
        <v>#N/A</v>
      </c>
      <c r="DU78" s="58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8" t="e">
        <f t="shared" si="74"/>
        <v>#N/A</v>
      </c>
      <c r="EO78" s="58" t="e">
        <f ca="1">AVERAGE(OFFSET($EN$3,0,0,'Données projet'!$E$15+1,1))-AVERAGE(OFFSET($H$3,0,0,'Données projet'!$E$15+1,1))</f>
        <v>#N/A</v>
      </c>
      <c r="EP78" s="58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8" t="e">
        <f t="shared" si="77"/>
        <v>#N/A</v>
      </c>
      <c r="FJ78" s="58" t="e">
        <f ca="1">AVERAGE(OFFSET($FI$3,0,0,'Données projet'!$E$16+1,1))-AVERAGE(OFFSET($H$3,0,0,'Données projet'!$E$16+1,1))</f>
        <v>#N/A</v>
      </c>
      <c r="FK78" s="58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8" t="e">
        <f t="shared" si="80"/>
        <v>#N/A</v>
      </c>
      <c r="GE78" s="58" t="e">
        <f ca="1">AVERAGE(OFFSET($GD$3,0,0,'Données projet'!$E$17+1,1))-AVERAGE(OFFSET($H$3,0,0,'Données projet'!$E$17+1,1))</f>
        <v>#N/A</v>
      </c>
      <c r="GF78" s="58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67.308536512708159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8" t="e">
        <f t="shared" si="83"/>
        <v>#N/A</v>
      </c>
      <c r="GZ78" s="58" t="e">
        <f ca="1">AVERAGE(OFFSET($GY$3,0,0,'Données projet'!$E$18+1,1))-AVERAGE(OFFSET($H$3,0,0,'Données projet'!$E$18+1,1))</f>
        <v>#N/A</v>
      </c>
      <c r="HA78" s="58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2">
        <f>'Scénario référence'!$B$16*5+'Scénario référence'!$B$17*0+'Scénario référence'!$B$18*5</f>
        <v>2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7.333333333333333</v>
      </c>
      <c r="H79" s="66">
        <f t="shared" si="56"/>
        <v>227.33333333333334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9.546999999999997</v>
      </c>
      <c r="N79" s="13">
        <f>IF('Données projet'!$A$36&gt;35,N78+M79-V78,IF(A79&lt;'Données projet'!$A$36,$K$205^A79,IF(A79='Données projet'!$A$36,'Données projet'!$B$36,N78+M79-V78)))</f>
        <v>278.71400000000028</v>
      </c>
      <c r="O79" s="13">
        <f>N79*VLOOKUP('Données projet'!$B$9,Paramètres!$A$1:$I$89,3,0)*VLOOKUP('Données projet'!$B$9,Paramètres!$A$1:$I$89,5,0)</f>
        <v>252.18042720000025</v>
      </c>
      <c r="P79" s="13">
        <f t="shared" si="87"/>
        <v>61.052610283141384</v>
      </c>
      <c r="Q79" s="20">
        <f t="shared" si="54"/>
        <v>545.54754028313835</v>
      </c>
      <c r="R79" s="58">
        <f t="shared" si="55"/>
        <v>829.18337403547821</v>
      </c>
      <c r="S79" s="58">
        <f ca="1">AVERAGE(OFFSET($R$3,0,0,'Données projet'!$E$9+1,1))-AVERAGE(OFFSET($H$3,0,0,'Données projet'!$E$9+1,1))</f>
        <v>654.0179680178212</v>
      </c>
      <c r="T79" s="58">
        <f t="shared" si="88"/>
        <v>289.42065570013369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14.057195420863451</v>
      </c>
      <c r="AA79" s="21">
        <f>EXP(-LN(2)/25)*AA78+(1-EXP(-LN(2)/25))/(LN(2)/25)*Calculateur!V79*Calculateur!X79*VLOOKUP('Données projet'!$B$9,Paramètres!$A$1:$I$89,3,0)*0.475*44/12</f>
        <v>29.790731813625509</v>
      </c>
      <c r="AB79" s="21">
        <f>EXP(-LN(2)/2)*AB78+(1-EXP(-LN(2)/2))/(LN(2)/2)*V79*Y79*VLOOKUP('Données projet'!$B$9,Paramètres!$A$1:$I$89,3,0)*0.475*44/12</f>
        <v>2.3514420027375915</v>
      </c>
      <c r="AC79" s="22">
        <f t="shared" si="57"/>
        <v>46.199369237226556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671.61</v>
      </c>
      <c r="AG79" s="12">
        <f>VLOOKUP(A79,'Données projet'!$A$61:$I$81,9,0)</f>
        <v>12.908000000000005</v>
      </c>
      <c r="AH79" s="12">
        <f t="array" ref="AH79">INDEX(AG:AG,MIN(IF(ISNUMBER(AG79:AG275),ROW(AG79:AG275),"")))</f>
        <v>12.908000000000005</v>
      </c>
      <c r="AI79" s="13">
        <f>IF('Données projet'!$A$62&gt;35,AI78+AH79-AQ78,IF(A79&lt;'Données projet'!$A$62,$AF$205^A79,IF(A79='Données projet'!$A$62,'Données projet'!$B$62,AI78+AH79-AQ78)))</f>
        <v>671.61000000000047</v>
      </c>
      <c r="AJ79" s="13">
        <f>AI79*VLOOKUP('Données projet'!$B$10,Paramètres!$A$1:$I$89,3,0)*VLOOKUP('Données projet'!$B$10,Paramètres!$A$1:$I$89,5,0)</f>
        <v>401.62278000000032</v>
      </c>
      <c r="AK79" s="13">
        <f t="shared" si="89"/>
        <v>92.105581399045207</v>
      </c>
      <c r="AL79" s="20">
        <f t="shared" si="58"/>
        <v>859.91022943667087</v>
      </c>
      <c r="AM79" s="58">
        <f t="shared" si="59"/>
        <v>1143.5460631890107</v>
      </c>
      <c r="AN79" s="58">
        <f ca="1">AVERAGE(OFFSET($AM$3,0,0,'Données projet'!$E$10+1,1))-AVERAGE(OFFSET($H$3,0,0,'Données projet'!$E$10+1,1))</f>
        <v>447.44638185108147</v>
      </c>
      <c r="AO79" s="58">
        <f t="shared" si="90"/>
        <v>384.84260115068605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671.61</v>
      </c>
      <c r="AR79" s="16">
        <f>IF(ISNA(VLOOKUP(A79,'Données projet'!$A$61:$I$81,5,0)),0%,VLOOKUP(A79,'Données projet'!$A$61:$I$81,5,0)*VLOOKUP('Données projet'!$B$10,Paramètres!$A$1:$I$89,7,0))</f>
        <v>0.27</v>
      </c>
      <c r="AS79" s="16">
        <f>IF(ISNA(VLOOKUP(A79,'Données projet'!$A$61:$I$81,6,0)),0%,VLOOKUP(A79,'Données projet'!$A$61:$I$81,6,0)*VLOOKUP('Données projet'!$B$10,Paramètres!$A$1:$I$89,7,0))</f>
        <v>9.0000000000000011E-2</v>
      </c>
      <c r="AT79" s="16">
        <f>IF(ISNA(VLOOKUP(A79,'Données projet'!$A$61:$I$81,7,0)),0%,VLOOKUP(A79,'Données projet'!$A$61:$I$81,7,0))</f>
        <v>0.2</v>
      </c>
      <c r="AU79" s="21">
        <f>EXP(-LN(2)/35)*AU78+(1-EXP(-LN(2)/35))/(LN(2)/35)*AQ79*AR79*VLOOKUP('Données projet'!$B$10,Paramètres!$A$1:$I$89,3,0)*0.475*44/12</f>
        <v>192.03082636829009</v>
      </c>
      <c r="AV79" s="21">
        <f>EXP(-LN(2)/25)*AV78+(1-EXP(-LN(2)/25))/(LN(2)/25)*Calculateur!AQ79*Calculateur!AS79*VLOOKUP('Données projet'!$B$10,Paramètres!$A$1:$I$89,3,0)*0.475*44/12</f>
        <v>64.974674623136963</v>
      </c>
      <c r="AW79" s="21">
        <f>EXP(-LN(2)/2)*AW78+(1-EXP(-LN(2)/2))/(LN(2)/2)*AQ79*AT79*VLOOKUP('Données projet'!$B$10,Paramètres!$A$1:$I$89,3,0)*0.475*44/12</f>
        <v>91.32844031347507</v>
      </c>
      <c r="AX79" s="21">
        <f t="shared" si="60"/>
        <v>348.33394130490217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282.61599600000028</v>
      </c>
      <c r="BF79" s="13">
        <f t="shared" si="91"/>
        <v>67.519544470872418</v>
      </c>
      <c r="BG79" s="20">
        <f t="shared" si="61"/>
        <v>609.81939965343656</v>
      </c>
      <c r="BH79" s="58">
        <f t="shared" si="62"/>
        <v>893.45523340577643</v>
      </c>
      <c r="BI79" s="58">
        <f ca="1">AVERAGE(OFFSET($BH$3,0,0,'Données projet'!$E$11+1,1))-AVERAGE(OFFSET($H$3,0,0,'Données projet'!$E$11+1,1))</f>
        <v>724.99760740673071</v>
      </c>
      <c r="BJ79" s="58">
        <f t="shared" si="92"/>
        <v>318.24184272438208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15.753753488898697</v>
      </c>
      <c r="BQ79" s="21">
        <f>EXP(-LN(2)/25)*BQ78+(1-EXP(-LN(2)/25))/(LN(2)/25)*Calculateur!BL79*Calculateur!BN79*VLOOKUP('Données projet'!$B$11,Paramètres!$A$1:$I$89,3,0)*0.475*44/12</f>
        <v>33.386164963545838</v>
      </c>
      <c r="BR79" s="21">
        <f>EXP(-LN(2)/2)*BR78+(1-EXP(-LN(2)/2))/(LN(2)/2)*BL79*BO79*VLOOKUP('Données projet'!$B$11,Paramètres!$A$1:$I$89,3,0)*0.475*44/12</f>
        <v>2.6352367272059221</v>
      </c>
      <c r="BS79" s="22">
        <f t="shared" si="63"/>
        <v>51.775155179650454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9.546999999999997</v>
      </c>
      <c r="BY79" s="12">
        <f>IF('Données projet'!$A$114&gt;35,BY78+BX79-CG78,IF(A79&lt;'Données projet'!$A$114,$BV$205^A79,IF(A79='Données projet'!$A$114,'Données projet'!$B$114,BY78+BX79-CG78)))</f>
        <v>278.71400000000028</v>
      </c>
      <c r="BZ79" s="13">
        <f>BY79*VLOOKUP('Données projet'!$B$12,Paramètres!$A$1:$I$89,3,0)*VLOOKUP('Données projet'!$B$12,Paramètres!$A$1:$I$89,5,0)</f>
        <v>265.22424240000026</v>
      </c>
      <c r="CA79" s="13">
        <f t="shared" si="93"/>
        <v>63.834682684389406</v>
      </c>
      <c r="CB79" s="20">
        <f t="shared" si="64"/>
        <v>573.11096118864532</v>
      </c>
      <c r="CC79" s="58">
        <f t="shared" si="65"/>
        <v>856.74679494098518</v>
      </c>
      <c r="CD79" s="58">
        <f ca="1">AVERAGE(OFFSET($CC$3,0,0,'Données projet'!$E$12+1,1))-AVERAGE(OFFSET($H$3,0,0,'Données projet'!$E$12+1,1))</f>
        <v>684.45757350513315</v>
      </c>
      <c r="CE79" s="58">
        <f t="shared" si="94"/>
        <v>301.78148341369194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14.784291735735698</v>
      </c>
      <c r="CL79" s="21">
        <f>EXP(-LN(2)/25)*CL78+(1-EXP(-LN(2)/25))/(LN(2)/25)*Calculateur!CG79*Calculateur!CI79*VLOOKUP('Données projet'!$B$12,Paramètres!$A$1:$I$89,3,0)*0.475*44/12</f>
        <v>31.331631735019926</v>
      </c>
      <c r="CM79" s="21">
        <f>EXP(-LN(2)/2)*CM78+(1-EXP(-LN(2)/2))/(LN(2)/2)*CG79*CJ79*VLOOKUP('Données projet'!$B$12,Paramètres!$A$1:$I$89,3,0)*0.475*44/12</f>
        <v>2.4730683132240188</v>
      </c>
      <c r="CN79" s="22">
        <f t="shared" si="66"/>
        <v>48.588991783979644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8" t="e">
        <f t="shared" si="68"/>
        <v>#N/A</v>
      </c>
      <c r="CY79" s="58" t="e">
        <f ca="1">AVERAGE(OFFSET($CX$3,0,0,'Données projet'!$E$13+1,1))-AVERAGE(OFFSET($H$3,0,0,'Données projet'!$E$13+1,1))</f>
        <v>#N/A</v>
      </c>
      <c r="CZ79" s="58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8" t="e">
        <f t="shared" si="71"/>
        <v>#N/A</v>
      </c>
      <c r="DT79" s="58" t="e">
        <f ca="1">AVERAGE(OFFSET($DS$3,0,0,'Données projet'!$E$14+1,1))-AVERAGE(OFFSET($H$3,0,0,'Données projet'!$E$14+1,1))</f>
        <v>#N/A</v>
      </c>
      <c r="DU79" s="58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8" t="e">
        <f t="shared" si="74"/>
        <v>#N/A</v>
      </c>
      <c r="EO79" s="58" t="e">
        <f ca="1">AVERAGE(OFFSET($EN$3,0,0,'Données projet'!$E$15+1,1))-AVERAGE(OFFSET($H$3,0,0,'Données projet'!$E$15+1,1))</f>
        <v>#N/A</v>
      </c>
      <c r="EP79" s="58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8" t="e">
        <f t="shared" si="77"/>
        <v>#N/A</v>
      </c>
      <c r="FJ79" s="58" t="e">
        <f ca="1">AVERAGE(OFFSET($FI$3,0,0,'Données projet'!$E$16+1,1))-AVERAGE(OFFSET($H$3,0,0,'Données projet'!$E$16+1,1))</f>
        <v>#N/A</v>
      </c>
      <c r="FK79" s="58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8" t="e">
        <f t="shared" si="80"/>
        <v>#N/A</v>
      </c>
      <c r="GE79" s="58" t="e">
        <f ca="1">AVERAGE(OFFSET($GD$3,0,0,'Données projet'!$E$17+1,1))-AVERAGE(OFFSET($H$3,0,0,'Données projet'!$E$17+1,1))</f>
        <v>#N/A</v>
      </c>
      <c r="GF79" s="58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67.355227387001761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8" t="e">
        <f t="shared" si="83"/>
        <v>#N/A</v>
      </c>
      <c r="GZ79" s="58" t="e">
        <f ca="1">AVERAGE(OFFSET($GY$3,0,0,'Données projet'!$E$18+1,1))-AVERAGE(OFFSET($H$3,0,0,'Données projet'!$E$18+1,1))</f>
        <v>#N/A</v>
      </c>
      <c r="HA79" s="58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2">
        <f>'Scénario référence'!$B$16*5+'Scénario référence'!$B$17*0+'Scénario référence'!$B$18*5</f>
        <v>2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7.333333333333333</v>
      </c>
      <c r="H80" s="66">
        <f t="shared" si="56"/>
        <v>227.33333333333334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9.546999999999997</v>
      </c>
      <c r="N80" s="13">
        <f>IF('Données projet'!$A$36&gt;35,N79+M80-V79,IF(A80&lt;'Données projet'!$A$36,$K$205^A80,IF(A80='Données projet'!$A$36,'Données projet'!$B$36,N79+M80-V79)))</f>
        <v>288.26100000000031</v>
      </c>
      <c r="O80" s="13">
        <f>N80*VLOOKUP('Données projet'!$B$9,Paramètres!$A$1:$I$89,3,0)*VLOOKUP('Données projet'!$B$9,Paramètres!$A$1:$I$89,5,0)</f>
        <v>260.8185528000003</v>
      </c>
      <c r="P80" s="13">
        <f t="shared" si="87"/>
        <v>62.896828401660521</v>
      </c>
      <c r="Q80" s="20">
        <f t="shared" si="54"/>
        <v>563.80428892622592</v>
      </c>
      <c r="R80" s="58">
        <f t="shared" si="55"/>
        <v>847.60835261593479</v>
      </c>
      <c r="S80" s="58">
        <f ca="1">AVERAGE(OFFSET($R$3,0,0,'Données projet'!$E$9+1,1))-AVERAGE(OFFSET($H$3,0,0,'Données projet'!$E$9+1,1))</f>
        <v>654.0179680178212</v>
      </c>
      <c r="T80" s="58">
        <f t="shared" si="88"/>
        <v>289.42065570013369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13.781542392702908</v>
      </c>
      <c r="AA80" s="21">
        <f>EXP(-LN(2)/25)*AA79+(1-EXP(-LN(2)/25))/(LN(2)/25)*Calculateur!V80*Calculateur!X80*VLOOKUP('Données projet'!$B$9,Paramètres!$A$1:$I$89,3,0)*0.475*44/12</f>
        <v>28.976102685555421</v>
      </c>
      <c r="AB80" s="21">
        <f>EXP(-LN(2)/2)*AB79+(1-EXP(-LN(2)/2))/(LN(2)/2)*V80*Y80*VLOOKUP('Données projet'!$B$9,Paramètres!$A$1:$I$89,3,0)*0.475*44/12</f>
        <v>1.6627205857026273</v>
      </c>
      <c r="AC80" s="22">
        <f t="shared" si="57"/>
        <v>44.420365663960958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8">
        <f t="shared" si="59"/>
        <v>283.80406368971575</v>
      </c>
      <c r="AN80" s="58">
        <f ca="1">AVERAGE(OFFSET($AM$3,0,0,'Données projet'!$E$10+1,1))-AVERAGE(OFFSET($H$3,0,0,'Données projet'!$E$10+1,1))</f>
        <v>447.44638185108147</v>
      </c>
      <c r="AO80" s="58">
        <f t="shared" si="90"/>
        <v>384.84260115068605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188.26521899044664</v>
      </c>
      <c r="AV80" s="21">
        <f>EXP(-LN(2)/25)*AV79+(1-EXP(-LN(2)/25))/(LN(2)/25)*Calculateur!AQ80*Calculateur!AS80*VLOOKUP('Données projet'!$B$10,Paramètres!$A$1:$I$89,3,0)*0.475*44/12</f>
        <v>63.197938728697643</v>
      </c>
      <c r="AW80" s="21">
        <f>EXP(-LN(2)/2)*AW79+(1-EXP(-LN(2)/2))/(LN(2)/2)*AQ80*AT80*VLOOKUP('Données projet'!$B$10,Paramètres!$A$1:$I$89,3,0)*0.475*44/12</f>
        <v>64.578959460849092</v>
      </c>
      <c r="AX80" s="21">
        <f t="shared" si="60"/>
        <v>316.0421171799934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292.29665400000033</v>
      </c>
      <c r="BF80" s="13">
        <f t="shared" si="91"/>
        <v>69.559109473742168</v>
      </c>
      <c r="BG80" s="20">
        <f t="shared" si="61"/>
        <v>630.23212138343479</v>
      </c>
      <c r="BH80" s="58">
        <f t="shared" si="62"/>
        <v>914.03618507314377</v>
      </c>
      <c r="BI80" s="58">
        <f ca="1">AVERAGE(OFFSET($BH$3,0,0,'Données projet'!$E$11+1,1))-AVERAGE(OFFSET($H$3,0,0,'Données projet'!$E$11+1,1))</f>
        <v>724.99760740673071</v>
      </c>
      <c r="BJ80" s="58">
        <f t="shared" si="92"/>
        <v>318.24184272438208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15.444831991822229</v>
      </c>
      <c r="BQ80" s="21">
        <f>EXP(-LN(2)/25)*BQ79+(1-EXP(-LN(2)/25))/(LN(2)/25)*Calculateur!BL80*Calculateur!BN80*VLOOKUP('Données projet'!$B$11,Paramètres!$A$1:$I$89,3,0)*0.475*44/12</f>
        <v>32.473218526915566</v>
      </c>
      <c r="BR80" s="21">
        <f>EXP(-LN(2)/2)*BR79+(1-EXP(-LN(2)/2))/(LN(2)/2)*BL80*BO80*VLOOKUP('Données projet'!$B$11,Paramètres!$A$1:$I$89,3,0)*0.475*44/12</f>
        <v>1.8633937598391517</v>
      </c>
      <c r="BS80" s="22">
        <f t="shared" si="63"/>
        <v>49.781444278576942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9.546999999999997</v>
      </c>
      <c r="BY80" s="12">
        <f>IF('Données projet'!$A$114&gt;35,BY79+BX80-CG79,IF(A80&lt;'Données projet'!$A$114,$BV$205^A80,IF(A80='Données projet'!$A$114,'Données projet'!$B$114,BY79+BX80-CG79)))</f>
        <v>288.26100000000031</v>
      </c>
      <c r="BZ80" s="13">
        <f>BY80*VLOOKUP('Données projet'!$B$12,Paramètres!$A$1:$I$89,3,0)*VLOOKUP('Données projet'!$B$12,Paramètres!$A$1:$I$89,5,0)</f>
        <v>274.30916760000031</v>
      </c>
      <c r="CA80" s="13">
        <f t="shared" si="93"/>
        <v>65.762938951410732</v>
      </c>
      <c r="CB80" s="20">
        <f t="shared" si="64"/>
        <v>592.29225224370759</v>
      </c>
      <c r="CC80" s="58">
        <f t="shared" si="65"/>
        <v>876.09631593341646</v>
      </c>
      <c r="CD80" s="58">
        <f ca="1">AVERAGE(OFFSET($CC$3,0,0,'Données projet'!$E$12+1,1))-AVERAGE(OFFSET($H$3,0,0,'Données projet'!$E$12+1,1))</f>
        <v>684.45757350513315</v>
      </c>
      <c r="CE80" s="58">
        <f t="shared" si="94"/>
        <v>301.78148341369194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14.494380792325472</v>
      </c>
      <c r="CL80" s="21">
        <f>EXP(-LN(2)/25)*CL79+(1-EXP(-LN(2)/25))/(LN(2)/25)*Calculateur!CG80*Calculateur!CI80*VLOOKUP('Données projet'!$B$12,Paramètres!$A$1:$I$89,3,0)*0.475*44/12</f>
        <v>30.474866617566903</v>
      </c>
      <c r="CM80" s="21">
        <f>EXP(-LN(2)/2)*CM79+(1-EXP(-LN(2)/2))/(LN(2)/2)*CG80*CJ80*VLOOKUP('Données projet'!$B$12,Paramètres!$A$1:$I$89,3,0)*0.475*44/12</f>
        <v>1.7487233746182804</v>
      </c>
      <c r="CN80" s="22">
        <f t="shared" si="66"/>
        <v>46.717970784510655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8" t="e">
        <f t="shared" si="68"/>
        <v>#N/A</v>
      </c>
      <c r="CY80" s="58" t="e">
        <f ca="1">AVERAGE(OFFSET($CX$3,0,0,'Données projet'!$E$13+1,1))-AVERAGE(OFFSET($H$3,0,0,'Données projet'!$E$13+1,1))</f>
        <v>#N/A</v>
      </c>
      <c r="CZ80" s="58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8" t="e">
        <f t="shared" si="71"/>
        <v>#N/A</v>
      </c>
      <c r="DT80" s="58" t="e">
        <f ca="1">AVERAGE(OFFSET($DS$3,0,0,'Données projet'!$E$14+1,1))-AVERAGE(OFFSET($H$3,0,0,'Données projet'!$E$14+1,1))</f>
        <v>#N/A</v>
      </c>
      <c r="DU80" s="58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8" t="e">
        <f t="shared" si="74"/>
        <v>#N/A</v>
      </c>
      <c r="EO80" s="58" t="e">
        <f ca="1">AVERAGE(OFFSET($EN$3,0,0,'Données projet'!$E$15+1,1))-AVERAGE(OFFSET($H$3,0,0,'Données projet'!$E$15+1,1))</f>
        <v>#N/A</v>
      </c>
      <c r="EP80" s="58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8" t="e">
        <f t="shared" si="77"/>
        <v>#N/A</v>
      </c>
      <c r="FJ80" s="58" t="e">
        <f ca="1">AVERAGE(OFFSET($FI$3,0,0,'Données projet'!$E$16+1,1))-AVERAGE(OFFSET($H$3,0,0,'Données projet'!$E$16+1,1))</f>
        <v>#N/A</v>
      </c>
      <c r="FK80" s="58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8" t="e">
        <f t="shared" si="80"/>
        <v>#N/A</v>
      </c>
      <c r="GE80" s="58" t="e">
        <f ca="1">AVERAGE(OFFSET($GD$3,0,0,'Données projet'!$E$17+1,1))-AVERAGE(OFFSET($H$3,0,0,'Données projet'!$E$17+1,1))</f>
        <v>#N/A</v>
      </c>
      <c r="GF80" s="58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67.401108279011524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8" t="e">
        <f t="shared" si="83"/>
        <v>#N/A</v>
      </c>
      <c r="GZ80" s="58" t="e">
        <f ca="1">AVERAGE(OFFSET($GY$3,0,0,'Données projet'!$E$18+1,1))-AVERAGE(OFFSET($H$3,0,0,'Données projet'!$E$18+1,1))</f>
        <v>#N/A</v>
      </c>
      <c r="HA80" s="58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2">
        <f>'Scénario référence'!$B$16*5+'Scénario référence'!$B$17*0+'Scénario référence'!$B$18*5</f>
        <v>2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7.333333333333333</v>
      </c>
      <c r="H81" s="66">
        <f t="shared" si="56"/>
        <v>227.33333333333334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9.546999999999997</v>
      </c>
      <c r="N81" s="13">
        <f>IF('Données projet'!$A$36&gt;35,N80+M81-V80,IF(A81&lt;'Données projet'!$A$36,$K$205^A81,IF(A81='Données projet'!$A$36,'Données projet'!$B$36,N80+M81-V80)))</f>
        <v>297.80800000000033</v>
      </c>
      <c r="O81" s="13">
        <f>N81*VLOOKUP('Données projet'!$B$9,Paramètres!$A$1:$I$89,3,0)*VLOOKUP('Données projet'!$B$9,Paramètres!$A$1:$I$89,5,0)</f>
        <v>269.45667840000027</v>
      </c>
      <c r="P81" s="13">
        <f t="shared" si="87"/>
        <v>64.733949217436958</v>
      </c>
      <c r="Q81" s="20">
        <f t="shared" si="54"/>
        <v>582.04867643370324</v>
      </c>
      <c r="R81" s="58">
        <f t="shared" si="55"/>
        <v>866.01805164747373</v>
      </c>
      <c r="S81" s="58">
        <f ca="1">AVERAGE(OFFSET($R$3,0,0,'Données projet'!$E$9+1,1))-AVERAGE(OFFSET($H$3,0,0,'Données projet'!$E$9+1,1))</f>
        <v>654.0179680178212</v>
      </c>
      <c r="T81" s="58">
        <f t="shared" si="88"/>
        <v>289.42065570013369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13.51129475229285</v>
      </c>
      <c r="AA81" s="21">
        <f>EXP(-LN(2)/25)*AA80+(1-EXP(-LN(2)/25))/(LN(2)/25)*Calculateur!V81*Calculateur!X81*VLOOKUP('Données projet'!$B$9,Paramètres!$A$1:$I$89,3,0)*0.475*44/12</f>
        <v>28.183749633831894</v>
      </c>
      <c r="AB81" s="21">
        <f>EXP(-LN(2)/2)*AB80+(1-EXP(-LN(2)/2))/(LN(2)/2)*V81*Y81*VLOOKUP('Données projet'!$B$9,Paramètres!$A$1:$I$89,3,0)*0.475*44/12</f>
        <v>1.175721001368796</v>
      </c>
      <c r="AC81" s="22">
        <f t="shared" si="57"/>
        <v>42.870765387493535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8">
        <f t="shared" si="59"/>
        <v>283.96937521377731</v>
      </c>
      <c r="AN81" s="58">
        <f ca="1">AVERAGE(OFFSET($AM$3,0,0,'Données projet'!$E$10+1,1))-AVERAGE(OFFSET($H$3,0,0,'Données projet'!$E$10+1,1))</f>
        <v>447.44638185108147</v>
      </c>
      <c r="AO81" s="58">
        <f t="shared" si="90"/>
        <v>384.84260115068605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184.573452876489</v>
      </c>
      <c r="AV81" s="21">
        <f>EXP(-LN(2)/25)*AV80+(1-EXP(-LN(2)/25))/(LN(2)/25)*Calculateur!AQ81*Calculateur!AS81*VLOOKUP('Données projet'!$B$10,Paramètres!$A$1:$I$89,3,0)*0.475*44/12</f>
        <v>61.469787770726249</v>
      </c>
      <c r="AW81" s="21">
        <f>EXP(-LN(2)/2)*AW80+(1-EXP(-LN(2)/2))/(LN(2)/2)*AQ81*AT81*VLOOKUP('Données projet'!$B$10,Paramètres!$A$1:$I$89,3,0)*0.475*44/12</f>
        <v>45.664220156737542</v>
      </c>
      <c r="AX81" s="21">
        <f t="shared" si="60"/>
        <v>291.70746080395281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301.97731200000038</v>
      </c>
      <c r="BF81" s="13">
        <f t="shared" si="91"/>
        <v>71.590825399464663</v>
      </c>
      <c r="BG81" s="20">
        <f t="shared" si="61"/>
        <v>650.63117263740162</v>
      </c>
      <c r="BH81" s="58">
        <f t="shared" si="62"/>
        <v>934.60054785117211</v>
      </c>
      <c r="BI81" s="58">
        <f ca="1">AVERAGE(OFFSET($BH$3,0,0,'Données projet'!$E$11+1,1))-AVERAGE(OFFSET($H$3,0,0,'Données projet'!$E$11+1,1))</f>
        <v>724.99760740673071</v>
      </c>
      <c r="BJ81" s="58">
        <f t="shared" si="92"/>
        <v>318.24184272438208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15.14196825687992</v>
      </c>
      <c r="BQ81" s="21">
        <f>EXP(-LN(2)/25)*BQ80+(1-EXP(-LN(2)/25))/(LN(2)/25)*Calculateur!BL81*Calculateur!BN81*VLOOKUP('Données projet'!$B$11,Paramètres!$A$1:$I$89,3,0)*0.475*44/12</f>
        <v>31.585236658604718</v>
      </c>
      <c r="BR81" s="21">
        <f>EXP(-LN(2)/2)*BR80+(1-EXP(-LN(2)/2))/(LN(2)/2)*BL81*BO81*VLOOKUP('Données projet'!$B$11,Paramètres!$A$1:$I$89,3,0)*0.475*44/12</f>
        <v>1.3176183636029613</v>
      </c>
      <c r="BS81" s="22">
        <f t="shared" si="63"/>
        <v>48.044823279087595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9.546999999999997</v>
      </c>
      <c r="BY81" s="12">
        <f>IF('Données projet'!$A$114&gt;35,BY80+BX81-CG80,IF(A81&lt;'Données projet'!$A$114,$BV$205^A81,IF(A81='Données projet'!$A$114,'Données projet'!$B$114,BY80+BX81-CG80)))</f>
        <v>297.80800000000033</v>
      </c>
      <c r="BZ81" s="13">
        <f>BY81*VLOOKUP('Données projet'!$B$12,Paramètres!$A$1:$I$89,3,0)*VLOOKUP('Données projet'!$B$12,Paramètres!$A$1:$I$89,5,0)</f>
        <v>283.39409280000029</v>
      </c>
      <c r="CA81" s="13">
        <f t="shared" si="93"/>
        <v>67.683774502652653</v>
      </c>
      <c r="CB81" s="20">
        <f t="shared" si="64"/>
        <v>611.46061888545398</v>
      </c>
      <c r="CC81" s="58">
        <f t="shared" si="65"/>
        <v>895.42999409922447</v>
      </c>
      <c r="CD81" s="58">
        <f ca="1">AVERAGE(OFFSET($CC$3,0,0,'Données projet'!$E$12+1,1))-AVERAGE(OFFSET($H$3,0,0,'Données projet'!$E$12+1,1))</f>
        <v>684.45757350513315</v>
      </c>
      <c r="CE81" s="58">
        <f t="shared" si="94"/>
        <v>301.78148341369194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14.210154825687306</v>
      </c>
      <c r="CL81" s="21">
        <f>EXP(-LN(2)/25)*CL80+(1-EXP(-LN(2)/25))/(LN(2)/25)*Calculateur!CG81*Calculateur!CI81*VLOOKUP('Données projet'!$B$12,Paramètres!$A$1:$I$89,3,0)*0.475*44/12</f>
        <v>29.641529787305952</v>
      </c>
      <c r="CM81" s="21">
        <f>EXP(-LN(2)/2)*CM80+(1-EXP(-LN(2)/2))/(LN(2)/2)*CG81*CJ81*VLOOKUP('Données projet'!$B$12,Paramètres!$A$1:$I$89,3,0)*0.475*44/12</f>
        <v>1.2365341566120094</v>
      </c>
      <c r="CN81" s="22">
        <f t="shared" si="66"/>
        <v>45.08821876960527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8" t="e">
        <f t="shared" si="68"/>
        <v>#N/A</v>
      </c>
      <c r="CY81" s="58" t="e">
        <f ca="1">AVERAGE(OFFSET($CX$3,0,0,'Données projet'!$E$13+1,1))-AVERAGE(OFFSET($H$3,0,0,'Données projet'!$E$13+1,1))</f>
        <v>#N/A</v>
      </c>
      <c r="CZ81" s="58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8" t="e">
        <f t="shared" si="71"/>
        <v>#N/A</v>
      </c>
      <c r="DT81" s="58" t="e">
        <f ca="1">AVERAGE(OFFSET($DS$3,0,0,'Données projet'!$E$14+1,1))-AVERAGE(OFFSET($H$3,0,0,'Données projet'!$E$14+1,1))</f>
        <v>#N/A</v>
      </c>
      <c r="DU81" s="58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8" t="e">
        <f t="shared" si="74"/>
        <v>#N/A</v>
      </c>
      <c r="EO81" s="58" t="e">
        <f ca="1">AVERAGE(OFFSET($EN$3,0,0,'Données projet'!$E$15+1,1))-AVERAGE(OFFSET($H$3,0,0,'Données projet'!$E$15+1,1))</f>
        <v>#N/A</v>
      </c>
      <c r="EP81" s="58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8" t="e">
        <f t="shared" si="77"/>
        <v>#N/A</v>
      </c>
      <c r="FJ81" s="58" t="e">
        <f ca="1">AVERAGE(OFFSET($FI$3,0,0,'Données projet'!$E$16+1,1))-AVERAGE(OFFSET($H$3,0,0,'Données projet'!$E$16+1,1))</f>
        <v>#N/A</v>
      </c>
      <c r="FK81" s="58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8" t="e">
        <f t="shared" si="80"/>
        <v>#N/A</v>
      </c>
      <c r="GE81" s="58" t="e">
        <f ca="1">AVERAGE(OFFSET($GD$3,0,0,'Données projet'!$E$17+1,1))-AVERAGE(OFFSET($H$3,0,0,'Données projet'!$E$17+1,1))</f>
        <v>#N/A</v>
      </c>
      <c r="GF81" s="58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67.446193240119229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8" t="e">
        <f t="shared" si="83"/>
        <v>#N/A</v>
      </c>
      <c r="GZ81" s="58" t="e">
        <f ca="1">AVERAGE(OFFSET($GY$3,0,0,'Données projet'!$E$18+1,1))-AVERAGE(OFFSET($H$3,0,0,'Données projet'!$E$18+1,1))</f>
        <v>#N/A</v>
      </c>
      <c r="HA81" s="58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2">
        <f>'Scénario référence'!$B$16*5+'Scénario référence'!$B$17*0+'Scénario référence'!$B$18*5</f>
        <v>2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7.333333333333333</v>
      </c>
      <c r="H82" s="66">
        <f t="shared" si="56"/>
        <v>227.33333333333334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9.546999999999997</v>
      </c>
      <c r="N82" s="13">
        <f>IF('Données projet'!$A$36&gt;35,N81+M82-V81,IF(A82&lt;'Données projet'!$A$36,$K$205^A82,IF(A82='Données projet'!$A$36,'Données projet'!$B$36,N81+M82-V81)))</f>
        <v>307.35500000000036</v>
      </c>
      <c r="O82" s="13">
        <f>N82*VLOOKUP('Données projet'!$B$9,Paramètres!$A$1:$I$89,3,0)*VLOOKUP('Données projet'!$B$9,Paramètres!$A$1:$I$89,5,0)</f>
        <v>278.09480400000029</v>
      </c>
      <c r="P82" s="13">
        <f t="shared" si="87"/>
        <v>66.564226351179173</v>
      </c>
      <c r="Q82" s="20">
        <f t="shared" si="54"/>
        <v>600.28114452830425</v>
      </c>
      <c r="R82" s="58">
        <f t="shared" si="55"/>
        <v>884.41296348077503</v>
      </c>
      <c r="S82" s="58">
        <f ca="1">AVERAGE(OFFSET($R$3,0,0,'Données projet'!$E$9+1,1))-AVERAGE(OFFSET($H$3,0,0,'Données projet'!$E$9+1,1))</f>
        <v>654.0179680178212</v>
      </c>
      <c r="T82" s="58">
        <f t="shared" si="88"/>
        <v>289.42065570013369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13.246346503276447</v>
      </c>
      <c r="AA82" s="21">
        <f>EXP(-LN(2)/25)*AA81+(1-EXP(-LN(2)/25))/(LN(2)/25)*Calculateur!V82*Calculateur!X82*VLOOKUP('Données projet'!$B$9,Paramètres!$A$1:$I$89,3,0)*0.475*44/12</f>
        <v>27.413063517975782</v>
      </c>
      <c r="AB82" s="21">
        <f>EXP(-LN(2)/2)*AB81+(1-EXP(-LN(2)/2))/(LN(2)/2)*V82*Y82*VLOOKUP('Données projet'!$B$9,Paramètres!$A$1:$I$89,3,0)*0.475*44/12</f>
        <v>0.83136029285131385</v>
      </c>
      <c r="AC82" s="22">
        <f t="shared" si="57"/>
        <v>41.490770314103543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8">
        <f t="shared" si="59"/>
        <v>284.1318189524776</v>
      </c>
      <c r="AN82" s="58">
        <f ca="1">AVERAGE(OFFSET($AM$3,0,0,'Données projet'!$E$10+1,1))-AVERAGE(OFFSET($H$3,0,0,'Données projet'!$E$10+1,1))</f>
        <v>447.44638185108147</v>
      </c>
      <c r="AO82" s="58">
        <f t="shared" si="90"/>
        <v>384.84260115068605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180.95408004427108</v>
      </c>
      <c r="AV82" s="21">
        <f>EXP(-LN(2)/25)*AV81+(1-EXP(-LN(2)/25))/(LN(2)/25)*Calculateur!AQ82*Calculateur!AS82*VLOOKUP('Données projet'!$B$10,Paramètres!$A$1:$I$89,3,0)*0.475*44/12</f>
        <v>59.788893191580094</v>
      </c>
      <c r="AW82" s="21">
        <f>EXP(-LN(2)/2)*AW81+(1-EXP(-LN(2)/2))/(LN(2)/2)*AQ82*AT82*VLOOKUP('Données projet'!$B$10,Paramètres!$A$1:$I$89,3,0)*0.475*44/12</f>
        <v>32.289479730424546</v>
      </c>
      <c r="AX82" s="21">
        <f t="shared" si="60"/>
        <v>273.03245296627574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311.65797000000038</v>
      </c>
      <c r="BF82" s="13">
        <f t="shared" si="91"/>
        <v>73.614972733257659</v>
      </c>
      <c r="BG82" s="20">
        <f t="shared" si="61"/>
        <v>671.0170419270911</v>
      </c>
      <c r="BH82" s="58">
        <f t="shared" si="62"/>
        <v>955.14886087956188</v>
      </c>
      <c r="BI82" s="58">
        <f ca="1">AVERAGE(OFFSET($BH$3,0,0,'Données projet'!$E$11+1,1))-AVERAGE(OFFSET($H$3,0,0,'Données projet'!$E$11+1,1))</f>
        <v>724.99760740673071</v>
      </c>
      <c r="BJ82" s="58">
        <f t="shared" si="92"/>
        <v>318.24184272438208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14.845043495051193</v>
      </c>
      <c r="BQ82" s="21">
        <f>EXP(-LN(2)/25)*BQ81+(1-EXP(-LN(2)/25))/(LN(2)/25)*Calculateur!BL82*Calculateur!BN82*VLOOKUP('Données projet'!$B$11,Paramètres!$A$1:$I$89,3,0)*0.475*44/12</f>
        <v>30.721536701179765</v>
      </c>
      <c r="BR82" s="21">
        <f>EXP(-LN(2)/2)*BR81+(1-EXP(-LN(2)/2))/(LN(2)/2)*BL82*BO82*VLOOKUP('Données projet'!$B$11,Paramètres!$A$1:$I$89,3,0)*0.475*44/12</f>
        <v>0.93169687991957595</v>
      </c>
      <c r="BS82" s="22">
        <f t="shared" si="63"/>
        <v>46.498277076150536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9.546999999999997</v>
      </c>
      <c r="BY82" s="12">
        <f>IF('Données projet'!$A$114&gt;35,BY81+BX82-CG81,IF(A82&lt;'Données projet'!$A$114,$BV$205^A82,IF(A82='Données projet'!$A$114,'Données projet'!$B$114,BY81+BX82-CG81)))</f>
        <v>307.35500000000036</v>
      </c>
      <c r="BZ82" s="13">
        <f>BY82*VLOOKUP('Données projet'!$B$12,Paramètres!$A$1:$I$89,3,0)*VLOOKUP('Données projet'!$B$12,Paramètres!$A$1:$I$89,5,0)</f>
        <v>292.47901800000034</v>
      </c>
      <c r="CA82" s="13">
        <f t="shared" si="93"/>
        <v>69.597454515924511</v>
      </c>
      <c r="CB82" s="20">
        <f t="shared" si="64"/>
        <v>630.61652296523562</v>
      </c>
      <c r="CC82" s="58">
        <f t="shared" si="65"/>
        <v>914.7483419177064</v>
      </c>
      <c r="CD82" s="58">
        <f ca="1">AVERAGE(OFFSET($CC$3,0,0,'Données projet'!$E$12+1,1))-AVERAGE(OFFSET($H$3,0,0,'Données projet'!$E$12+1,1))</f>
        <v>684.45757350513315</v>
      </c>
      <c r="CE82" s="58">
        <f t="shared" si="94"/>
        <v>301.78148341369194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13.931502356894192</v>
      </c>
      <c r="CL82" s="21">
        <f>EXP(-LN(2)/25)*CL81+(1-EXP(-LN(2)/25))/(LN(2)/25)*Calculateur!CG82*Calculateur!CI82*VLOOKUP('Données projet'!$B$12,Paramètres!$A$1:$I$89,3,0)*0.475*44/12</f>
        <v>28.830980596491766</v>
      </c>
      <c r="CM82" s="21">
        <f>EXP(-LN(2)/2)*CM81+(1-EXP(-LN(2)/2))/(LN(2)/2)*CG82*CJ82*VLOOKUP('Données projet'!$B$12,Paramètres!$A$1:$I$89,3,0)*0.475*44/12</f>
        <v>0.87436168730914021</v>
      </c>
      <c r="CN82" s="22">
        <f t="shared" si="66"/>
        <v>43.636844640695095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8" t="e">
        <f t="shared" si="68"/>
        <v>#N/A</v>
      </c>
      <c r="CY82" s="58" t="e">
        <f ca="1">AVERAGE(OFFSET($CX$3,0,0,'Données projet'!$E$13+1,1))-AVERAGE(OFFSET($H$3,0,0,'Données projet'!$E$13+1,1))</f>
        <v>#N/A</v>
      </c>
      <c r="CZ82" s="58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8" t="e">
        <f t="shared" si="71"/>
        <v>#N/A</v>
      </c>
      <c r="DT82" s="58" t="e">
        <f ca="1">AVERAGE(OFFSET($DS$3,0,0,'Données projet'!$E$14+1,1))-AVERAGE(OFFSET($H$3,0,0,'Données projet'!$E$14+1,1))</f>
        <v>#N/A</v>
      </c>
      <c r="DU82" s="58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8" t="e">
        <f t="shared" si="74"/>
        <v>#N/A</v>
      </c>
      <c r="EO82" s="58" t="e">
        <f ca="1">AVERAGE(OFFSET($EN$3,0,0,'Données projet'!$E$15+1,1))-AVERAGE(OFFSET($H$3,0,0,'Données projet'!$E$15+1,1))</f>
        <v>#N/A</v>
      </c>
      <c r="EP82" s="58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8" t="e">
        <f t="shared" si="77"/>
        <v>#N/A</v>
      </c>
      <c r="FJ82" s="58" t="e">
        <f ca="1">AVERAGE(OFFSET($FI$3,0,0,'Données projet'!$E$16+1,1))-AVERAGE(OFFSET($H$3,0,0,'Données projet'!$E$16+1,1))</f>
        <v>#N/A</v>
      </c>
      <c r="FK82" s="58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8" t="e">
        <f t="shared" si="80"/>
        <v>#N/A</v>
      </c>
      <c r="GE82" s="58" t="e">
        <f ca="1">AVERAGE(OFFSET($GD$3,0,0,'Données projet'!$E$17+1,1))-AVERAGE(OFFSET($H$3,0,0,'Données projet'!$E$17+1,1))</f>
        <v>#N/A</v>
      </c>
      <c r="GF82" s="58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67.490496077946574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8" t="e">
        <f t="shared" si="83"/>
        <v>#N/A</v>
      </c>
      <c r="GZ82" s="58" t="e">
        <f ca="1">AVERAGE(OFFSET($GY$3,0,0,'Données projet'!$E$18+1,1))-AVERAGE(OFFSET($H$3,0,0,'Données projet'!$E$18+1,1))</f>
        <v>#N/A</v>
      </c>
      <c r="HA82" s="58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2">
        <f>'Scénario référence'!$B$16*5+'Scénario référence'!$B$17*0+'Scénario référence'!$B$18*5</f>
        <v>2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7.333333333333333</v>
      </c>
      <c r="H83" s="66">
        <f t="shared" si="56"/>
        <v>227.33333333333334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9.546999999999997</v>
      </c>
      <c r="N83" s="13">
        <f>IF('Données projet'!$A$36&gt;35,N82+M83-V82,IF(A83&lt;'Données projet'!$A$36,$K$205^A83,IF(A83='Données projet'!$A$36,'Données projet'!$B$36,N82+M83-V82)))</f>
        <v>316.90200000000038</v>
      </c>
      <c r="O83" s="13">
        <f>N83*VLOOKUP('Données projet'!$B$9,Paramètres!$A$1:$I$89,3,0)*VLOOKUP('Données projet'!$B$9,Paramètres!$A$1:$I$89,5,0)</f>
        <v>286.73292960000038</v>
      </c>
      <c r="P83" s="13">
        <f t="shared" si="87"/>
        <v>68.387896772756079</v>
      </c>
      <c r="Q83" s="20">
        <f t="shared" si="54"/>
        <v>618.50210593255088</v>
      </c>
      <c r="R83" s="58">
        <f t="shared" si="55"/>
        <v>902.79355058802525</v>
      </c>
      <c r="S83" s="58">
        <f ca="1">AVERAGE(OFFSET($R$3,0,0,'Données projet'!$E$9+1,1))-AVERAGE(OFFSET($H$3,0,0,'Données projet'!$E$9+1,1))</f>
        <v>654.0179680178212</v>
      </c>
      <c r="T83" s="58">
        <f t="shared" si="88"/>
        <v>289.42065570013369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12.986593727820781</v>
      </c>
      <c r="AA83" s="21">
        <f>EXP(-LN(2)/25)*AA82+(1-EXP(-LN(2)/25))/(LN(2)/25)*Calculateur!V83*Calculateur!X83*VLOOKUP('Données projet'!$B$9,Paramètres!$A$1:$I$89,3,0)*0.475*44/12</f>
        <v>26.663451854486379</v>
      </c>
      <c r="AB83" s="21">
        <f>EXP(-LN(2)/2)*AB82+(1-EXP(-LN(2)/2))/(LN(2)/2)*V83*Y83*VLOOKUP('Données projet'!$B$9,Paramètres!$A$1:$I$89,3,0)*0.475*44/12</f>
        <v>0.5878605006843981</v>
      </c>
      <c r="AC83" s="22">
        <f t="shared" si="57"/>
        <v>40.237906082991557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8">
        <f t="shared" si="59"/>
        <v>284.29144465548126</v>
      </c>
      <c r="AN83" s="58">
        <f ca="1">AVERAGE(OFFSET($AM$3,0,0,'Données projet'!$E$10+1,1))-AVERAGE(OFFSET($H$3,0,0,'Données projet'!$E$10+1,1))</f>
        <v>447.44638185108147</v>
      </c>
      <c r="AO83" s="58">
        <f t="shared" si="90"/>
        <v>384.84260115068605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177.40568090569352</v>
      </c>
      <c r="AV83" s="21">
        <f>EXP(-LN(2)/25)*AV82+(1-EXP(-LN(2)/25))/(LN(2)/25)*Calculateur!AQ83*Calculateur!AS83*VLOOKUP('Données projet'!$B$10,Paramètres!$A$1:$I$89,3,0)*0.475*44/12</f>
        <v>58.153962763095095</v>
      </c>
      <c r="AW83" s="21">
        <f>EXP(-LN(2)/2)*AW82+(1-EXP(-LN(2)/2))/(LN(2)/2)*AQ83*AT83*VLOOKUP('Données projet'!$B$10,Paramètres!$A$1:$I$89,3,0)*0.475*44/12</f>
        <v>22.832110078368771</v>
      </c>
      <c r="AX83" s="21">
        <f t="shared" si="60"/>
        <v>258.3917537471574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321.33862800000043</v>
      </c>
      <c r="BF83" s="13">
        <f t="shared" si="91"/>
        <v>75.631813545776993</v>
      </c>
      <c r="BG83" s="20">
        <f t="shared" si="61"/>
        <v>691.39018569222901</v>
      </c>
      <c r="BH83" s="58">
        <f t="shared" si="62"/>
        <v>975.6816303477035</v>
      </c>
      <c r="BI83" s="58">
        <f ca="1">AVERAGE(OFFSET($BH$3,0,0,'Données projet'!$E$11+1,1))-AVERAGE(OFFSET($H$3,0,0,'Données projet'!$E$11+1,1))</f>
        <v>724.99760740673071</v>
      </c>
      <c r="BJ83" s="58">
        <f t="shared" si="92"/>
        <v>318.24184272438208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14.553941246695706</v>
      </c>
      <c r="BQ83" s="21">
        <f>EXP(-LN(2)/25)*BQ82+(1-EXP(-LN(2)/25))/(LN(2)/25)*Calculateur!BL83*Calculateur!BN83*VLOOKUP('Données projet'!$B$11,Paramètres!$A$1:$I$89,3,0)*0.475*44/12</f>
        <v>29.881454664510606</v>
      </c>
      <c r="BR83" s="21">
        <f>EXP(-LN(2)/2)*BR82+(1-EXP(-LN(2)/2))/(LN(2)/2)*BL83*BO83*VLOOKUP('Données projet'!$B$11,Paramètres!$A$1:$I$89,3,0)*0.475*44/12</f>
        <v>0.65880918180148063</v>
      </c>
      <c r="BS83" s="22">
        <f t="shared" si="63"/>
        <v>45.094205093007794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9.546999999999997</v>
      </c>
      <c r="BY83" s="12">
        <f>IF('Données projet'!$A$114&gt;35,BY82+BX83-CG82,IF(A83&lt;'Données projet'!$A$114,$BV$205^A83,IF(A83='Données projet'!$A$114,'Données projet'!$B$114,BY82+BX83-CG82)))</f>
        <v>316.90200000000038</v>
      </c>
      <c r="BZ83" s="13">
        <f>BY83*VLOOKUP('Données projet'!$B$12,Paramètres!$A$1:$I$89,3,0)*VLOOKUP('Données projet'!$B$12,Paramètres!$A$1:$I$89,5,0)</f>
        <v>301.56394320000038</v>
      </c>
      <c r="CA83" s="13">
        <f t="shared" si="93"/>
        <v>71.504226759443313</v>
      </c>
      <c r="CB83" s="20">
        <f t="shared" si="64"/>
        <v>649.76039601269781</v>
      </c>
      <c r="CC83" s="58">
        <f t="shared" si="65"/>
        <v>934.05184066817219</v>
      </c>
      <c r="CD83" s="58">
        <f ca="1">AVERAGE(OFFSET($CC$3,0,0,'Données projet'!$E$12+1,1))-AVERAGE(OFFSET($H$3,0,0,'Données projet'!$E$12+1,1))</f>
        <v>684.45757350513315</v>
      </c>
      <c r="CE83" s="58">
        <f t="shared" si="94"/>
        <v>301.78148341369194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13.658314093052889</v>
      </c>
      <c r="CL83" s="21">
        <f>EXP(-LN(2)/25)*CL82+(1-EXP(-LN(2)/25))/(LN(2)/25)*Calculateur!CG83*Calculateur!CI83*VLOOKUP('Données projet'!$B$12,Paramètres!$A$1:$I$89,3,0)*0.475*44/12</f>
        <v>28.042595915925325</v>
      </c>
      <c r="CM83" s="21">
        <f>EXP(-LN(2)/2)*CM82+(1-EXP(-LN(2)/2))/(LN(2)/2)*CG83*CJ83*VLOOKUP('Données projet'!$B$12,Paramètres!$A$1:$I$89,3,0)*0.475*44/12</f>
        <v>0.61826707830600469</v>
      </c>
      <c r="CN83" s="22">
        <f t="shared" si="66"/>
        <v>42.319177087284217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8" t="e">
        <f t="shared" si="68"/>
        <v>#N/A</v>
      </c>
      <c r="CY83" s="58" t="e">
        <f ca="1">AVERAGE(OFFSET($CX$3,0,0,'Données projet'!$E$13+1,1))-AVERAGE(OFFSET($H$3,0,0,'Données projet'!$E$13+1,1))</f>
        <v>#N/A</v>
      </c>
      <c r="CZ83" s="58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8" t="e">
        <f t="shared" si="71"/>
        <v>#N/A</v>
      </c>
      <c r="DT83" s="58" t="e">
        <f ca="1">AVERAGE(OFFSET($DS$3,0,0,'Données projet'!$E$14+1,1))-AVERAGE(OFFSET($H$3,0,0,'Données projet'!$E$14+1,1))</f>
        <v>#N/A</v>
      </c>
      <c r="DU83" s="58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8" t="e">
        <f t="shared" si="74"/>
        <v>#N/A</v>
      </c>
      <c r="EO83" s="58" t="e">
        <f ca="1">AVERAGE(OFFSET($EN$3,0,0,'Données projet'!$E$15+1,1))-AVERAGE(OFFSET($H$3,0,0,'Données projet'!$E$15+1,1))</f>
        <v>#N/A</v>
      </c>
      <c r="EP83" s="58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8" t="e">
        <f t="shared" si="77"/>
        <v>#N/A</v>
      </c>
      <c r="FJ83" s="58" t="e">
        <f ca="1">AVERAGE(OFFSET($FI$3,0,0,'Données projet'!$E$16+1,1))-AVERAGE(OFFSET($H$3,0,0,'Données projet'!$E$16+1,1))</f>
        <v>#N/A</v>
      </c>
      <c r="FK83" s="58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8" t="e">
        <f t="shared" si="80"/>
        <v>#N/A</v>
      </c>
      <c r="GE83" s="58" t="e">
        <f ca="1">AVERAGE(OFFSET($GD$3,0,0,'Données projet'!$E$17+1,1))-AVERAGE(OFFSET($H$3,0,0,'Données projet'!$E$17+1,1))</f>
        <v>#N/A</v>
      </c>
      <c r="GF83" s="58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67.534030360583941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8" t="e">
        <f t="shared" si="83"/>
        <v>#N/A</v>
      </c>
      <c r="GZ83" s="58" t="e">
        <f ca="1">AVERAGE(OFFSET($GY$3,0,0,'Données projet'!$E$18+1,1))-AVERAGE(OFFSET($H$3,0,0,'Données projet'!$E$18+1,1))</f>
        <v>#N/A</v>
      </c>
      <c r="HA83" s="58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2">
        <f>'Scénario référence'!$B$16*5+'Scénario référence'!$B$17*0+'Scénario référence'!$B$18*5</f>
        <v>2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7.333333333333333</v>
      </c>
      <c r="H84" s="66">
        <f t="shared" si="56"/>
        <v>227.33333333333334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9.546999999999997</v>
      </c>
      <c r="N84" s="13">
        <f>IF('Données projet'!$A$36&gt;35,N83+M84-V83,IF(A84&lt;'Données projet'!$A$36,$K$205^A84,IF(A84='Données projet'!$A$36,'Données projet'!$B$36,N83+M84-V83)))</f>
        <v>326.44900000000041</v>
      </c>
      <c r="O84" s="13">
        <f>N84*VLOOKUP('Données projet'!$B$9,Paramètres!$A$1:$I$89,3,0)*VLOOKUP('Données projet'!$B$9,Paramètres!$A$1:$I$89,5,0)</f>
        <v>295.37105520000034</v>
      </c>
      <c r="P84" s="13">
        <f t="shared" si="87"/>
        <v>70.205182362680091</v>
      </c>
      <c r="Q84" s="20">
        <f t="shared" si="54"/>
        <v>636.71194708833502</v>
      </c>
      <c r="R84" s="58">
        <f t="shared" si="55"/>
        <v>921.16024829773551</v>
      </c>
      <c r="S84" s="58">
        <f ca="1">AVERAGE(OFFSET($R$3,0,0,'Données projet'!$E$9+1,1))-AVERAGE(OFFSET($H$3,0,0,'Données projet'!$E$9+1,1))</f>
        <v>654.0179680178212</v>
      </c>
      <c r="T84" s="58">
        <f t="shared" si="88"/>
        <v>289.42065570013369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12.731934545858252</v>
      </c>
      <c r="AA84" s="21">
        <f>EXP(-LN(2)/25)*AA83+(1-EXP(-LN(2)/25))/(LN(2)/25)*Calculateur!V84*Calculateur!X84*VLOOKUP('Données projet'!$B$9,Paramètres!$A$1:$I$89,3,0)*0.475*44/12</f>
        <v>25.934338361355454</v>
      </c>
      <c r="AB84" s="21">
        <f>EXP(-LN(2)/2)*AB83+(1-EXP(-LN(2)/2))/(LN(2)/2)*V84*Y84*VLOOKUP('Données projet'!$B$9,Paramètres!$A$1:$I$89,3,0)*0.475*44/12</f>
        <v>0.41568014642565698</v>
      </c>
      <c r="AC84" s="22">
        <f t="shared" si="57"/>
        <v>39.081953053639367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8">
        <f t="shared" si="59"/>
        <v>284.44830120940736</v>
      </c>
      <c r="AN84" s="58">
        <f ca="1">AVERAGE(OFFSET($AM$3,0,0,'Données projet'!$E$10+1,1))-AVERAGE(OFFSET($H$3,0,0,'Données projet'!$E$10+1,1))</f>
        <v>447.44638185108147</v>
      </c>
      <c r="AO84" s="58">
        <f t="shared" si="90"/>
        <v>384.84260115068605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173.92686370991368</v>
      </c>
      <c r="AV84" s="21">
        <f>EXP(-LN(2)/25)*AV83+(1-EXP(-LN(2)/25))/(LN(2)/25)*Calculateur!AQ84*Calculateur!AS84*VLOOKUP('Données projet'!$B$10,Paramètres!$A$1:$I$89,3,0)*0.475*44/12</f>
        <v>56.563739593154267</v>
      </c>
      <c r="AW84" s="21">
        <f>EXP(-LN(2)/2)*AW83+(1-EXP(-LN(2)/2))/(LN(2)/2)*AQ84*AT84*VLOOKUP('Données projet'!$B$10,Paramètres!$A$1:$I$89,3,0)*0.475*44/12</f>
        <v>16.144739865212273</v>
      </c>
      <c r="AX84" s="21">
        <f t="shared" si="60"/>
        <v>246.6353431682802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331.01928600000042</v>
      </c>
      <c r="BF84" s="13">
        <f t="shared" si="91"/>
        <v>77.641593219997347</v>
      </c>
      <c r="BG84" s="20">
        <f t="shared" si="61"/>
        <v>711.75103130816262</v>
      </c>
      <c r="BH84" s="58">
        <f t="shared" si="62"/>
        <v>996.19933251756311</v>
      </c>
      <c r="BI84" s="58">
        <f ca="1">AVERAGE(OFFSET($BH$3,0,0,'Données projet'!$E$11+1,1))-AVERAGE(OFFSET($H$3,0,0,'Données projet'!$E$11+1,1))</f>
        <v>724.99760740673071</v>
      </c>
      <c r="BJ84" s="58">
        <f t="shared" si="92"/>
        <v>318.24184272438208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14.268547335875629</v>
      </c>
      <c r="BQ84" s="21">
        <f>EXP(-LN(2)/25)*BQ83+(1-EXP(-LN(2)/25))/(LN(2)/25)*Calculateur!BL84*Calculateur!BN84*VLOOKUP('Données projet'!$B$11,Paramètres!$A$1:$I$89,3,0)*0.475*44/12</f>
        <v>29.064344715312156</v>
      </c>
      <c r="BR84" s="21">
        <f>EXP(-LN(2)/2)*BR83+(1-EXP(-LN(2)/2))/(LN(2)/2)*BL84*BO84*VLOOKUP('Données projet'!$B$11,Paramètres!$A$1:$I$89,3,0)*0.475*44/12</f>
        <v>0.46584843995978797</v>
      </c>
      <c r="BS84" s="22">
        <f t="shared" si="63"/>
        <v>43.798740491147569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9.546999999999997</v>
      </c>
      <c r="BY84" s="12">
        <f>IF('Données projet'!$A$114&gt;35,BY83+BX84-CG83,IF(A84&lt;'Données projet'!$A$114,$BV$205^A84,IF(A84='Données projet'!$A$114,'Données projet'!$B$114,BY83+BX84-CG83)))</f>
        <v>326.44900000000041</v>
      </c>
      <c r="BZ84" s="13">
        <f>BY84*VLOOKUP('Données projet'!$B$12,Paramètres!$A$1:$I$89,3,0)*VLOOKUP('Données projet'!$B$12,Paramètres!$A$1:$I$89,5,0)</f>
        <v>310.64886840000037</v>
      </c>
      <c r="CA84" s="13">
        <f t="shared" si="93"/>
        <v>73.404323224471185</v>
      </c>
      <c r="CB84" s="20">
        <f t="shared" si="64"/>
        <v>668.89264207928784</v>
      </c>
      <c r="CC84" s="58">
        <f t="shared" si="65"/>
        <v>953.34094328868832</v>
      </c>
      <c r="CD84" s="58">
        <f ca="1">AVERAGE(OFFSET($CC$3,0,0,'Données projet'!$E$12+1,1))-AVERAGE(OFFSET($H$3,0,0,'Données projet'!$E$12+1,1))</f>
        <v>684.45757350513315</v>
      </c>
      <c r="CE84" s="58">
        <f t="shared" si="94"/>
        <v>301.78148341369194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13.390482884437125</v>
      </c>
      <c r="CL84" s="21">
        <f>EXP(-LN(2)/25)*CL83+(1-EXP(-LN(2)/25))/(LN(2)/25)*Calculateur!CG84*Calculateur!CI84*VLOOKUP('Données projet'!$B$12,Paramètres!$A$1:$I$89,3,0)*0.475*44/12</f>
        <v>27.27576965590832</v>
      </c>
      <c r="CM84" s="21">
        <f>EXP(-LN(2)/2)*CM83+(1-EXP(-LN(2)/2))/(LN(2)/2)*CG84*CJ84*VLOOKUP('Données projet'!$B$12,Paramètres!$A$1:$I$89,3,0)*0.475*44/12</f>
        <v>0.43718084365457011</v>
      </c>
      <c r="CN84" s="22">
        <f t="shared" si="66"/>
        <v>41.10343338400002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8" t="e">
        <f t="shared" si="68"/>
        <v>#N/A</v>
      </c>
      <c r="CY84" s="58" t="e">
        <f ca="1">AVERAGE(OFFSET($CX$3,0,0,'Données projet'!$E$13+1,1))-AVERAGE(OFFSET($H$3,0,0,'Données projet'!$E$13+1,1))</f>
        <v>#N/A</v>
      </c>
      <c r="CZ84" s="58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8" t="e">
        <f t="shared" si="71"/>
        <v>#N/A</v>
      </c>
      <c r="DT84" s="58" t="e">
        <f ca="1">AVERAGE(OFFSET($DS$3,0,0,'Données projet'!$E$14+1,1))-AVERAGE(OFFSET($H$3,0,0,'Données projet'!$E$14+1,1))</f>
        <v>#N/A</v>
      </c>
      <c r="DU84" s="58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8" t="e">
        <f t="shared" si="74"/>
        <v>#N/A</v>
      </c>
      <c r="EO84" s="58" t="e">
        <f ca="1">AVERAGE(OFFSET($EN$3,0,0,'Données projet'!$E$15+1,1))-AVERAGE(OFFSET($H$3,0,0,'Données projet'!$E$15+1,1))</f>
        <v>#N/A</v>
      </c>
      <c r="EP84" s="58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8" t="e">
        <f t="shared" si="77"/>
        <v>#N/A</v>
      </c>
      <c r="FJ84" s="58" t="e">
        <f ca="1">AVERAGE(OFFSET($FI$3,0,0,'Données projet'!$E$16+1,1))-AVERAGE(OFFSET($H$3,0,0,'Données projet'!$E$16+1,1))</f>
        <v>#N/A</v>
      </c>
      <c r="FK84" s="58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8" t="e">
        <f t="shared" si="80"/>
        <v>#N/A</v>
      </c>
      <c r="GE84" s="58" t="e">
        <f ca="1">AVERAGE(OFFSET($GD$3,0,0,'Données projet'!$E$17+1,1))-AVERAGE(OFFSET($H$3,0,0,'Données projet'!$E$17+1,1))</f>
        <v>#N/A</v>
      </c>
      <c r="GF84" s="58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67.576809420745604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8" t="e">
        <f t="shared" si="83"/>
        <v>#N/A</v>
      </c>
      <c r="GZ84" s="58" t="e">
        <f ca="1">AVERAGE(OFFSET($GY$3,0,0,'Données projet'!$E$18+1,1))-AVERAGE(OFFSET($H$3,0,0,'Données projet'!$E$18+1,1))</f>
        <v>#N/A</v>
      </c>
      <c r="HA84" s="58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2">
        <f>'Scénario référence'!$B$16*5+'Scénario référence'!$B$17*0+'Scénario référence'!$B$18*5</f>
        <v>2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7.333333333333333</v>
      </c>
      <c r="H85" s="66">
        <f t="shared" si="56"/>
        <v>227.33333333333334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9.546999999999997</v>
      </c>
      <c r="N85" s="13">
        <f>IF('Données projet'!$A$36&gt;35,N84+M85-V84,IF(A85&lt;'Données projet'!$A$36,$K$205^A85,IF(A85='Données projet'!$A$36,'Données projet'!$B$36,N84+M85-V84)))</f>
        <v>335.99600000000044</v>
      </c>
      <c r="O85" s="13">
        <f>N85*VLOOKUP('Données projet'!$B$9,Paramètres!$A$1:$I$89,3,0)*VLOOKUP('Données projet'!$B$9,Paramètres!$A$1:$I$89,5,0)</f>
        <v>304.00918080000037</v>
      </c>
      <c r="P85" s="13">
        <f t="shared" si="87"/>
        <v>72.016291285794935</v>
      </c>
      <c r="Q85" s="20">
        <f t="shared" si="54"/>
        <v>654.91103054942675</v>
      </c>
      <c r="R85" s="58">
        <f t="shared" si="55"/>
        <v>939.51346720222159</v>
      </c>
      <c r="S85" s="58">
        <f ca="1">AVERAGE(OFFSET($R$3,0,0,'Données projet'!$E$9+1,1))-AVERAGE(OFFSET($H$3,0,0,'Données projet'!$E$9+1,1))</f>
        <v>654.0179680178212</v>
      </c>
      <c r="T85" s="58">
        <f t="shared" si="88"/>
        <v>289.42065570013369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12.482269075127244</v>
      </c>
      <c r="AA85" s="21">
        <f>EXP(-LN(2)/25)*AA84+(1-EXP(-LN(2)/25))/(LN(2)/25)*Calculateur!V85*Calculateur!X85*VLOOKUP('Données projet'!$B$9,Paramètres!$A$1:$I$89,3,0)*0.475*44/12</f>
        <v>25.225162515036608</v>
      </c>
      <c r="AB85" s="21">
        <f>EXP(-LN(2)/2)*AB84+(1-EXP(-LN(2)/2))/(LN(2)/2)*V85*Y85*VLOOKUP('Données projet'!$B$9,Paramètres!$A$1:$I$89,3,0)*0.475*44/12</f>
        <v>0.29393025034219911</v>
      </c>
      <c r="AC85" s="22">
        <f t="shared" si="57"/>
        <v>38.00136184050605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8">
        <f t="shared" si="59"/>
        <v>284.60243665280166</v>
      </c>
      <c r="AN85" s="58">
        <f ca="1">AVERAGE(OFFSET($AM$3,0,0,'Données projet'!$E$10+1,1))-AVERAGE(OFFSET($H$3,0,0,'Données projet'!$E$10+1,1))</f>
        <v>447.44638185108147</v>
      </c>
      <c r="AO85" s="58">
        <f t="shared" si="90"/>
        <v>384.84260115068605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170.51626399747411</v>
      </c>
      <c r="AV85" s="21">
        <f>EXP(-LN(2)/25)*AV84+(1-EXP(-LN(2)/25))/(LN(2)/25)*Calculateur!AQ85*Calculateur!AS85*VLOOKUP('Données projet'!$B$10,Paramètres!$A$1:$I$89,3,0)*0.475*44/12</f>
        <v>55.017001159421675</v>
      </c>
      <c r="AW85" s="21">
        <f>EXP(-LN(2)/2)*AW84+(1-EXP(-LN(2)/2))/(LN(2)/2)*AQ85*AT85*VLOOKUP('Données projet'!$B$10,Paramètres!$A$1:$I$89,3,0)*0.475*44/12</f>
        <v>11.416055039184386</v>
      </c>
      <c r="AX85" s="21">
        <f t="shared" si="60"/>
        <v>236.94932019608018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340.69994400000047</v>
      </c>
      <c r="BF85" s="13">
        <f t="shared" si="91"/>
        <v>79.644541970406692</v>
      </c>
      <c r="BG85" s="20">
        <f t="shared" si="61"/>
        <v>732.09997973179236</v>
      </c>
      <c r="BH85" s="58">
        <f t="shared" si="62"/>
        <v>1016.7024163845872</v>
      </c>
      <c r="BI85" s="58">
        <f ca="1">AVERAGE(OFFSET($BH$3,0,0,'Données projet'!$E$11+1,1))-AVERAGE(OFFSET($H$3,0,0,'Données projet'!$E$11+1,1))</f>
        <v>724.99760740673071</v>
      </c>
      <c r="BJ85" s="58">
        <f t="shared" si="92"/>
        <v>318.24184272438208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13.988749825573638</v>
      </c>
      <c r="BQ85" s="21">
        <f>EXP(-LN(2)/25)*BQ84+(1-EXP(-LN(2)/25))/(LN(2)/25)*Calculateur!BL85*Calculateur!BN85*VLOOKUP('Données projet'!$B$11,Paramètres!$A$1:$I$89,3,0)*0.475*44/12</f>
        <v>28.269578680644486</v>
      </c>
      <c r="BR85" s="21">
        <f>EXP(-LN(2)/2)*BR84+(1-EXP(-LN(2)/2))/(LN(2)/2)*BL85*BO85*VLOOKUP('Données projet'!$B$11,Paramètres!$A$1:$I$89,3,0)*0.475*44/12</f>
        <v>0.32940459090074031</v>
      </c>
      <c r="BS85" s="22">
        <f t="shared" si="63"/>
        <v>42.587733097118864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9.546999999999997</v>
      </c>
      <c r="BY85" s="12">
        <f>IF('Données projet'!$A$114&gt;35,BY84+BX85-CG84,IF(A85&lt;'Données projet'!$A$114,$BV$205^A85,IF(A85='Données projet'!$A$114,'Données projet'!$B$114,BY84+BX85-CG84)))</f>
        <v>335.99600000000044</v>
      </c>
      <c r="BZ85" s="13">
        <f>BY85*VLOOKUP('Données projet'!$B$12,Paramètres!$A$1:$I$89,3,0)*VLOOKUP('Données projet'!$B$12,Paramètres!$A$1:$I$89,5,0)</f>
        <v>319.73379360000041</v>
      </c>
      <c r="CA85" s="13">
        <f t="shared" si="93"/>
        <v>75.297961561599294</v>
      </c>
      <c r="CB85" s="20">
        <f t="shared" si="64"/>
        <v>688.01364023978613</v>
      </c>
      <c r="CC85" s="58">
        <f t="shared" si="65"/>
        <v>972.61607689258096</v>
      </c>
      <c r="CD85" s="58">
        <f ca="1">AVERAGE(OFFSET($CC$3,0,0,'Données projet'!$E$12+1,1))-AVERAGE(OFFSET($H$3,0,0,'Données projet'!$E$12+1,1))</f>
        <v>684.45757350513315</v>
      </c>
      <c r="CE85" s="58">
        <f t="shared" si="94"/>
        <v>301.78148341369194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13.12790368246141</v>
      </c>
      <c r="CL85" s="21">
        <f>EXP(-LN(2)/25)*CL84+(1-EXP(-LN(2)/25))/(LN(2)/25)*Calculateur!CG85*Calculateur!CI85*VLOOKUP('Données projet'!$B$12,Paramètres!$A$1:$I$89,3,0)*0.475*44/12</f>
        <v>26.52991230029712</v>
      </c>
      <c r="CM85" s="21">
        <f>EXP(-LN(2)/2)*CM84+(1-EXP(-LN(2)/2))/(LN(2)/2)*CG85*CJ85*VLOOKUP('Données projet'!$B$12,Paramètres!$A$1:$I$89,3,0)*0.475*44/12</f>
        <v>0.30913353915300235</v>
      </c>
      <c r="CN85" s="22">
        <f t="shared" si="66"/>
        <v>39.96694952191153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8" t="e">
        <f t="shared" si="68"/>
        <v>#N/A</v>
      </c>
      <c r="CY85" s="58" t="e">
        <f ca="1">AVERAGE(OFFSET($CX$3,0,0,'Données projet'!$E$13+1,1))-AVERAGE(OFFSET($H$3,0,0,'Données projet'!$E$13+1,1))</f>
        <v>#N/A</v>
      </c>
      <c r="CZ85" s="58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8" t="e">
        <f t="shared" si="71"/>
        <v>#N/A</v>
      </c>
      <c r="DT85" s="58" t="e">
        <f ca="1">AVERAGE(OFFSET($DS$3,0,0,'Données projet'!$E$14+1,1))-AVERAGE(OFFSET($H$3,0,0,'Données projet'!$E$14+1,1))</f>
        <v>#N/A</v>
      </c>
      <c r="DU85" s="58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8" t="e">
        <f t="shared" si="74"/>
        <v>#N/A</v>
      </c>
      <c r="EO85" s="58" t="e">
        <f ca="1">AVERAGE(OFFSET($EN$3,0,0,'Données projet'!$E$15+1,1))-AVERAGE(OFFSET($H$3,0,0,'Données projet'!$E$15+1,1))</f>
        <v>#N/A</v>
      </c>
      <c r="EP85" s="58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8" t="e">
        <f t="shared" si="77"/>
        <v>#N/A</v>
      </c>
      <c r="FJ85" s="58" t="e">
        <f ca="1">AVERAGE(OFFSET($FI$3,0,0,'Données projet'!$E$16+1,1))-AVERAGE(OFFSET($H$3,0,0,'Données projet'!$E$16+1,1))</f>
        <v>#N/A</v>
      </c>
      <c r="FK85" s="58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8" t="e">
        <f t="shared" si="80"/>
        <v>#N/A</v>
      </c>
      <c r="GE85" s="58" t="e">
        <f ca="1">AVERAGE(OFFSET($GD$3,0,0,'Données projet'!$E$17+1,1))-AVERAGE(OFFSET($H$3,0,0,'Données projet'!$E$17+1,1))</f>
        <v>#N/A</v>
      </c>
      <c r="GF85" s="58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67.618846359853137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8" t="e">
        <f t="shared" si="83"/>
        <v>#N/A</v>
      </c>
      <c r="GZ85" s="58" t="e">
        <f ca="1">AVERAGE(OFFSET($GY$3,0,0,'Données projet'!$E$18+1,1))-AVERAGE(OFFSET($H$3,0,0,'Données projet'!$E$18+1,1))</f>
        <v>#N/A</v>
      </c>
      <c r="HA85" s="58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2">
        <f>'Scénario référence'!$B$16*5+'Scénario référence'!$B$17*0+'Scénario référence'!$B$18*5</f>
        <v>2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7.333333333333333</v>
      </c>
      <c r="H86" s="66">
        <f t="shared" si="56"/>
        <v>227.33333333333334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9.546999999999997</v>
      </c>
      <c r="N86" s="13">
        <f>IF('Données projet'!$A$36&gt;35,N85+M86-V85,IF(A86&lt;'Données projet'!$A$36,$K$205^A86,IF(A86='Données projet'!$A$36,'Données projet'!$B$36,N85+M86-V85)))</f>
        <v>345.54300000000046</v>
      </c>
      <c r="O86" s="13">
        <f>N86*VLOOKUP('Données projet'!$B$9,Paramètres!$A$1:$I$89,3,0)*VLOOKUP('Données projet'!$B$9,Paramètres!$A$1:$I$89,5,0)</f>
        <v>312.64730640000039</v>
      </c>
      <c r="P86" s="13">
        <f t="shared" si="87"/>
        <v>73.821419204446315</v>
      </c>
      <c r="Q86" s="20">
        <f t="shared" si="54"/>
        <v>673.09969709441123</v>
      </c>
      <c r="R86" s="58">
        <f t="shared" si="55"/>
        <v>957.8535952852526</v>
      </c>
      <c r="S86" s="58">
        <f ca="1">AVERAGE(OFFSET($R$3,0,0,'Données projet'!$E$9+1,1))-AVERAGE(OFFSET($H$3,0,0,'Données projet'!$E$9+1,1))</f>
        <v>654.0179680178212</v>
      </c>
      <c r="T86" s="58">
        <f t="shared" si="88"/>
        <v>289.42065570013369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12.237499391996371</v>
      </c>
      <c r="AA86" s="21">
        <f>EXP(-LN(2)/25)*AA85+(1-EXP(-LN(2)/25))/(LN(2)/25)*Calculateur!V86*Calculateur!X86*VLOOKUP('Données projet'!$B$9,Paramètres!$A$1:$I$89,3,0)*0.475*44/12</f>
        <v>24.535379119529289</v>
      </c>
      <c r="AB86" s="21">
        <f>EXP(-LN(2)/2)*AB85+(1-EXP(-LN(2)/2))/(LN(2)/2)*V86*Y86*VLOOKUP('Données projet'!$B$9,Paramètres!$A$1:$I$89,3,0)*0.475*44/12</f>
        <v>0.20784007321282855</v>
      </c>
      <c r="AC86" s="22">
        <f t="shared" si="57"/>
        <v>36.98071858473849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8">
        <f t="shared" si="59"/>
        <v>284.75389819084825</v>
      </c>
      <c r="AN86" s="58">
        <f ca="1">AVERAGE(OFFSET($AM$3,0,0,'Données projet'!$E$10+1,1))-AVERAGE(OFFSET($H$3,0,0,'Données projet'!$E$10+1,1))</f>
        <v>447.44638185108147</v>
      </c>
      <c r="AO86" s="58">
        <f t="shared" si="90"/>
        <v>384.84260115068605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167.17254406513507</v>
      </c>
      <c r="AV86" s="21">
        <f>EXP(-LN(2)/25)*AV85+(1-EXP(-LN(2)/25))/(LN(2)/25)*Calculateur!AQ86*Calculateur!AS86*VLOOKUP('Données projet'!$B$10,Paramètres!$A$1:$I$89,3,0)*0.475*44/12</f>
        <v>53.51255836949894</v>
      </c>
      <c r="AW86" s="21">
        <f>EXP(-LN(2)/2)*AW85+(1-EXP(-LN(2)/2))/(LN(2)/2)*AQ86*AT86*VLOOKUP('Données projet'!$B$10,Paramètres!$A$1:$I$89,3,0)*0.475*44/12</f>
        <v>8.0723699326061364</v>
      </c>
      <c r="AX86" s="21">
        <f t="shared" si="60"/>
        <v>228.75747236724015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350.38060200000047</v>
      </c>
      <c r="BF86" s="13">
        <f t="shared" si="91"/>
        <v>81.640876184681076</v>
      </c>
      <c r="BG86" s="20">
        <f t="shared" si="61"/>
        <v>752.43740783832027</v>
      </c>
      <c r="BH86" s="58">
        <f t="shared" si="62"/>
        <v>1037.1913060291618</v>
      </c>
      <c r="BI86" s="58">
        <f ca="1">AVERAGE(OFFSET($BH$3,0,0,'Données projet'!$E$11+1,1))-AVERAGE(OFFSET($H$3,0,0,'Données projet'!$E$11+1,1))</f>
        <v>724.99760740673071</v>
      </c>
      <c r="BJ86" s="58">
        <f t="shared" si="92"/>
        <v>318.24184272438208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13.714438973789038</v>
      </c>
      <c r="BQ86" s="21">
        <f>EXP(-LN(2)/25)*BQ85+(1-EXP(-LN(2)/25))/(LN(2)/25)*Calculateur!BL86*Calculateur!BN86*VLOOKUP('Données projet'!$B$11,Paramètres!$A$1:$I$89,3,0)*0.475*44/12</f>
        <v>27.496545564989731</v>
      </c>
      <c r="BR86" s="21">
        <f>EXP(-LN(2)/2)*BR85+(1-EXP(-LN(2)/2))/(LN(2)/2)*BL86*BO86*VLOOKUP('Données projet'!$B$11,Paramètres!$A$1:$I$89,3,0)*0.475*44/12</f>
        <v>0.23292421997989399</v>
      </c>
      <c r="BS86" s="22">
        <f t="shared" si="63"/>
        <v>41.44390875875866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9.546999999999997</v>
      </c>
      <c r="BY86" s="12">
        <f>IF('Données projet'!$A$114&gt;35,BY85+BX86-CG85,IF(A86&lt;'Données projet'!$A$114,$BV$205^A86,IF(A86='Données projet'!$A$114,'Données projet'!$B$114,BY85+BX86-CG85)))</f>
        <v>345.54300000000046</v>
      </c>
      <c r="BZ86" s="13">
        <f>BY86*VLOOKUP('Données projet'!$B$12,Paramètres!$A$1:$I$89,3,0)*VLOOKUP('Données projet'!$B$12,Paramètres!$A$1:$I$89,5,0)</f>
        <v>328.81871880000045</v>
      </c>
      <c r="CA86" s="13">
        <f t="shared" si="93"/>
        <v>77.185346349202092</v>
      </c>
      <c r="CB86" s="20">
        <f t="shared" si="64"/>
        <v>707.12374680152777</v>
      </c>
      <c r="CC86" s="58">
        <f t="shared" si="65"/>
        <v>991.87764499236914</v>
      </c>
      <c r="CD86" s="58">
        <f ca="1">AVERAGE(OFFSET($CC$3,0,0,'Données projet'!$E$12+1,1))-AVERAGE(OFFSET($H$3,0,0,'Données projet'!$E$12+1,1))</f>
        <v>684.45757350513315</v>
      </c>
      <c r="CE86" s="58">
        <f t="shared" si="94"/>
        <v>301.78148341369194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12.87047349847894</v>
      </c>
      <c r="CL86" s="21">
        <f>EXP(-LN(2)/25)*CL85+(1-EXP(-LN(2)/25))/(LN(2)/25)*Calculateur!CG86*Calculateur!CI86*VLOOKUP('Données projet'!$B$12,Paramètres!$A$1:$I$89,3,0)*0.475*44/12</f>
        <v>25.804450453298042</v>
      </c>
      <c r="CM86" s="21">
        <f>EXP(-LN(2)/2)*CM85+(1-EXP(-LN(2)/2))/(LN(2)/2)*CG86*CJ86*VLOOKUP('Données projet'!$B$12,Paramètres!$A$1:$I$89,3,0)*0.475*44/12</f>
        <v>0.21859042182728505</v>
      </c>
      <c r="CN86" s="22">
        <f t="shared" si="66"/>
        <v>38.893514373604269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8" t="e">
        <f t="shared" si="68"/>
        <v>#N/A</v>
      </c>
      <c r="CY86" s="58" t="e">
        <f ca="1">AVERAGE(OFFSET($CX$3,0,0,'Données projet'!$E$13+1,1))-AVERAGE(OFFSET($H$3,0,0,'Données projet'!$E$13+1,1))</f>
        <v>#N/A</v>
      </c>
      <c r="CZ86" s="58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8" t="e">
        <f t="shared" si="71"/>
        <v>#N/A</v>
      </c>
      <c r="DT86" s="58" t="e">
        <f ca="1">AVERAGE(OFFSET($DS$3,0,0,'Données projet'!$E$14+1,1))-AVERAGE(OFFSET($H$3,0,0,'Données projet'!$E$14+1,1))</f>
        <v>#N/A</v>
      </c>
      <c r="DU86" s="58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8" t="e">
        <f t="shared" si="74"/>
        <v>#N/A</v>
      </c>
      <c r="EO86" s="58" t="e">
        <f ca="1">AVERAGE(OFFSET($EN$3,0,0,'Données projet'!$E$15+1,1))-AVERAGE(OFFSET($H$3,0,0,'Données projet'!$E$15+1,1))</f>
        <v>#N/A</v>
      </c>
      <c r="EP86" s="58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8" t="e">
        <f t="shared" si="77"/>
        <v>#N/A</v>
      </c>
      <c r="FJ86" s="58" t="e">
        <f ca="1">AVERAGE(OFFSET($FI$3,0,0,'Données projet'!$E$16+1,1))-AVERAGE(OFFSET($H$3,0,0,'Données projet'!$E$16+1,1))</f>
        <v>#N/A</v>
      </c>
      <c r="FK86" s="58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8" t="e">
        <f t="shared" si="80"/>
        <v>#N/A</v>
      </c>
      <c r="GE86" s="58" t="e">
        <f ca="1">AVERAGE(OFFSET($GD$3,0,0,'Données projet'!$E$17+1,1))-AVERAGE(OFFSET($H$3,0,0,'Données projet'!$E$17+1,1))</f>
        <v>#N/A</v>
      </c>
      <c r="GF86" s="58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67.660154052047659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8" t="e">
        <f t="shared" si="83"/>
        <v>#N/A</v>
      </c>
      <c r="GZ86" s="58" t="e">
        <f ca="1">AVERAGE(OFFSET($GY$3,0,0,'Données projet'!$E$18+1,1))-AVERAGE(OFFSET($H$3,0,0,'Données projet'!$E$18+1,1))</f>
        <v>#N/A</v>
      </c>
      <c r="HA86" s="58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2">
        <f>'Scénario référence'!$B$16*5+'Scénario référence'!$B$17*0+'Scénario référence'!$B$18*5</f>
        <v>2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7.333333333333333</v>
      </c>
      <c r="H87" s="66">
        <f t="shared" si="56"/>
        <v>227.33333333333334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355.09</v>
      </c>
      <c r="L87" s="12">
        <f>VLOOKUP(A87,'Données projet'!$A$35:$I$55,9,0)</f>
        <v>9.546999999999997</v>
      </c>
      <c r="M87" s="12">
        <f t="array" ref="M87">INDEX(L:L,MIN(IF(ISNUMBER(L87:L283),ROW(L87:L283),"")))</f>
        <v>9.546999999999997</v>
      </c>
      <c r="N87" s="13">
        <f>IF('Données projet'!$A$36&gt;35,N86+M87-V86,IF(A87&lt;'Données projet'!$A$36,$K$205^A87,IF(A87='Données projet'!$A$36,'Données projet'!$B$36,N86+M87-V86)))</f>
        <v>355.09000000000049</v>
      </c>
      <c r="O87" s="13">
        <f>N87*VLOOKUP('Données projet'!$B$9,Paramètres!$A$1:$I$89,3,0)*VLOOKUP('Données projet'!$B$9,Paramètres!$A$1:$I$89,5,0)</f>
        <v>321.28543200000041</v>
      </c>
      <c r="P87" s="13">
        <f t="shared" si="87"/>
        <v>75.620750353808944</v>
      </c>
      <c r="Q87" s="20">
        <f t="shared" si="54"/>
        <v>691.27826759955133</v>
      </c>
      <c r="R87" s="58">
        <f t="shared" si="55"/>
        <v>976.18099980937154</v>
      </c>
      <c r="S87" s="58">
        <f ca="1">AVERAGE(OFFSET($R$3,0,0,'Données projet'!$E$9+1,1))-AVERAGE(OFFSET($H$3,0,0,'Données projet'!$E$9+1,1))</f>
        <v>654.0179680178212</v>
      </c>
      <c r="T87" s="58">
        <f t="shared" si="88"/>
        <v>289.42065570013369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66.69</v>
      </c>
      <c r="W87" s="16">
        <f>IF(ISNA(VLOOKUP(A87,'Données projet'!$A$35:$I$55,5,0)),0%,VLOOKUP(A87,'Données projet'!$A$35:$I$55,5,0)*VLOOKUP('Données projet'!$B$9,Paramètres!$A$1:$I$89,7,0))</f>
        <v>0.15049999999999999</v>
      </c>
      <c r="X87" s="16">
        <f>IF(ISNA(VLOOKUP(A87,'Données projet'!$A$35:$I$55,6,0)),0%,VLOOKUP(A87,'Données projet'!$A$35:$I$55,6,0)*VLOOKUP('Données projet'!$B$9,Paramètres!$A$1:$I$89,7,0))</f>
        <v>8.6000000000000007E-2</v>
      </c>
      <c r="Y87" s="16">
        <f>IF(ISNA(VLOOKUP(A87,'Données projet'!$A$35:$I$55,7,0)),0%,VLOOKUP(A87,'Données projet'!$A$35:$I$55,7,0))</f>
        <v>0.1</v>
      </c>
      <c r="Z87" s="21">
        <f>EXP(-LN(2)/35)*Z86+(1-EXP(-LN(2)/35))/(LN(2)/35)*V87*W87*VLOOKUP('Données projet'!$B$9,Paramètres!$A$1:$I$89,3,0)*0.475*44/12</f>
        <v>22.036678946661006</v>
      </c>
      <c r="AA87" s="21">
        <f>EXP(-LN(2)/25)*AA86+(1-EXP(-LN(2)/25))/(LN(2)/25)*Calculateur!V87*Calculateur!X87*VLOOKUP('Données projet'!$B$9,Paramètres!$A$1:$I$89,3,0)*0.475*44/12</f>
        <v>29.578527314097339</v>
      </c>
      <c r="AB87" s="21">
        <f>EXP(-LN(2)/2)*AB86+(1-EXP(-LN(2)/2))/(LN(2)/2)*V87*Y87*VLOOKUP('Données projet'!$B$9,Paramètres!$A$1:$I$89,3,0)*0.475*44/12</f>
        <v>5.8403114480929164</v>
      </c>
      <c r="AC87" s="22">
        <f t="shared" si="57"/>
        <v>57.455517708851261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8">
        <f t="shared" si="59"/>
        <v>284.90273220982698</v>
      </c>
      <c r="AN87" s="58">
        <f ca="1">AVERAGE(OFFSET($AM$3,0,0,'Données projet'!$E$10+1,1))-AVERAGE(OFFSET($H$3,0,0,'Données projet'!$E$10+1,1))</f>
        <v>447.44638185108147</v>
      </c>
      <c r="AO87" s="58">
        <f t="shared" si="90"/>
        <v>384.84260115068605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163.89439244120143</v>
      </c>
      <c r="AV87" s="21">
        <f>EXP(-LN(2)/25)*AV86+(1-EXP(-LN(2)/25))/(LN(2)/25)*Calculateur!AQ87*Calculateur!AS87*VLOOKUP('Données projet'!$B$10,Paramètres!$A$1:$I$89,3,0)*0.475*44/12</f>
        <v>52.049254646781854</v>
      </c>
      <c r="AW87" s="21">
        <f>EXP(-LN(2)/2)*AW86+(1-EXP(-LN(2)/2))/(LN(2)/2)*AQ87*AT87*VLOOKUP('Données projet'!$B$10,Paramètres!$A$1:$I$89,3,0)*0.475*44/12</f>
        <v>5.7080275195921928</v>
      </c>
      <c r="AX87" s="21">
        <f t="shared" si="60"/>
        <v>221.6516746075755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360.06126000000052</v>
      </c>
      <c r="BF87" s="13">
        <f t="shared" si="91"/>
        <v>83.630799612914231</v>
      </c>
      <c r="BG87" s="20">
        <f t="shared" si="61"/>
        <v>772.76367049249313</v>
      </c>
      <c r="BH87" s="58">
        <f t="shared" si="62"/>
        <v>1057.6664027023132</v>
      </c>
      <c r="BI87" s="58">
        <f ca="1">AVERAGE(OFFSET($BH$3,0,0,'Données projet'!$E$11+1,1))-AVERAGE(OFFSET($H$3,0,0,'Données projet'!$E$11+1,1))</f>
        <v>724.99760740673071</v>
      </c>
      <c r="BJ87" s="58">
        <f t="shared" si="92"/>
        <v>318.24184272438208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24.696278129878717</v>
      </c>
      <c r="BQ87" s="21">
        <f>EXP(-LN(2)/25)*BQ86+(1-EXP(-LN(2)/25))/(LN(2)/25)*Calculateur!BL87*Calculateur!BN87*VLOOKUP('Données projet'!$B$11,Paramètres!$A$1:$I$89,3,0)*0.475*44/12</f>
        <v>33.148349576143573</v>
      </c>
      <c r="BR87" s="21">
        <f>EXP(-LN(2)/2)*BR86+(1-EXP(-LN(2)/2))/(LN(2)/2)*BL87*BO87*VLOOKUP('Données projet'!$B$11,Paramètres!$A$1:$I$89,3,0)*0.475*44/12</f>
        <v>6.5451766228627521</v>
      </c>
      <c r="BS87" s="22">
        <f t="shared" si="63"/>
        <v>64.389804328885049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9.546999999999997</v>
      </c>
      <c r="BX87" s="12">
        <f t="array" ref="BX87">INDEX(BW:BW,MIN(IF(ISNUMBER(BW87:BW283),ROW(BW87:BW283),"")))</f>
        <v>9.546999999999997</v>
      </c>
      <c r="BY87" s="12">
        <f>IF('Données projet'!$A$114&gt;35,BY86+BX87-CG86,IF(A87&lt;'Données projet'!$A$114,$BV$205^A87,IF(A87='Données projet'!$A$114,'Données projet'!$B$114,BY86+BX87-CG86)))</f>
        <v>355.09000000000049</v>
      </c>
      <c r="BZ87" s="13">
        <f>BY87*VLOOKUP('Données projet'!$B$12,Paramètres!$A$1:$I$89,3,0)*VLOOKUP('Données projet'!$B$12,Paramètres!$A$1:$I$89,5,0)</f>
        <v>337.9036440000005</v>
      </c>
      <c r="CA87" s="13">
        <f t="shared" si="93"/>
        <v>79.066670217764312</v>
      </c>
      <c r="CB87" s="20">
        <f t="shared" si="64"/>
        <v>726.22329726260705</v>
      </c>
      <c r="CC87" s="58">
        <f t="shared" si="65"/>
        <v>1011.1260294724273</v>
      </c>
      <c r="CD87" s="58">
        <f ca="1">AVERAGE(OFFSET($CC$3,0,0,'Données projet'!$E$12+1,1))-AVERAGE(OFFSET($H$3,0,0,'Données projet'!$E$12+1,1))</f>
        <v>684.45757350513315</v>
      </c>
      <c r="CE87" s="58">
        <f t="shared" si="94"/>
        <v>301.78148341369194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66.69</v>
      </c>
      <c r="CH87" s="16">
        <f>IF(ISNA(VLOOKUP(A87,'Données projet'!$A$113:$I$133,5,0)),0%,VLOOKUP(A87,'Données projet'!$A$113:$I$133,5,0)*VLOOKUP('Données projet'!$B$12,Paramètres!$A$1:$I$89,7,0))</f>
        <v>0.15049999999999999</v>
      </c>
      <c r="CI87" s="16">
        <f>IF(ISNA(VLOOKUP(A87,'Données projet'!$A$113:$I$133,6,0)),0%,VLOOKUP(A87,'Données projet'!$A$113:$I$133,6,0)*VLOOKUP('Données projet'!$B$12,Paramètres!$A$1:$I$89,7,0))</f>
        <v>8.6000000000000007E-2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23.176507168040022</v>
      </c>
      <c r="CL87" s="21">
        <f>EXP(-LN(2)/25)*CL86+(1-EXP(-LN(2)/25))/(LN(2)/25)*Calculateur!CG87*Calculateur!CI87*VLOOKUP('Données projet'!$B$12,Paramètres!$A$1:$I$89,3,0)*0.475*44/12</f>
        <v>31.108451140688576</v>
      </c>
      <c r="CM87" s="21">
        <f>EXP(-LN(2)/2)*CM86+(1-EXP(-LN(2)/2))/(LN(2)/2)*CG87*CJ87*VLOOKUP('Données projet'!$B$12,Paramètres!$A$1:$I$89,3,0)*0.475*44/12</f>
        <v>6.1423965229942743</v>
      </c>
      <c r="CN87" s="22">
        <f t="shared" si="66"/>
        <v>60.427354831722873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8" t="e">
        <f t="shared" si="68"/>
        <v>#N/A</v>
      </c>
      <c r="CY87" s="58" t="e">
        <f ca="1">AVERAGE(OFFSET($CX$3,0,0,'Données projet'!$E$13+1,1))-AVERAGE(OFFSET($H$3,0,0,'Données projet'!$E$13+1,1))</f>
        <v>#N/A</v>
      </c>
      <c r="CZ87" s="58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8" t="e">
        <f t="shared" si="71"/>
        <v>#N/A</v>
      </c>
      <c r="DT87" s="58" t="e">
        <f ca="1">AVERAGE(OFFSET($DS$3,0,0,'Données projet'!$E$14+1,1))-AVERAGE(OFFSET($H$3,0,0,'Données projet'!$E$14+1,1))</f>
        <v>#N/A</v>
      </c>
      <c r="DU87" s="58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8" t="e">
        <f t="shared" si="74"/>
        <v>#N/A</v>
      </c>
      <c r="EO87" s="58" t="e">
        <f ca="1">AVERAGE(OFFSET($EN$3,0,0,'Données projet'!$E$15+1,1))-AVERAGE(OFFSET($H$3,0,0,'Données projet'!$E$15+1,1))</f>
        <v>#N/A</v>
      </c>
      <c r="EP87" s="58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8" t="e">
        <f t="shared" si="77"/>
        <v>#N/A</v>
      </c>
      <c r="FJ87" s="58" t="e">
        <f ca="1">AVERAGE(OFFSET($FI$3,0,0,'Données projet'!$E$16+1,1))-AVERAGE(OFFSET($H$3,0,0,'Données projet'!$E$16+1,1))</f>
        <v>#N/A</v>
      </c>
      <c r="FK87" s="58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8" t="e">
        <f t="shared" si="80"/>
        <v>#N/A</v>
      </c>
      <c r="GE87" s="58" t="e">
        <f ca="1">AVERAGE(OFFSET($GD$3,0,0,'Données projet'!$E$17+1,1))-AVERAGE(OFFSET($H$3,0,0,'Données projet'!$E$17+1,1))</f>
        <v>#N/A</v>
      </c>
      <c r="GF87" s="58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67.700745148132768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8" t="e">
        <f t="shared" si="83"/>
        <v>#N/A</v>
      </c>
      <c r="GZ87" s="58" t="e">
        <f ca="1">AVERAGE(OFFSET($GY$3,0,0,'Données projet'!$E$18+1,1))-AVERAGE(OFFSET($H$3,0,0,'Données projet'!$E$18+1,1))</f>
        <v>#N/A</v>
      </c>
      <c r="HA87" s="58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2">
        <f>'Scénario référence'!$B$16*5+'Scénario référence'!$B$17*0+'Scénario référence'!$B$18*5</f>
        <v>2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7.333333333333333</v>
      </c>
      <c r="H88" s="66">
        <f t="shared" si="56"/>
        <v>227.33333333333334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9.1730000000000018</v>
      </c>
      <c r="N88" s="13">
        <f>IF('Données projet'!$A$36&gt;35,N87+M88-V87,IF(A88&lt;'Données projet'!$A$36,$K$205^A88,IF(A88='Données projet'!$A$36,'Données projet'!$B$36,N87+M88-V87)))</f>
        <v>297.57300000000049</v>
      </c>
      <c r="O88" s="13">
        <f>N88*VLOOKUP('Données projet'!$B$9,Paramètres!$A$1:$I$89,3,0)*VLOOKUP('Données projet'!$B$9,Paramètres!$A$1:$I$89,5,0)</f>
        <v>269.24405040000045</v>
      </c>
      <c r="P88" s="13">
        <f t="shared" si="87"/>
        <v>64.688811534365087</v>
      </c>
      <c r="Q88" s="20">
        <f t="shared" si="54"/>
        <v>581.59973453568659</v>
      </c>
      <c r="R88" s="58">
        <f t="shared" si="55"/>
        <v>866.64871882699913</v>
      </c>
      <c r="S88" s="58">
        <f ca="1">AVERAGE(OFFSET($R$3,0,0,'Données projet'!$E$9+1,1))-AVERAGE(OFFSET($H$3,0,0,'Données projet'!$E$9+1,1))</f>
        <v>654.0179680178212</v>
      </c>
      <c r="T88" s="58">
        <f t="shared" si="88"/>
        <v>289.42065570013369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21.604553113563949</v>
      </c>
      <c r="AA88" s="21">
        <f>EXP(-LN(2)/25)*AA87+(1-EXP(-LN(2)/25))/(LN(2)/25)*Calculateur!V88*Calculateur!X88*VLOOKUP('Données projet'!$B$9,Paramètres!$A$1:$I$89,3,0)*0.475*44/12</f>
        <v>28.7697009292262</v>
      </c>
      <c r="AB88" s="21">
        <f>EXP(-LN(2)/2)*AB87+(1-EXP(-LN(2)/2))/(LN(2)/2)*V88*Y88*VLOOKUP('Données projet'!$B$9,Paramètres!$A$1:$I$89,3,0)*0.475*44/12</f>
        <v>4.1297238291879266</v>
      </c>
      <c r="AC88" s="22">
        <f t="shared" si="57"/>
        <v>54.503977871978073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8">
        <f t="shared" si="59"/>
        <v>285.04898429131941</v>
      </c>
      <c r="AN88" s="58">
        <f ca="1">AVERAGE(OFFSET($AM$3,0,0,'Données projet'!$E$10+1,1))-AVERAGE(OFFSET($H$3,0,0,'Données projet'!$E$10+1,1))</f>
        <v>447.44638185108147</v>
      </c>
      <c r="AO88" s="58">
        <f t="shared" si="90"/>
        <v>384.84260115068605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160.68052337113807</v>
      </c>
      <c r="AV88" s="21">
        <f>EXP(-LN(2)/25)*AV87+(1-EXP(-LN(2)/25))/(LN(2)/25)*Calculateur!AQ88*Calculateur!AS88*VLOOKUP('Données projet'!$B$10,Paramètres!$A$1:$I$89,3,0)*0.475*44/12</f>
        <v>50.625965041314259</v>
      </c>
      <c r="AW88" s="21">
        <f>EXP(-LN(2)/2)*AW87+(1-EXP(-LN(2)/2))/(LN(2)/2)*AQ88*AT88*VLOOKUP('Données projet'!$B$10,Paramètres!$A$1:$I$89,3,0)*0.475*44/12</f>
        <v>4.0361849663030682</v>
      </c>
      <c r="AX88" s="21">
        <f t="shared" si="60"/>
        <v>215.34267337875539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301.73902200000055</v>
      </c>
      <c r="BF88" s="13">
        <f t="shared" si="91"/>
        <v>71.540906554302211</v>
      </c>
      <c r="BG88" s="20">
        <f t="shared" si="61"/>
        <v>650.12920889874385</v>
      </c>
      <c r="BH88" s="58">
        <f t="shared" si="62"/>
        <v>935.17819319005639</v>
      </c>
      <c r="BI88" s="58">
        <f ca="1">AVERAGE(OFFSET($BH$3,0,0,'Données projet'!$E$11+1,1))-AVERAGE(OFFSET($H$3,0,0,'Données projet'!$E$11+1,1))</f>
        <v>724.99760740673071</v>
      </c>
      <c r="BJ88" s="58">
        <f t="shared" si="92"/>
        <v>318.24184272438208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24.211999178994084</v>
      </c>
      <c r="BQ88" s="21">
        <f>EXP(-LN(2)/25)*BQ87+(1-EXP(-LN(2)/25))/(LN(2)/25)*Calculateur!BL88*Calculateur!BN88*VLOOKUP('Données projet'!$B$11,Paramètres!$A$1:$I$89,3,0)*0.475*44/12</f>
        <v>32.241906213787985</v>
      </c>
      <c r="BR88" s="21">
        <f>EXP(-LN(2)/2)*BR87+(1-EXP(-LN(2)/2))/(LN(2)/2)*BL88*BO88*VLOOKUP('Données projet'!$B$11,Paramètres!$A$1:$I$89,3,0)*0.475*44/12</f>
        <v>4.6281387740899183</v>
      </c>
      <c r="BS88" s="22">
        <f t="shared" si="63"/>
        <v>61.082044166871988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9.1730000000000018</v>
      </c>
      <c r="BY88" s="12">
        <f>IF('Données projet'!$A$114&gt;35,BY87+BX88-CG87,IF(A88&lt;'Données projet'!$A$114,$BV$205^A88,IF(A88='Données projet'!$A$114,'Données projet'!$B$114,BY87+BX88-CG87)))</f>
        <v>297.57300000000049</v>
      </c>
      <c r="BZ88" s="13">
        <f>BY88*VLOOKUP('Données projet'!$B$12,Paramètres!$A$1:$I$89,3,0)*VLOOKUP('Données projet'!$B$12,Paramètres!$A$1:$I$89,5,0)</f>
        <v>283.17046680000044</v>
      </c>
      <c r="CA88" s="13">
        <f t="shared" si="93"/>
        <v>67.63657996563542</v>
      </c>
      <c r="CB88" s="20">
        <f t="shared" si="64"/>
        <v>610.98893978348235</v>
      </c>
      <c r="CC88" s="58">
        <f t="shared" si="65"/>
        <v>896.037924074795</v>
      </c>
      <c r="CD88" s="58">
        <f ca="1">AVERAGE(OFFSET($CC$3,0,0,'Données projet'!$E$12+1,1))-AVERAGE(OFFSET($H$3,0,0,'Données projet'!$E$12+1,1))</f>
        <v>684.45757350513315</v>
      </c>
      <c r="CE88" s="58">
        <f t="shared" si="94"/>
        <v>301.78148341369194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22.722029998748287</v>
      </c>
      <c r="CL88" s="21">
        <f>EXP(-LN(2)/25)*CL87+(1-EXP(-LN(2)/25))/(LN(2)/25)*Calculateur!CG88*Calculateur!CI88*VLOOKUP('Données projet'!$B$12,Paramètres!$A$1:$I$89,3,0)*0.475*44/12</f>
        <v>30.257788908324102</v>
      </c>
      <c r="CM88" s="21">
        <f>EXP(-LN(2)/2)*CM87+(1-EXP(-LN(2)/2))/(LN(2)/2)*CG88*CJ88*VLOOKUP('Données projet'!$B$12,Paramètres!$A$1:$I$89,3,0)*0.475*44/12</f>
        <v>4.343330234145923</v>
      </c>
      <c r="CN88" s="22">
        <f t="shared" si="66"/>
        <v>57.323149141218309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8" t="e">
        <f t="shared" si="68"/>
        <v>#N/A</v>
      </c>
      <c r="CY88" s="58" t="e">
        <f ca="1">AVERAGE(OFFSET($CX$3,0,0,'Données projet'!$E$13+1,1))-AVERAGE(OFFSET($H$3,0,0,'Données projet'!$E$13+1,1))</f>
        <v>#N/A</v>
      </c>
      <c r="CZ88" s="58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8" t="e">
        <f t="shared" si="71"/>
        <v>#N/A</v>
      </c>
      <c r="DT88" s="58" t="e">
        <f ca="1">AVERAGE(OFFSET($DS$3,0,0,'Données projet'!$E$14+1,1))-AVERAGE(OFFSET($H$3,0,0,'Données projet'!$E$14+1,1))</f>
        <v>#N/A</v>
      </c>
      <c r="DU88" s="58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8" t="e">
        <f t="shared" si="74"/>
        <v>#N/A</v>
      </c>
      <c r="EO88" s="58" t="e">
        <f ca="1">AVERAGE(OFFSET($EN$3,0,0,'Données projet'!$E$15+1,1))-AVERAGE(OFFSET($H$3,0,0,'Données projet'!$E$15+1,1))</f>
        <v>#N/A</v>
      </c>
      <c r="EP88" s="58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8" t="e">
        <f t="shared" si="77"/>
        <v>#N/A</v>
      </c>
      <c r="FJ88" s="58" t="e">
        <f ca="1">AVERAGE(OFFSET($FI$3,0,0,'Données projet'!$E$16+1,1))-AVERAGE(OFFSET($H$3,0,0,'Données projet'!$E$16+1,1))</f>
        <v>#N/A</v>
      </c>
      <c r="FK88" s="58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8" t="e">
        <f t="shared" si="80"/>
        <v>#N/A</v>
      </c>
      <c r="GE88" s="58" t="e">
        <f ca="1">AVERAGE(OFFSET($GD$3,0,0,'Données projet'!$E$17+1,1))-AVERAGE(OFFSET($H$3,0,0,'Données projet'!$E$17+1,1))</f>
        <v>#N/A</v>
      </c>
      <c r="GF88" s="58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67.740632079448886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8" t="e">
        <f t="shared" si="83"/>
        <v>#N/A</v>
      </c>
      <c r="GZ88" s="58" t="e">
        <f ca="1">AVERAGE(OFFSET($GY$3,0,0,'Données projet'!$E$18+1,1))-AVERAGE(OFFSET($H$3,0,0,'Données projet'!$E$18+1,1))</f>
        <v>#N/A</v>
      </c>
      <c r="HA88" s="58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2">
        <f>'Scénario référence'!$B$16*5+'Scénario référence'!$B$17*0+'Scénario référence'!$B$18*5</f>
        <v>2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7.333333333333333</v>
      </c>
      <c r="H89" s="66">
        <f t="shared" si="56"/>
        <v>227.33333333333334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9.1730000000000018</v>
      </c>
      <c r="N89" s="13">
        <f>IF('Données projet'!$A$36&gt;35,N88+M89-V88,IF(A89&lt;'Données projet'!$A$36,$K$205^A89,IF(A89='Données projet'!$A$36,'Données projet'!$B$36,N88+M89-V88)))</f>
        <v>306.74600000000049</v>
      </c>
      <c r="O89" s="13">
        <f>N89*VLOOKUP('Données projet'!$B$9,Paramètres!$A$1:$I$89,3,0)*VLOOKUP('Données projet'!$B$9,Paramètres!$A$1:$I$89,5,0)</f>
        <v>277.54378080000043</v>
      </c>
      <c r="P89" s="13">
        <f t="shared" si="87"/>
        <v>66.447673279805883</v>
      </c>
      <c r="Q89" s="20">
        <f t="shared" si="54"/>
        <v>599.11844918899601</v>
      </c>
      <c r="R89" s="58">
        <f t="shared" si="55"/>
        <v>884.31114841515796</v>
      </c>
      <c r="S89" s="58">
        <f ca="1">AVERAGE(OFFSET($R$3,0,0,'Données projet'!$E$9+1,1))-AVERAGE(OFFSET($H$3,0,0,'Données projet'!$E$9+1,1))</f>
        <v>654.0179680178212</v>
      </c>
      <c r="T89" s="58">
        <f t="shared" si="88"/>
        <v>289.42065570013369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21.180901004483189</v>
      </c>
      <c r="AA89" s="21">
        <f>EXP(-LN(2)/25)*AA88+(1-EXP(-LN(2)/25))/(LN(2)/25)*Calculateur!V89*Calculateur!X89*VLOOKUP('Données projet'!$B$9,Paramètres!$A$1:$I$89,3,0)*0.475*44/12</f>
        <v>27.982991944383691</v>
      </c>
      <c r="AB89" s="21">
        <f>EXP(-LN(2)/2)*AB88+(1-EXP(-LN(2)/2))/(LN(2)/2)*V89*Y89*VLOOKUP('Données projet'!$B$9,Paramètres!$A$1:$I$89,3,0)*0.475*44/12</f>
        <v>2.9201557240464586</v>
      </c>
      <c r="AC89" s="22">
        <f t="shared" si="57"/>
        <v>52.08404867291334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8">
        <f t="shared" si="59"/>
        <v>285.19269922616871</v>
      </c>
      <c r="AN89" s="58">
        <f ca="1">AVERAGE(OFFSET($AM$3,0,0,'Données projet'!$E$10+1,1))-AVERAGE(OFFSET($H$3,0,0,'Données projet'!$E$10+1,1))</f>
        <v>447.44638185108147</v>
      </c>
      <c r="AO89" s="58">
        <f t="shared" si="90"/>
        <v>384.84260115068605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157.52967631327206</v>
      </c>
      <c r="AV89" s="21">
        <f>EXP(-LN(2)/25)*AV88+(1-EXP(-LN(2)/25))/(LN(2)/25)*Calculateur!AQ89*Calculateur!AS89*VLOOKUP('Données projet'!$B$10,Paramètres!$A$1:$I$89,3,0)*0.475*44/12</f>
        <v>49.241595364955728</v>
      </c>
      <c r="AW89" s="21">
        <f>EXP(-LN(2)/2)*AW88+(1-EXP(-LN(2)/2))/(LN(2)/2)*AQ89*AT89*VLOOKUP('Données projet'!$B$10,Paramètres!$A$1:$I$89,3,0)*0.475*44/12</f>
        <v>2.8540137597960964</v>
      </c>
      <c r="AX89" s="21">
        <f t="shared" si="60"/>
        <v>209.62528543802387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311.04044400000055</v>
      </c>
      <c r="BF89" s="13">
        <f t="shared" si="91"/>
        <v>73.486073899132336</v>
      </c>
      <c r="BG89" s="20">
        <f t="shared" si="61"/>
        <v>669.71701867432307</v>
      </c>
      <c r="BH89" s="58">
        <f t="shared" si="62"/>
        <v>954.90971790048502</v>
      </c>
      <c r="BI89" s="58">
        <f ca="1">AVERAGE(OFFSET($BH$3,0,0,'Données projet'!$E$11+1,1))-AVERAGE(OFFSET($H$3,0,0,'Données projet'!$E$11+1,1))</f>
        <v>724.99760740673071</v>
      </c>
      <c r="BJ89" s="58">
        <f t="shared" si="92"/>
        <v>318.24184272438208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23.737216642955303</v>
      </c>
      <c r="BQ89" s="21">
        <f>EXP(-LN(2)/25)*BQ88+(1-EXP(-LN(2)/25))/(LN(2)/25)*Calculateur!BL89*Calculateur!BN89*VLOOKUP('Données projet'!$B$11,Paramètres!$A$1:$I$89,3,0)*0.475*44/12</f>
        <v>31.360249592843793</v>
      </c>
      <c r="BR89" s="21">
        <f>EXP(-LN(2)/2)*BR88+(1-EXP(-LN(2)/2))/(LN(2)/2)*BL89*BO89*VLOOKUP('Données projet'!$B$11,Paramètres!$A$1:$I$89,3,0)*0.475*44/12</f>
        <v>3.2725883114313765</v>
      </c>
      <c r="BS89" s="22">
        <f t="shared" si="63"/>
        <v>58.370054547230474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9.1730000000000018</v>
      </c>
      <c r="BY89" s="12">
        <f>IF('Données projet'!$A$114&gt;35,BY88+BX89-CG88,IF(A89&lt;'Données projet'!$A$114,$BV$205^A89,IF(A89='Données projet'!$A$114,'Données projet'!$B$114,BY88+BX89-CG88)))</f>
        <v>306.74600000000049</v>
      </c>
      <c r="BZ89" s="13">
        <f>BY89*VLOOKUP('Données projet'!$B$12,Paramètres!$A$1:$I$89,3,0)*VLOOKUP('Données projet'!$B$12,Paramètres!$A$1:$I$89,5,0)</f>
        <v>291.89949360000043</v>
      </c>
      <c r="CA89" s="13">
        <f t="shared" si="93"/>
        <v>69.475590302543566</v>
      </c>
      <c r="CB89" s="20">
        <f t="shared" si="64"/>
        <v>629.39493779693078</v>
      </c>
      <c r="CC89" s="58">
        <f t="shared" si="65"/>
        <v>914.58763702309261</v>
      </c>
      <c r="CD89" s="58">
        <f ca="1">AVERAGE(OFFSET($CC$3,0,0,'Données projet'!$E$12+1,1))-AVERAGE(OFFSET($H$3,0,0,'Données projet'!$E$12+1,1))</f>
        <v>684.45757350513315</v>
      </c>
      <c r="CE89" s="58">
        <f t="shared" si="94"/>
        <v>301.78148341369194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22.276464849542663</v>
      </c>
      <c r="CL89" s="21">
        <f>EXP(-LN(2)/25)*CL88+(1-EXP(-LN(2)/25))/(LN(2)/25)*Calculateur!CG89*Calculateur!CI89*VLOOKUP('Données projet'!$B$12,Paramètres!$A$1:$I$89,3,0)*0.475*44/12</f>
        <v>29.430388079438014</v>
      </c>
      <c r="CM89" s="21">
        <f>EXP(-LN(2)/2)*CM88+(1-EXP(-LN(2)/2))/(LN(2)/2)*CG89*CJ89*VLOOKUP('Données projet'!$B$12,Paramètres!$A$1:$I$89,3,0)*0.475*44/12</f>
        <v>3.0711982614971376</v>
      </c>
      <c r="CN89" s="22">
        <f t="shared" si="66"/>
        <v>54.778051190477818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8" t="e">
        <f t="shared" si="68"/>
        <v>#N/A</v>
      </c>
      <c r="CY89" s="58" t="e">
        <f ca="1">AVERAGE(OFFSET($CX$3,0,0,'Données projet'!$E$13+1,1))-AVERAGE(OFFSET($H$3,0,0,'Données projet'!$E$13+1,1))</f>
        <v>#N/A</v>
      </c>
      <c r="CZ89" s="58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8" t="e">
        <f t="shared" si="71"/>
        <v>#N/A</v>
      </c>
      <c r="DT89" s="58" t="e">
        <f ca="1">AVERAGE(OFFSET($DS$3,0,0,'Données projet'!$E$14+1,1))-AVERAGE(OFFSET($H$3,0,0,'Données projet'!$E$14+1,1))</f>
        <v>#N/A</v>
      </c>
      <c r="DU89" s="58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8" t="e">
        <f t="shared" si="74"/>
        <v>#N/A</v>
      </c>
      <c r="EO89" s="58" t="e">
        <f ca="1">AVERAGE(OFFSET($EN$3,0,0,'Données projet'!$E$15+1,1))-AVERAGE(OFFSET($H$3,0,0,'Données projet'!$E$15+1,1))</f>
        <v>#N/A</v>
      </c>
      <c r="EP89" s="58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8" t="e">
        <f t="shared" si="77"/>
        <v>#N/A</v>
      </c>
      <c r="FJ89" s="58" t="e">
        <f ca="1">AVERAGE(OFFSET($FI$3,0,0,'Données projet'!$E$16+1,1))-AVERAGE(OFFSET($H$3,0,0,'Données projet'!$E$16+1,1))</f>
        <v>#N/A</v>
      </c>
      <c r="FK89" s="58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8" t="e">
        <f t="shared" si="80"/>
        <v>#N/A</v>
      </c>
      <c r="GE89" s="58" t="e">
        <f ca="1">AVERAGE(OFFSET($GD$3,0,0,'Données projet'!$E$17+1,1))-AVERAGE(OFFSET($H$3,0,0,'Données projet'!$E$17+1,1))</f>
        <v>#N/A</v>
      </c>
      <c r="GF89" s="58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67.779827061680507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8" t="e">
        <f t="shared" si="83"/>
        <v>#N/A</v>
      </c>
      <c r="GZ89" s="58" t="e">
        <f ca="1">AVERAGE(OFFSET($GY$3,0,0,'Données projet'!$E$18+1,1))-AVERAGE(OFFSET($H$3,0,0,'Données projet'!$E$18+1,1))</f>
        <v>#N/A</v>
      </c>
      <c r="HA89" s="58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2">
        <f>'Scénario référence'!$B$16*5+'Scénario référence'!$B$17*0+'Scénario référence'!$B$18*5</f>
        <v>2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7.333333333333333</v>
      </c>
      <c r="H90" s="66">
        <f t="shared" si="56"/>
        <v>227.33333333333334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9.1730000000000018</v>
      </c>
      <c r="N90" s="13">
        <f>IF('Données projet'!$A$36&gt;35,N89+M90-V89,IF(A90&lt;'Données projet'!$A$36,$K$205^A90,IF(A90='Données projet'!$A$36,'Données projet'!$B$36,N89+M90-V89)))</f>
        <v>315.91900000000049</v>
      </c>
      <c r="O90" s="13">
        <f>N90*VLOOKUP('Données projet'!$B$9,Paramètres!$A$1:$I$89,3,0)*VLOOKUP('Données projet'!$B$9,Paramètres!$A$1:$I$89,5,0)</f>
        <v>285.84351120000042</v>
      </c>
      <c r="P90" s="13">
        <f t="shared" si="87"/>
        <v>68.200422369637309</v>
      </c>
      <c r="Q90" s="20">
        <f t="shared" si="54"/>
        <v>616.62651763378562</v>
      </c>
      <c r="R90" s="58">
        <f t="shared" si="55"/>
        <v>901.96043866197556</v>
      </c>
      <c r="S90" s="58">
        <f ca="1">AVERAGE(OFFSET($R$3,0,0,'Données projet'!$E$9+1,1))-AVERAGE(OFFSET($H$3,0,0,'Données projet'!$E$9+1,1))</f>
        <v>654.0179680178212</v>
      </c>
      <c r="T90" s="58">
        <f t="shared" si="88"/>
        <v>289.42065570013369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20.765556454859233</v>
      </c>
      <c r="AA90" s="21">
        <f>EXP(-LN(2)/25)*AA89+(1-EXP(-LN(2)/25))/(LN(2)/25)*Calculateur!V90*Calculateur!X90*VLOOKUP('Données projet'!$B$9,Paramètres!$A$1:$I$89,3,0)*0.475*44/12</f>
        <v>27.217795558102928</v>
      </c>
      <c r="AB90" s="21">
        <f>EXP(-LN(2)/2)*AB89+(1-EXP(-LN(2)/2))/(LN(2)/2)*V90*Y90*VLOOKUP('Données projet'!$B$9,Paramètres!$A$1:$I$89,3,0)*0.475*44/12</f>
        <v>2.0648619145939637</v>
      </c>
      <c r="AC90" s="22">
        <f t="shared" si="57"/>
        <v>50.04821392755612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8">
        <f t="shared" si="59"/>
        <v>285.33392102819676</v>
      </c>
      <c r="AN90" s="58">
        <f ca="1">AVERAGE(OFFSET($AM$3,0,0,'Données projet'!$E$10+1,1))-AVERAGE(OFFSET($H$3,0,0,'Données projet'!$E$10+1,1))</f>
        <v>447.44638185108147</v>
      </c>
      <c r="AO90" s="58">
        <f t="shared" si="90"/>
        <v>384.84260115068605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154.44061544438387</v>
      </c>
      <c r="AV90" s="21">
        <f>EXP(-LN(2)/25)*AV89+(1-EXP(-LN(2)/25))/(LN(2)/25)*Calculateur!AQ90*Calculateur!AS90*VLOOKUP('Données projet'!$B$10,Paramètres!$A$1:$I$89,3,0)*0.475*44/12</f>
        <v>47.895081350198055</v>
      </c>
      <c r="AW90" s="21">
        <f>EXP(-LN(2)/2)*AW89+(1-EXP(-LN(2)/2))/(LN(2)/2)*AQ90*AT90*VLOOKUP('Données projet'!$B$10,Paramètres!$A$1:$I$89,3,0)*0.475*44/12</f>
        <v>2.0180924831515341</v>
      </c>
      <c r="AX90" s="21">
        <f t="shared" si="60"/>
        <v>204.35378927773343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320.34186600000049</v>
      </c>
      <c r="BF90" s="13">
        <f t="shared" si="91"/>
        <v>75.424481111671</v>
      </c>
      <c r="BG90" s="20">
        <f t="shared" si="61"/>
        <v>689.29305455282781</v>
      </c>
      <c r="BH90" s="58">
        <f t="shared" si="62"/>
        <v>974.62697558101775</v>
      </c>
      <c r="BI90" s="58">
        <f ca="1">AVERAGE(OFFSET($BH$3,0,0,'Données projet'!$E$11+1,1))-AVERAGE(OFFSET($H$3,0,0,'Données projet'!$E$11+1,1))</f>
        <v>724.99760740673071</v>
      </c>
      <c r="BJ90" s="58">
        <f t="shared" si="92"/>
        <v>318.24184272438208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23.271744302859492</v>
      </c>
      <c r="BQ90" s="21">
        <f>EXP(-LN(2)/25)*BQ89+(1-EXP(-LN(2)/25))/(LN(2)/25)*Calculateur!BL90*Calculateur!BN90*VLOOKUP('Données projet'!$B$11,Paramètres!$A$1:$I$89,3,0)*0.475*44/12</f>
        <v>30.502701918563627</v>
      </c>
      <c r="BR90" s="21">
        <f>EXP(-LN(2)/2)*BR89+(1-EXP(-LN(2)/2))/(LN(2)/2)*BL90*BO90*VLOOKUP('Données projet'!$B$11,Paramètres!$A$1:$I$89,3,0)*0.475*44/12</f>
        <v>2.3140693870449596</v>
      </c>
      <c r="BS90" s="22">
        <f t="shared" si="63"/>
        <v>56.088515608468079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9.1730000000000018</v>
      </c>
      <c r="BY90" s="12">
        <f>IF('Données projet'!$A$114&gt;35,BY89+BX90-CG89,IF(A90&lt;'Données projet'!$A$114,$BV$205^A90,IF(A90='Données projet'!$A$114,'Données projet'!$B$114,BY89+BX90-CG89)))</f>
        <v>315.91900000000049</v>
      </c>
      <c r="BZ90" s="13">
        <f>BY90*VLOOKUP('Données projet'!$B$12,Paramètres!$A$1:$I$89,3,0)*VLOOKUP('Données projet'!$B$12,Paramètres!$A$1:$I$89,5,0)</f>
        <v>300.62852040000047</v>
      </c>
      <c r="CA90" s="13">
        <f t="shared" si="93"/>
        <v>71.308209439642781</v>
      </c>
      <c r="CB90" s="20">
        <f t="shared" si="64"/>
        <v>647.78980447071194</v>
      </c>
      <c r="CC90" s="58">
        <f t="shared" si="65"/>
        <v>933.12372549890188</v>
      </c>
      <c r="CD90" s="58">
        <f ca="1">AVERAGE(OFFSET($CC$3,0,0,'Données projet'!$E$12+1,1))-AVERAGE(OFFSET($H$3,0,0,'Données projet'!$E$12+1,1))</f>
        <v>684.45757350513315</v>
      </c>
      <c r="CE90" s="58">
        <f t="shared" si="94"/>
        <v>301.78148341369194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21.839636961145054</v>
      </c>
      <c r="CL90" s="21">
        <f>EXP(-LN(2)/25)*CL89+(1-EXP(-LN(2)/25))/(LN(2)/25)*Calculateur!CG90*Calculateur!CI90*VLOOKUP('Données projet'!$B$12,Paramètres!$A$1:$I$89,3,0)*0.475*44/12</f>
        <v>28.625612569728936</v>
      </c>
      <c r="CM90" s="21">
        <f>EXP(-LN(2)/2)*CM89+(1-EXP(-LN(2)/2))/(LN(2)/2)*CG90*CJ90*VLOOKUP('Données projet'!$B$12,Paramètres!$A$1:$I$89,3,0)*0.475*44/12</f>
        <v>2.1716651170729619</v>
      </c>
      <c r="CN90" s="22">
        <f t="shared" si="66"/>
        <v>52.636914647946952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8" t="e">
        <f t="shared" si="68"/>
        <v>#N/A</v>
      </c>
      <c r="CY90" s="58" t="e">
        <f ca="1">AVERAGE(OFFSET($CX$3,0,0,'Données projet'!$E$13+1,1))-AVERAGE(OFFSET($H$3,0,0,'Données projet'!$E$13+1,1))</f>
        <v>#N/A</v>
      </c>
      <c r="CZ90" s="58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8" t="e">
        <f t="shared" si="71"/>
        <v>#N/A</v>
      </c>
      <c r="DT90" s="58" t="e">
        <f ca="1">AVERAGE(OFFSET($DS$3,0,0,'Données projet'!$E$14+1,1))-AVERAGE(OFFSET($H$3,0,0,'Données projet'!$E$14+1,1))</f>
        <v>#N/A</v>
      </c>
      <c r="DU90" s="58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8" t="e">
        <f t="shared" si="74"/>
        <v>#N/A</v>
      </c>
      <c r="EO90" s="58" t="e">
        <f ca="1">AVERAGE(OFFSET($EN$3,0,0,'Données projet'!$E$15+1,1))-AVERAGE(OFFSET($H$3,0,0,'Données projet'!$E$15+1,1))</f>
        <v>#N/A</v>
      </c>
      <c r="EP90" s="58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8" t="e">
        <f t="shared" si="77"/>
        <v>#N/A</v>
      </c>
      <c r="FJ90" s="58" t="e">
        <f ca="1">AVERAGE(OFFSET($FI$3,0,0,'Données projet'!$E$16+1,1))-AVERAGE(OFFSET($H$3,0,0,'Données projet'!$E$16+1,1))</f>
        <v>#N/A</v>
      </c>
      <c r="FK90" s="58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8" t="e">
        <f t="shared" si="80"/>
        <v>#N/A</v>
      </c>
      <c r="GE90" s="58" t="e">
        <f ca="1">AVERAGE(OFFSET($GD$3,0,0,'Données projet'!$E$17+1,1))-AVERAGE(OFFSET($H$3,0,0,'Données projet'!$E$17+1,1))</f>
        <v>#N/A</v>
      </c>
      <c r="GF90" s="58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67.818342098597256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8" t="e">
        <f t="shared" si="83"/>
        <v>#N/A</v>
      </c>
      <c r="GZ90" s="58" t="e">
        <f ca="1">AVERAGE(OFFSET($GY$3,0,0,'Données projet'!$E$18+1,1))-AVERAGE(OFFSET($H$3,0,0,'Données projet'!$E$18+1,1))</f>
        <v>#N/A</v>
      </c>
      <c r="HA90" s="58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2">
        <f>'Scénario référence'!$B$16*5+'Scénario référence'!$B$17*0+'Scénario référence'!$B$18*5</f>
        <v>2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7.333333333333333</v>
      </c>
      <c r="H91" s="66">
        <f t="shared" si="56"/>
        <v>227.33333333333334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9.1730000000000018</v>
      </c>
      <c r="N91" s="13">
        <f>IF('Données projet'!$A$36&gt;35,N90+M91-V90,IF(A91&lt;'Données projet'!$A$36,$K$205^A91,IF(A91='Données projet'!$A$36,'Données projet'!$B$36,N90+M91-V90)))</f>
        <v>325.0920000000005</v>
      </c>
      <c r="O91" s="13">
        <f>N91*VLOOKUP('Données projet'!$B$9,Paramètres!$A$1:$I$89,3,0)*VLOOKUP('Données projet'!$B$9,Paramètres!$A$1:$I$89,5,0)</f>
        <v>294.14324160000047</v>
      </c>
      <c r="P91" s="13">
        <f t="shared" si="87"/>
        <v>69.947256671789191</v>
      </c>
      <c r="Q91" s="20">
        <f t="shared" si="54"/>
        <v>634.12428449003357</v>
      </c>
      <c r="R91" s="58">
        <f t="shared" si="55"/>
        <v>919.59697743771108</v>
      </c>
      <c r="S91" s="58">
        <f ca="1">AVERAGE(OFFSET($R$3,0,0,'Données projet'!$E$9+1,1))-AVERAGE(OFFSET($H$3,0,0,'Données projet'!$E$9+1,1))</f>
        <v>654.0179680178212</v>
      </c>
      <c r="T91" s="58">
        <f t="shared" si="88"/>
        <v>289.42065570013369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20.358356558518242</v>
      </c>
      <c r="AA91" s="21">
        <f>EXP(-LN(2)/25)*AA90+(1-EXP(-LN(2)/25))/(LN(2)/25)*Calculateur!V91*Calculateur!X91*VLOOKUP('Données projet'!$B$9,Paramètres!$A$1:$I$89,3,0)*0.475*44/12</f>
        <v>26.473523507244941</v>
      </c>
      <c r="AB91" s="21">
        <f>EXP(-LN(2)/2)*AB90+(1-EXP(-LN(2)/2))/(LN(2)/2)*V91*Y91*VLOOKUP('Données projet'!$B$9,Paramètres!$A$1:$I$89,3,0)*0.475*44/12</f>
        <v>1.4600778620232295</v>
      </c>
      <c r="AC91" s="22">
        <f t="shared" si="57"/>
        <v>48.291957927786413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8">
        <f t="shared" si="59"/>
        <v>285.47269294768432</v>
      </c>
      <c r="AN91" s="58">
        <f ca="1">AVERAGE(OFFSET($AM$3,0,0,'Données projet'!$E$10+1,1))-AVERAGE(OFFSET($H$3,0,0,'Données projet'!$E$10+1,1))</f>
        <v>447.44638185108147</v>
      </c>
      <c r="AO91" s="58">
        <f t="shared" si="90"/>
        <v>384.84260115068605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151.41212917499348</v>
      </c>
      <c r="AV91" s="21">
        <f>EXP(-LN(2)/25)*AV90+(1-EXP(-LN(2)/25))/(LN(2)/25)*Calculateur!AQ91*Calculateur!AS91*VLOOKUP('Données projet'!$B$10,Paramètres!$A$1:$I$89,3,0)*0.475*44/12</f>
        <v>46.585387831984029</v>
      </c>
      <c r="AW91" s="21">
        <f>EXP(-LN(2)/2)*AW90+(1-EXP(-LN(2)/2))/(LN(2)/2)*AQ91*AT91*VLOOKUP('Données projet'!$B$10,Paramètres!$A$1:$I$89,3,0)*0.475*44/12</f>
        <v>1.4270068798980482</v>
      </c>
      <c r="AX91" s="21">
        <f t="shared" si="60"/>
        <v>199.42452388687556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329.64328800000055</v>
      </c>
      <c r="BF91" s="13">
        <f t="shared" si="91"/>
        <v>77.356347018802538</v>
      </c>
      <c r="BG91" s="20">
        <f t="shared" si="61"/>
        <v>708.85769765774864</v>
      </c>
      <c r="BH91" s="58">
        <f t="shared" si="62"/>
        <v>994.33039060542615</v>
      </c>
      <c r="BI91" s="58">
        <f ca="1">AVERAGE(OFFSET($BH$3,0,0,'Données projet'!$E$11+1,1))-AVERAGE(OFFSET($H$3,0,0,'Données projet'!$E$11+1,1))</f>
        <v>724.99760740673071</v>
      </c>
      <c r="BJ91" s="58">
        <f t="shared" si="92"/>
        <v>318.24184272438208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22.815399591442866</v>
      </c>
      <c r="BQ91" s="21">
        <f>EXP(-LN(2)/25)*BQ90+(1-EXP(-LN(2)/25))/(LN(2)/25)*Calculateur!BL91*Calculateur!BN91*VLOOKUP('Données projet'!$B$11,Paramètres!$A$1:$I$89,3,0)*0.475*44/12</f>
        <v>29.668603930533127</v>
      </c>
      <c r="BR91" s="21">
        <f>EXP(-LN(2)/2)*BR90+(1-EXP(-LN(2)/2))/(LN(2)/2)*BL91*BO91*VLOOKUP('Données projet'!$B$11,Paramètres!$A$1:$I$89,3,0)*0.475*44/12</f>
        <v>1.6362941557156885</v>
      </c>
      <c r="BS91" s="22">
        <f t="shared" si="63"/>
        <v>54.120297677691681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9.1730000000000018</v>
      </c>
      <c r="BY91" s="12">
        <f>IF('Données projet'!$A$114&gt;35,BY90+BX91-CG90,IF(A91&lt;'Données projet'!$A$114,$BV$205^A91,IF(A91='Données projet'!$A$114,'Données projet'!$B$114,BY90+BX91-CG90)))</f>
        <v>325.0920000000005</v>
      </c>
      <c r="BZ91" s="13">
        <f>BY91*VLOOKUP('Données projet'!$B$12,Paramètres!$A$1:$I$89,3,0)*VLOOKUP('Données projet'!$B$12,Paramètres!$A$1:$I$89,5,0)</f>
        <v>309.35754720000051</v>
      </c>
      <c r="CA91" s="13">
        <f t="shared" si="93"/>
        <v>73.134644261396232</v>
      </c>
      <c r="CB91" s="20">
        <f t="shared" si="64"/>
        <v>666.17390012859926</v>
      </c>
      <c r="CC91" s="58">
        <f t="shared" si="65"/>
        <v>951.64659307627676</v>
      </c>
      <c r="CD91" s="58">
        <f ca="1">AVERAGE(OFFSET($CC$3,0,0,'Données projet'!$E$12+1,1))-AVERAGE(OFFSET($H$3,0,0,'Données projet'!$E$12+1,1))</f>
        <v>684.45757350513315</v>
      </c>
      <c r="CE91" s="58">
        <f t="shared" si="94"/>
        <v>301.78148341369194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21.41137500120022</v>
      </c>
      <c r="CL91" s="21">
        <f>EXP(-LN(2)/25)*CL90+(1-EXP(-LN(2)/25))/(LN(2)/25)*Calculateur!CG91*Calculateur!CI91*VLOOKUP('Données projet'!$B$12,Paramètres!$A$1:$I$89,3,0)*0.475*44/12</f>
        <v>27.84284368865416</v>
      </c>
      <c r="CM91" s="21">
        <f>EXP(-LN(2)/2)*CM90+(1-EXP(-LN(2)/2))/(LN(2)/2)*CG91*CJ91*VLOOKUP('Données projet'!$B$12,Paramètres!$A$1:$I$89,3,0)*0.475*44/12</f>
        <v>1.535599130748569</v>
      </c>
      <c r="CN91" s="22">
        <f t="shared" si="66"/>
        <v>50.789817820602956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8" t="e">
        <f t="shared" si="68"/>
        <v>#N/A</v>
      </c>
      <c r="CY91" s="58" t="e">
        <f ca="1">AVERAGE(OFFSET($CX$3,0,0,'Données projet'!$E$13+1,1))-AVERAGE(OFFSET($H$3,0,0,'Données projet'!$E$13+1,1))</f>
        <v>#N/A</v>
      </c>
      <c r="CZ91" s="58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8" t="e">
        <f t="shared" si="71"/>
        <v>#N/A</v>
      </c>
      <c r="DT91" s="58" t="e">
        <f ca="1">AVERAGE(OFFSET($DS$3,0,0,'Données projet'!$E$14+1,1))-AVERAGE(OFFSET($H$3,0,0,'Données projet'!$E$14+1,1))</f>
        <v>#N/A</v>
      </c>
      <c r="DU91" s="58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8" t="e">
        <f t="shared" si="74"/>
        <v>#N/A</v>
      </c>
      <c r="EO91" s="58" t="e">
        <f ca="1">AVERAGE(OFFSET($EN$3,0,0,'Données projet'!$E$15+1,1))-AVERAGE(OFFSET($H$3,0,0,'Données projet'!$E$15+1,1))</f>
        <v>#N/A</v>
      </c>
      <c r="EP91" s="58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8" t="e">
        <f t="shared" si="77"/>
        <v>#N/A</v>
      </c>
      <c r="FJ91" s="58" t="e">
        <f ca="1">AVERAGE(OFFSET($FI$3,0,0,'Données projet'!$E$16+1,1))-AVERAGE(OFFSET($H$3,0,0,'Données projet'!$E$16+1,1))</f>
        <v>#N/A</v>
      </c>
      <c r="FK91" s="58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8" t="e">
        <f t="shared" si="80"/>
        <v>#N/A</v>
      </c>
      <c r="GE91" s="58" t="e">
        <f ca="1">AVERAGE(OFFSET($GD$3,0,0,'Données projet'!$E$17+1,1))-AVERAGE(OFFSET($H$3,0,0,'Données projet'!$E$17+1,1))</f>
        <v>#N/A</v>
      </c>
      <c r="GF91" s="58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67.856188985730228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8" t="e">
        <f t="shared" si="83"/>
        <v>#N/A</v>
      </c>
      <c r="GZ91" s="58" t="e">
        <f ca="1">AVERAGE(OFFSET($GY$3,0,0,'Données projet'!$E$18+1,1))-AVERAGE(OFFSET($H$3,0,0,'Données projet'!$E$18+1,1))</f>
        <v>#N/A</v>
      </c>
      <c r="HA91" s="58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2">
        <f>'Scénario référence'!$B$16*5+'Scénario référence'!$B$17*0+'Scénario référence'!$B$18*5</f>
        <v>2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7.333333333333333</v>
      </c>
      <c r="H92" s="66">
        <f t="shared" si="56"/>
        <v>227.33333333333334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9.1730000000000018</v>
      </c>
      <c r="N92" s="13">
        <f>IF('Données projet'!$A$36&gt;35,N91+M92-V91,IF(A92&lt;'Données projet'!$A$36,$K$205^A92,IF(A92='Données projet'!$A$36,'Données projet'!$B$36,N91+M92-V91)))</f>
        <v>334.2650000000005</v>
      </c>
      <c r="O92" s="13">
        <f>N92*VLOOKUP('Données projet'!$B$9,Paramètres!$A$1:$I$89,3,0)*VLOOKUP('Données projet'!$B$9,Paramètres!$A$1:$I$89,5,0)</f>
        <v>302.44297200000045</v>
      </c>
      <c r="P92" s="13">
        <f t="shared" si="87"/>
        <v>71.688362252626035</v>
      </c>
      <c r="Q92" s="20">
        <f t="shared" si="54"/>
        <v>651.61207382332452</v>
      </c>
      <c r="R92" s="58">
        <f t="shared" si="55"/>
        <v>937.221131307934</v>
      </c>
      <c r="S92" s="58">
        <f ca="1">AVERAGE(OFFSET($R$3,0,0,'Données projet'!$E$9+1,1))-AVERAGE(OFFSET($H$3,0,0,'Données projet'!$E$9+1,1))</f>
        <v>654.0179680178212</v>
      </c>
      <c r="T92" s="58">
        <f t="shared" si="88"/>
        <v>289.42065570013369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19.959141603777088</v>
      </c>
      <c r="AA92" s="21">
        <f>EXP(-LN(2)/25)*AA91+(1-EXP(-LN(2)/25))/(LN(2)/25)*Calculateur!V92*Calculateur!X92*VLOOKUP('Données projet'!$B$9,Paramètres!$A$1:$I$89,3,0)*0.475*44/12</f>
        <v>25.749603614757234</v>
      </c>
      <c r="AB92" s="21">
        <f>EXP(-LN(2)/2)*AB91+(1-EXP(-LN(2)/2))/(LN(2)/2)*V92*Y92*VLOOKUP('Données projet'!$B$9,Paramètres!$A$1:$I$89,3,0)*0.475*44/12</f>
        <v>1.0324309572969819</v>
      </c>
      <c r="AC92" s="22">
        <f t="shared" si="57"/>
        <v>46.741176175831299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8">
        <f t="shared" si="59"/>
        <v>285.60905748461624</v>
      </c>
      <c r="AN92" s="58">
        <f ca="1">AVERAGE(OFFSET($AM$3,0,0,'Données projet'!$E$10+1,1))-AVERAGE(OFFSET($H$3,0,0,'Données projet'!$E$10+1,1))</f>
        <v>447.44638185108147</v>
      </c>
      <c r="AO92" s="58">
        <f t="shared" si="90"/>
        <v>384.84260115068605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148.44302967415163</v>
      </c>
      <c r="AV92" s="21">
        <f>EXP(-LN(2)/25)*AV91+(1-EXP(-LN(2)/25))/(LN(2)/25)*Calculateur!AQ92*Calculateur!AS92*VLOOKUP('Données projet'!$B$10,Paramètres!$A$1:$I$89,3,0)*0.475*44/12</f>
        <v>45.311507951899351</v>
      </c>
      <c r="AW92" s="21">
        <f>EXP(-LN(2)/2)*AW91+(1-EXP(-LN(2)/2))/(LN(2)/2)*AQ92*AT92*VLOOKUP('Données projet'!$B$10,Paramètres!$A$1:$I$89,3,0)*0.475*44/12</f>
        <v>1.0090462415757671</v>
      </c>
      <c r="AX92" s="21">
        <f t="shared" si="60"/>
        <v>194.76358386762675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338.9447100000005</v>
      </c>
      <c r="BF92" s="13">
        <f t="shared" si="91"/>
        <v>79.281877395777414</v>
      </c>
      <c r="BG92" s="20">
        <f t="shared" si="61"/>
        <v>728.41130638097991</v>
      </c>
      <c r="BH92" s="58">
        <f t="shared" si="62"/>
        <v>1014.0203638655894</v>
      </c>
      <c r="BI92" s="58">
        <f ca="1">AVERAGE(OFFSET($BH$3,0,0,'Données projet'!$E$11+1,1))-AVERAGE(OFFSET($H$3,0,0,'Données projet'!$E$11+1,1))</f>
        <v>724.99760740673071</v>
      </c>
      <c r="BJ92" s="58">
        <f t="shared" si="92"/>
        <v>318.24184272438208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22.368003521474328</v>
      </c>
      <c r="BQ92" s="21">
        <f>EXP(-LN(2)/25)*BQ91+(1-EXP(-LN(2)/25))/(LN(2)/25)*Calculateur!BL92*Calculateur!BN92*VLOOKUP('Données projet'!$B$11,Paramètres!$A$1:$I$89,3,0)*0.475*44/12</f>
        <v>28.857314395848626</v>
      </c>
      <c r="BR92" s="21">
        <f>EXP(-LN(2)/2)*BR91+(1-EXP(-LN(2)/2))/(LN(2)/2)*BL92*BO92*VLOOKUP('Données projet'!$B$11,Paramètres!$A$1:$I$89,3,0)*0.475*44/12</f>
        <v>1.15703469352248</v>
      </c>
      <c r="BS92" s="22">
        <f t="shared" si="63"/>
        <v>52.382352610845437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9.1730000000000018</v>
      </c>
      <c r="BY92" s="12">
        <f>IF('Données projet'!$A$114&gt;35,BY91+BX92-CG91,IF(A92&lt;'Données projet'!$A$114,$BV$205^A92,IF(A92='Données projet'!$A$114,'Données projet'!$B$114,BY91+BX92-CG91)))</f>
        <v>334.2650000000005</v>
      </c>
      <c r="BZ92" s="13">
        <f>BY92*VLOOKUP('Données projet'!$B$12,Paramètres!$A$1:$I$89,3,0)*VLOOKUP('Données projet'!$B$12,Paramètres!$A$1:$I$89,5,0)</f>
        <v>318.0865740000005</v>
      </c>
      <c r="CA92" s="13">
        <f t="shared" si="93"/>
        <v>74.955089312923036</v>
      </c>
      <c r="CB92" s="20">
        <f t="shared" si="64"/>
        <v>684.5475636033417</v>
      </c>
      <c r="CC92" s="58">
        <f t="shared" si="65"/>
        <v>970.15662108795118</v>
      </c>
      <c r="CD92" s="58">
        <f ca="1">AVERAGE(OFFSET($CC$3,0,0,'Données projet'!$E$12+1,1))-AVERAGE(OFFSET($H$3,0,0,'Données projet'!$E$12+1,1))</f>
        <v>684.45757350513315</v>
      </c>
      <c r="CE92" s="58">
        <f t="shared" si="94"/>
        <v>301.78148341369194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20.991510997075903</v>
      </c>
      <c r="CL92" s="21">
        <f>EXP(-LN(2)/25)*CL91+(1-EXP(-LN(2)/25))/(LN(2)/25)*Calculateur!CG92*Calculateur!CI92*VLOOKUP('Données projet'!$B$12,Paramètres!$A$1:$I$89,3,0)*0.475*44/12</f>
        <v>27.081479663796397</v>
      </c>
      <c r="CM92" s="21">
        <f>EXP(-LN(2)/2)*CM91+(1-EXP(-LN(2)/2))/(LN(2)/2)*CG92*CJ92*VLOOKUP('Données projet'!$B$12,Paramètres!$A$1:$I$89,3,0)*0.475*44/12</f>
        <v>1.085832558536481</v>
      </c>
      <c r="CN92" s="22">
        <f t="shared" si="66"/>
        <v>49.158823219408781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8" t="e">
        <f t="shared" si="68"/>
        <v>#N/A</v>
      </c>
      <c r="CY92" s="58" t="e">
        <f ca="1">AVERAGE(OFFSET($CX$3,0,0,'Données projet'!$E$13+1,1))-AVERAGE(OFFSET($H$3,0,0,'Données projet'!$E$13+1,1))</f>
        <v>#N/A</v>
      </c>
      <c r="CZ92" s="58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8" t="e">
        <f t="shared" si="71"/>
        <v>#N/A</v>
      </c>
      <c r="DT92" s="58" t="e">
        <f ca="1">AVERAGE(OFFSET($DS$3,0,0,'Données projet'!$E$14+1,1))-AVERAGE(OFFSET($H$3,0,0,'Données projet'!$E$14+1,1))</f>
        <v>#N/A</v>
      </c>
      <c r="DU92" s="58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8" t="e">
        <f t="shared" si="74"/>
        <v>#N/A</v>
      </c>
      <c r="EO92" s="58" t="e">
        <f ca="1">AVERAGE(OFFSET($EN$3,0,0,'Données projet'!$E$15+1,1))-AVERAGE(OFFSET($H$3,0,0,'Données projet'!$E$15+1,1))</f>
        <v>#N/A</v>
      </c>
      <c r="EP92" s="58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8" t="e">
        <f t="shared" si="77"/>
        <v>#N/A</v>
      </c>
      <c r="FJ92" s="58" t="e">
        <f ca="1">AVERAGE(OFFSET($FI$3,0,0,'Données projet'!$E$16+1,1))-AVERAGE(OFFSET($H$3,0,0,'Données projet'!$E$16+1,1))</f>
        <v>#N/A</v>
      </c>
      <c r="FK92" s="58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8" t="e">
        <f t="shared" si="80"/>
        <v>#N/A</v>
      </c>
      <c r="GE92" s="58" t="e">
        <f ca="1">AVERAGE(OFFSET($GD$3,0,0,'Données projet'!$E$17+1,1))-AVERAGE(OFFSET($H$3,0,0,'Données projet'!$E$17+1,1))</f>
        <v>#N/A</v>
      </c>
      <c r="GF92" s="58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67.893379313984397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8" t="e">
        <f t="shared" si="83"/>
        <v>#N/A</v>
      </c>
      <c r="GZ92" s="58" t="e">
        <f ca="1">AVERAGE(OFFSET($GY$3,0,0,'Données projet'!$E$18+1,1))-AVERAGE(OFFSET($H$3,0,0,'Données projet'!$E$18+1,1))</f>
        <v>#N/A</v>
      </c>
      <c r="HA92" s="58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2">
        <f>'Scénario référence'!$B$16*5+'Scénario référence'!$B$17*0+'Scénario référence'!$B$18*5</f>
        <v>2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7.333333333333333</v>
      </c>
      <c r="H93" s="66">
        <f t="shared" si="56"/>
        <v>227.33333333333334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9.1730000000000018</v>
      </c>
      <c r="N93" s="13">
        <f>IF('Données projet'!$A$36&gt;35,N92+M93-V92,IF(A93&lt;'Données projet'!$A$36,$K$205^A93,IF(A93='Données projet'!$A$36,'Données projet'!$B$36,N92+M93-V92)))</f>
        <v>343.4380000000005</v>
      </c>
      <c r="O93" s="13">
        <f>N93*VLOOKUP('Données projet'!$B$9,Paramètres!$A$1:$I$89,3,0)*VLOOKUP('Données projet'!$B$9,Paramètres!$A$1:$I$89,5,0)</f>
        <v>310.74270240000044</v>
      </c>
      <c r="P93" s="13">
        <f t="shared" si="87"/>
        <v>73.423914385133031</v>
      </c>
      <c r="Q93" s="20">
        <f t="shared" si="54"/>
        <v>669.09019090077402</v>
      </c>
      <c r="R93" s="58">
        <f t="shared" si="55"/>
        <v>954.83324730246511</v>
      </c>
      <c r="S93" s="58">
        <f ca="1">AVERAGE(OFFSET($R$3,0,0,'Données projet'!$E$9+1,1))-AVERAGE(OFFSET($H$3,0,0,'Données projet'!$E$9+1,1))</f>
        <v>654.0179680178212</v>
      </c>
      <c r="T93" s="58">
        <f t="shared" si="88"/>
        <v>289.42065570013369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19.567755010801328</v>
      </c>
      <c r="AA93" s="21">
        <f>EXP(-LN(2)/25)*AA92+(1-EXP(-LN(2)/25))/(LN(2)/25)*Calculateur!V93*Calculateur!X93*VLOOKUP('Données projet'!$B$9,Paramètres!$A$1:$I$89,3,0)*0.475*44/12</f>
        <v>25.045479349798896</v>
      </c>
      <c r="AB93" s="21">
        <f>EXP(-LN(2)/2)*AB92+(1-EXP(-LN(2)/2))/(LN(2)/2)*V93*Y93*VLOOKUP('Données projet'!$B$9,Paramètres!$A$1:$I$89,3,0)*0.475*44/12</f>
        <v>0.73003893101161477</v>
      </c>
      <c r="AC93" s="22">
        <f t="shared" si="57"/>
        <v>45.343273291611837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8">
        <f t="shared" si="59"/>
        <v>285.74305640169791</v>
      </c>
      <c r="AN93" s="58">
        <f ca="1">AVERAGE(OFFSET($AM$3,0,0,'Données projet'!$E$10+1,1))-AVERAGE(OFFSET($H$3,0,0,'Données projet'!$E$10+1,1))</f>
        <v>447.44638185108147</v>
      </c>
      <c r="AO93" s="58">
        <f t="shared" si="90"/>
        <v>384.84260115068605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145.53215240354942</v>
      </c>
      <c r="AV93" s="21">
        <f>EXP(-LN(2)/25)*AV92+(1-EXP(-LN(2)/25))/(LN(2)/25)*Calculateur!AQ93*Calculateur!AS93*VLOOKUP('Données projet'!$B$10,Paramètres!$A$1:$I$89,3,0)*0.475*44/12</f>
        <v>44.07246238412602</v>
      </c>
      <c r="AW93" s="21">
        <f>EXP(-LN(2)/2)*AW92+(1-EXP(-LN(2)/2))/(LN(2)/2)*AQ93*AT93*VLOOKUP('Données projet'!$B$10,Paramètres!$A$1:$I$89,3,0)*0.475*44/12</f>
        <v>0.7135034399490241</v>
      </c>
      <c r="AX93" s="21">
        <f t="shared" si="60"/>
        <v>190.31811822762447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348.24613200000056</v>
      </c>
      <c r="BF93" s="13">
        <f t="shared" si="91"/>
        <v>81.201266081189317</v>
      </c>
      <c r="BG93" s="20">
        <f t="shared" si="61"/>
        <v>747.95421832473903</v>
      </c>
      <c r="BH93" s="58">
        <f t="shared" si="62"/>
        <v>1033.6972747264301</v>
      </c>
      <c r="BI93" s="58">
        <f ca="1">AVERAGE(OFFSET($BH$3,0,0,'Données projet'!$E$11+1,1))-AVERAGE(OFFSET($H$3,0,0,'Données projet'!$E$11+1,1))</f>
        <v>724.99760740673071</v>
      </c>
      <c r="BJ93" s="58">
        <f t="shared" si="92"/>
        <v>318.24184272438208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21.929380615553217</v>
      </c>
      <c r="BQ93" s="21">
        <f>EXP(-LN(2)/25)*BQ92+(1-EXP(-LN(2)/25))/(LN(2)/25)*Calculateur!BL93*Calculateur!BN93*VLOOKUP('Données projet'!$B$11,Paramètres!$A$1:$I$89,3,0)*0.475*44/12</f>
        <v>28.068209616153936</v>
      </c>
      <c r="BR93" s="21">
        <f>EXP(-LN(2)/2)*BR92+(1-EXP(-LN(2)/2))/(LN(2)/2)*BL93*BO93*VLOOKUP('Données projet'!$B$11,Paramètres!$A$1:$I$89,3,0)*0.475*44/12</f>
        <v>0.81814707785784435</v>
      </c>
      <c r="BS93" s="22">
        <f t="shared" si="63"/>
        <v>50.815737309564994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9.1730000000000018</v>
      </c>
      <c r="BY93" s="12">
        <f>IF('Données projet'!$A$114&gt;35,BY92+BX93-CG92,IF(A93&lt;'Données projet'!$A$114,$BV$205^A93,IF(A93='Données projet'!$A$114,'Données projet'!$B$114,BY92+BX93-CG92)))</f>
        <v>343.4380000000005</v>
      </c>
      <c r="BZ93" s="13">
        <f>BY93*VLOOKUP('Données projet'!$B$12,Paramètres!$A$1:$I$89,3,0)*VLOOKUP('Données projet'!$B$12,Paramètres!$A$1:$I$89,5,0)</f>
        <v>326.81560080000048</v>
      </c>
      <c r="CA93" s="13">
        <f t="shared" si="93"/>
        <v>76.769727854125406</v>
      </c>
      <c r="CB93" s="20">
        <f t="shared" si="64"/>
        <v>702.91111407260257</v>
      </c>
      <c r="CC93" s="58">
        <f t="shared" si="65"/>
        <v>988.65417047429366</v>
      </c>
      <c r="CD93" s="58">
        <f ca="1">AVERAGE(OFFSET($CC$3,0,0,'Données projet'!$E$12+1,1))-AVERAGE(OFFSET($H$3,0,0,'Données projet'!$E$12+1,1))</f>
        <v>684.45757350513315</v>
      </c>
      <c r="CE93" s="58">
        <f t="shared" si="94"/>
        <v>301.78148341369194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20.579880269980706</v>
      </c>
      <c r="CL93" s="21">
        <f>EXP(-LN(2)/25)*CL92+(1-EXP(-LN(2)/25))/(LN(2)/25)*Calculateur!CG93*Calculateur!CI93*VLOOKUP('Données projet'!$B$12,Paramètres!$A$1:$I$89,3,0)*0.475*44/12</f>
        <v>26.340935178236766</v>
      </c>
      <c r="CM93" s="21">
        <f>EXP(-LN(2)/2)*CM92+(1-EXP(-LN(2)/2))/(LN(2)/2)*CG93*CJ93*VLOOKUP('Données projet'!$B$12,Paramètres!$A$1:$I$89,3,0)*0.475*44/12</f>
        <v>0.76779956537428451</v>
      </c>
      <c r="CN93" s="22">
        <f t="shared" si="66"/>
        <v>47.68861501359175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8" t="e">
        <f t="shared" si="68"/>
        <v>#N/A</v>
      </c>
      <c r="CY93" s="58" t="e">
        <f ca="1">AVERAGE(OFFSET($CX$3,0,0,'Données projet'!$E$13+1,1))-AVERAGE(OFFSET($H$3,0,0,'Données projet'!$E$13+1,1))</f>
        <v>#N/A</v>
      </c>
      <c r="CZ93" s="58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8" t="e">
        <f t="shared" si="71"/>
        <v>#N/A</v>
      </c>
      <c r="DT93" s="58" t="e">
        <f ca="1">AVERAGE(OFFSET($DS$3,0,0,'Données projet'!$E$14+1,1))-AVERAGE(OFFSET($H$3,0,0,'Données projet'!$E$14+1,1))</f>
        <v>#N/A</v>
      </c>
      <c r="DU93" s="58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8" t="e">
        <f t="shared" si="74"/>
        <v>#N/A</v>
      </c>
      <c r="EO93" s="58" t="e">
        <f ca="1">AVERAGE(OFFSET($EN$3,0,0,'Données projet'!$E$15+1,1))-AVERAGE(OFFSET($H$3,0,0,'Données projet'!$E$15+1,1))</f>
        <v>#N/A</v>
      </c>
      <c r="EP93" s="58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8" t="e">
        <f t="shared" si="77"/>
        <v>#N/A</v>
      </c>
      <c r="FJ93" s="58" t="e">
        <f ca="1">AVERAGE(OFFSET($FI$3,0,0,'Données projet'!$E$16+1,1))-AVERAGE(OFFSET($H$3,0,0,'Données projet'!$E$16+1,1))</f>
        <v>#N/A</v>
      </c>
      <c r="FK93" s="58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8" t="e">
        <f t="shared" si="80"/>
        <v>#N/A</v>
      </c>
      <c r="GE93" s="58" t="e">
        <f ca="1">AVERAGE(OFFSET($GD$3,0,0,'Données projet'!$E$17+1,1))-AVERAGE(OFFSET($H$3,0,0,'Données projet'!$E$17+1,1))</f>
        <v>#N/A</v>
      </c>
      <c r="GF93" s="58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67.929924473188478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8" t="e">
        <f t="shared" si="83"/>
        <v>#N/A</v>
      </c>
      <c r="GZ93" s="58" t="e">
        <f ca="1">AVERAGE(OFFSET($GY$3,0,0,'Données projet'!$E$18+1,1))-AVERAGE(OFFSET($H$3,0,0,'Données projet'!$E$18+1,1))</f>
        <v>#N/A</v>
      </c>
      <c r="HA93" s="58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2">
        <f>'Scénario référence'!$B$16*5+'Scénario référence'!$B$17*0+'Scénario référence'!$B$18*5</f>
        <v>2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7.333333333333333</v>
      </c>
      <c r="H94" s="66">
        <f t="shared" si="56"/>
        <v>227.33333333333334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9.1730000000000018</v>
      </c>
      <c r="N94" s="13">
        <f>IF('Données projet'!$A$36&gt;35,N93+M94-V93,IF(A94&lt;'Données projet'!$A$36,$K$205^A94,IF(A94='Données projet'!$A$36,'Données projet'!$B$36,N93+M94-V93)))</f>
        <v>352.6110000000005</v>
      </c>
      <c r="O94" s="13">
        <f>N94*VLOOKUP('Données projet'!$B$9,Paramètres!$A$1:$I$89,3,0)*VLOOKUP('Données projet'!$B$9,Paramètres!$A$1:$I$89,5,0)</f>
        <v>319.04243280000043</v>
      </c>
      <c r="P94" s="13">
        <f t="shared" si="87"/>
        <v>75.154078446360543</v>
      </c>
      <c r="Q94" s="20">
        <f t="shared" si="54"/>
        <v>686.55892375407859</v>
      </c>
      <c r="R94" s="58">
        <f t="shared" si="55"/>
        <v>972.43365449121666</v>
      </c>
      <c r="S94" s="58">
        <f ca="1">AVERAGE(OFFSET($R$3,0,0,'Données projet'!$E$9+1,1))-AVERAGE(OFFSET($H$3,0,0,'Données projet'!$E$9+1,1))</f>
        <v>654.0179680178212</v>
      </c>
      <c r="T94" s="58">
        <f t="shared" si="88"/>
        <v>289.42065570013369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19.184043270191573</v>
      </c>
      <c r="AA94" s="21">
        <f>EXP(-LN(2)/25)*AA93+(1-EXP(-LN(2)/25))/(LN(2)/25)*Calculateur!V94*Calculateur!X94*VLOOKUP('Données projet'!$B$9,Paramètres!$A$1:$I$89,3,0)*0.475*44/12</f>
        <v>24.360609399894127</v>
      </c>
      <c r="AB94" s="21">
        <f>EXP(-LN(2)/2)*AB93+(1-EXP(-LN(2)/2))/(LN(2)/2)*V94*Y94*VLOOKUP('Données projet'!$B$9,Paramètres!$A$1:$I$89,3,0)*0.475*44/12</f>
        <v>0.51621547864849093</v>
      </c>
      <c r="AC94" s="22">
        <f t="shared" si="57"/>
        <v>44.060868148734187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8">
        <f t="shared" si="59"/>
        <v>285.87473073714489</v>
      </c>
      <c r="AN94" s="58">
        <f ca="1">AVERAGE(OFFSET($AM$3,0,0,'Données projet'!$E$10+1,1))-AVERAGE(OFFSET($H$3,0,0,'Données projet'!$E$10+1,1))</f>
        <v>447.44638185108147</v>
      </c>
      <c r="AO94" s="58">
        <f t="shared" si="90"/>
        <v>384.84260115068605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142.67835566076388</v>
      </c>
      <c r="AV94" s="21">
        <f>EXP(-LN(2)/25)*AV93+(1-EXP(-LN(2)/25))/(LN(2)/25)*Calculateur!AQ94*Calculateur!AS94*VLOOKUP('Données projet'!$B$10,Paramètres!$A$1:$I$89,3,0)*0.475*44/12</f>
        <v>42.867298582562029</v>
      </c>
      <c r="AW94" s="21">
        <f>EXP(-LN(2)/2)*AW93+(1-EXP(-LN(2)/2))/(LN(2)/2)*AQ94*AT94*VLOOKUP('Données projet'!$B$10,Paramètres!$A$1:$I$89,3,0)*0.475*44/12</f>
        <v>0.50452312078788353</v>
      </c>
      <c r="AX94" s="21">
        <f t="shared" si="60"/>
        <v>186.05017736411381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357.54755400000056</v>
      </c>
      <c r="BF94" s="13">
        <f t="shared" si="91"/>
        <v>83.114695969480493</v>
      </c>
      <c r="BG94" s="20">
        <f t="shared" si="61"/>
        <v>767.48675203017956</v>
      </c>
      <c r="BH94" s="58">
        <f t="shared" si="62"/>
        <v>1053.3614827673177</v>
      </c>
      <c r="BI94" s="58">
        <f ca="1">AVERAGE(OFFSET($BH$3,0,0,'Données projet'!$E$11+1,1))-AVERAGE(OFFSET($H$3,0,0,'Données projet'!$E$11+1,1))</f>
        <v>724.99760740673071</v>
      </c>
      <c r="BJ94" s="58">
        <f t="shared" si="92"/>
        <v>318.24184272438208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21.499358837283662</v>
      </c>
      <c r="BQ94" s="21">
        <f>EXP(-LN(2)/25)*BQ93+(1-EXP(-LN(2)/25))/(LN(2)/25)*Calculateur!BL94*Calculateur!BN94*VLOOKUP('Données projet'!$B$11,Paramètres!$A$1:$I$89,3,0)*0.475*44/12</f>
        <v>27.300682948157213</v>
      </c>
      <c r="BR94" s="21">
        <f>EXP(-LN(2)/2)*BR93+(1-EXP(-LN(2)/2))/(LN(2)/2)*BL94*BO94*VLOOKUP('Données projet'!$B$11,Paramètres!$A$1:$I$89,3,0)*0.475*44/12</f>
        <v>0.57851734676124</v>
      </c>
      <c r="BS94" s="22">
        <f t="shared" si="63"/>
        <v>49.378559132202113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9.1730000000000018</v>
      </c>
      <c r="BY94" s="12">
        <f>IF('Données projet'!$A$114&gt;35,BY93+BX94-CG93,IF(A94&lt;'Données projet'!$A$114,$BV$205^A94,IF(A94='Données projet'!$A$114,'Données projet'!$B$114,BY93+BX94-CG93)))</f>
        <v>352.6110000000005</v>
      </c>
      <c r="BZ94" s="13">
        <f>BY94*VLOOKUP('Données projet'!$B$12,Paramètres!$A$1:$I$89,3,0)*VLOOKUP('Données projet'!$B$12,Paramètres!$A$1:$I$89,5,0)</f>
        <v>335.54462760000047</v>
      </c>
      <c r="CA94" s="13">
        <f t="shared" si="93"/>
        <v>78.578732798028639</v>
      </c>
      <c r="CB94" s="20">
        <f t="shared" si="64"/>
        <v>721.26485269323393</v>
      </c>
      <c r="CC94" s="58">
        <f t="shared" si="65"/>
        <v>1007.139583430372</v>
      </c>
      <c r="CD94" s="58">
        <f ca="1">AVERAGE(OFFSET($CC$3,0,0,'Données projet'!$E$12+1,1))-AVERAGE(OFFSET($H$3,0,0,'Données projet'!$E$12+1,1))</f>
        <v>684.45757350513315</v>
      </c>
      <c r="CE94" s="58">
        <f t="shared" si="94"/>
        <v>301.78148341369194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20.176321370373895</v>
      </c>
      <c r="CL94" s="21">
        <f>EXP(-LN(2)/25)*CL93+(1-EXP(-LN(2)/25))/(LN(2)/25)*Calculateur!CG94*Calculateur!CI94*VLOOKUP('Données projet'!$B$12,Paramètres!$A$1:$I$89,3,0)*0.475*44/12</f>
        <v>25.620640920578303</v>
      </c>
      <c r="CM94" s="21">
        <f>EXP(-LN(2)/2)*CM93+(1-EXP(-LN(2)/2))/(LN(2)/2)*CG94*CJ94*VLOOKUP('Données projet'!$B$12,Paramètres!$A$1:$I$89,3,0)*0.475*44/12</f>
        <v>0.54291627926824049</v>
      </c>
      <c r="CN94" s="22">
        <f t="shared" si="66"/>
        <v>46.339878570220435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8" t="e">
        <f t="shared" si="68"/>
        <v>#N/A</v>
      </c>
      <c r="CY94" s="58" t="e">
        <f ca="1">AVERAGE(OFFSET($CX$3,0,0,'Données projet'!$E$13+1,1))-AVERAGE(OFFSET($H$3,0,0,'Données projet'!$E$13+1,1))</f>
        <v>#N/A</v>
      </c>
      <c r="CZ94" s="58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8" t="e">
        <f t="shared" si="71"/>
        <v>#N/A</v>
      </c>
      <c r="DT94" s="58" t="e">
        <f ca="1">AVERAGE(OFFSET($DS$3,0,0,'Données projet'!$E$14+1,1))-AVERAGE(OFFSET($H$3,0,0,'Données projet'!$E$14+1,1))</f>
        <v>#N/A</v>
      </c>
      <c r="DU94" s="58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8" t="e">
        <f t="shared" si="74"/>
        <v>#N/A</v>
      </c>
      <c r="EO94" s="58" t="e">
        <f ca="1">AVERAGE(OFFSET($EN$3,0,0,'Données projet'!$E$15+1,1))-AVERAGE(OFFSET($H$3,0,0,'Données projet'!$E$15+1,1))</f>
        <v>#N/A</v>
      </c>
      <c r="EP94" s="58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8" t="e">
        <f t="shared" si="77"/>
        <v>#N/A</v>
      </c>
      <c r="FJ94" s="58" t="e">
        <f ca="1">AVERAGE(OFFSET($FI$3,0,0,'Données projet'!$E$16+1,1))-AVERAGE(OFFSET($H$3,0,0,'Données projet'!$E$16+1,1))</f>
        <v>#N/A</v>
      </c>
      <c r="FK94" s="58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8" t="e">
        <f t="shared" si="80"/>
        <v>#N/A</v>
      </c>
      <c r="GE94" s="58" t="e">
        <f ca="1">AVERAGE(OFFSET($GD$3,0,0,'Données projet'!$E$17+1,1))-AVERAGE(OFFSET($H$3,0,0,'Données projet'!$E$17+1,1))</f>
        <v>#N/A</v>
      </c>
      <c r="GF94" s="58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67.965835655583106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8" t="e">
        <f t="shared" si="83"/>
        <v>#N/A</v>
      </c>
      <c r="GZ94" s="58" t="e">
        <f ca="1">AVERAGE(OFFSET($GY$3,0,0,'Données projet'!$E$18+1,1))-AVERAGE(OFFSET($H$3,0,0,'Données projet'!$E$18+1,1))</f>
        <v>#N/A</v>
      </c>
      <c r="HA94" s="58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2">
        <f>'Scénario référence'!$B$16*5+'Scénario référence'!$B$17*0+'Scénario référence'!$B$18*5</f>
        <v>2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7.333333333333333</v>
      </c>
      <c r="H95" s="66">
        <f t="shared" si="56"/>
        <v>227.33333333333334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9.1730000000000018</v>
      </c>
      <c r="N95" s="13">
        <f>IF('Données projet'!$A$36&gt;35,N94+M95-V94,IF(A95&lt;'Données projet'!$A$36,$K$205^A95,IF(A95='Données projet'!$A$36,'Données projet'!$B$36,N94+M95-V94)))</f>
        <v>361.7840000000005</v>
      </c>
      <c r="O95" s="13">
        <f>N95*VLOOKUP('Données projet'!$B$9,Paramètres!$A$1:$I$89,3,0)*VLOOKUP('Données projet'!$B$9,Paramètres!$A$1:$I$89,5,0)</f>
        <v>327.34216320000047</v>
      </c>
      <c r="P95" s="13">
        <f t="shared" si="87"/>
        <v>76.87901071885527</v>
      </c>
      <c r="Q95" s="20">
        <f t="shared" si="54"/>
        <v>704.01854457534034</v>
      </c>
      <c r="R95" s="58">
        <f t="shared" si="55"/>
        <v>990.02266539258494</v>
      </c>
      <c r="S95" s="58">
        <f ca="1">AVERAGE(OFFSET($R$3,0,0,'Données projet'!$E$9+1,1))-AVERAGE(OFFSET($H$3,0,0,'Données projet'!$E$9+1,1))</f>
        <v>654.0179680178212</v>
      </c>
      <c r="T95" s="58">
        <f t="shared" si="88"/>
        <v>289.42065570013369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18.807855882774124</v>
      </c>
      <c r="AA95" s="21">
        <f>EXP(-LN(2)/25)*AA94+(1-EXP(-LN(2)/25))/(LN(2)/25)*Calculateur!V95*Calculateur!X95*VLOOKUP('Données projet'!$B$9,Paramètres!$A$1:$I$89,3,0)*0.475*44/12</f>
        <v>23.694467254785252</v>
      </c>
      <c r="AB95" s="21">
        <f>EXP(-LN(2)/2)*AB94+(1-EXP(-LN(2)/2))/(LN(2)/2)*V95*Y95*VLOOKUP('Données projet'!$B$9,Paramètres!$A$1:$I$89,3,0)*0.475*44/12</f>
        <v>0.36501946550580738</v>
      </c>
      <c r="AC95" s="22">
        <f t="shared" si="57"/>
        <v>42.867342603065183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8">
        <f t="shared" si="59"/>
        <v>286.00412081725148</v>
      </c>
      <c r="AN95" s="58">
        <f ca="1">AVERAGE(OFFSET($AM$3,0,0,'Données projet'!$E$10+1,1))-AVERAGE(OFFSET($H$3,0,0,'Données projet'!$E$10+1,1))</f>
        <v>447.44638185108147</v>
      </c>
      <c r="AO95" s="58">
        <f t="shared" si="90"/>
        <v>384.84260115068605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139.88052013146023</v>
      </c>
      <c r="AV95" s="21">
        <f>EXP(-LN(2)/25)*AV94+(1-EXP(-LN(2)/25))/(LN(2)/25)*Calculateur!AQ95*Calculateur!AS95*VLOOKUP('Données projet'!$B$10,Paramètres!$A$1:$I$89,3,0)*0.475*44/12</f>
        <v>41.695090048528613</v>
      </c>
      <c r="AW95" s="21">
        <f>EXP(-LN(2)/2)*AW94+(1-EXP(-LN(2)/2))/(LN(2)/2)*AQ95*AT95*VLOOKUP('Données projet'!$B$10,Paramètres!$A$1:$I$89,3,0)*0.475*44/12</f>
        <v>0.35675171997451205</v>
      </c>
      <c r="AX95" s="21">
        <f t="shared" si="60"/>
        <v>181.93236189996335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366.8489760000005</v>
      </c>
      <c r="BF95" s="13">
        <f t="shared" si="91"/>
        <v>85.022339897263734</v>
      </c>
      <c r="BG95" s="20">
        <f t="shared" si="61"/>
        <v>787.00920852106856</v>
      </c>
      <c r="BH95" s="58">
        <f t="shared" si="62"/>
        <v>1073.0133293383133</v>
      </c>
      <c r="BI95" s="58">
        <f ca="1">AVERAGE(OFFSET($BH$3,0,0,'Données projet'!$E$11+1,1))-AVERAGE(OFFSET($H$3,0,0,'Données projet'!$E$11+1,1))</f>
        <v>724.99760740673071</v>
      </c>
      <c r="BJ95" s="58">
        <f t="shared" si="92"/>
        <v>318.24184272438208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21.077769523798587</v>
      </c>
      <c r="BQ95" s="21">
        <f>EXP(-LN(2)/25)*BQ94+(1-EXP(-LN(2)/25))/(LN(2)/25)*Calculateur!BL95*Calculateur!BN95*VLOOKUP('Données projet'!$B$11,Paramètres!$A$1:$I$89,3,0)*0.475*44/12</f>
        <v>26.554144337259334</v>
      </c>
      <c r="BR95" s="21">
        <f>EXP(-LN(2)/2)*BR94+(1-EXP(-LN(2)/2))/(LN(2)/2)*BL95*BO95*VLOOKUP('Données projet'!$B$11,Paramètres!$A$1:$I$89,3,0)*0.475*44/12</f>
        <v>0.40907353892892218</v>
      </c>
      <c r="BS95" s="22">
        <f t="shared" si="63"/>
        <v>48.040987399986847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9.1730000000000018</v>
      </c>
      <c r="BY95" s="12">
        <f>IF('Données projet'!$A$114&gt;35,BY94+BX95-CG94,IF(A95&lt;'Données projet'!$A$114,$BV$205^A95,IF(A95='Données projet'!$A$114,'Données projet'!$B$114,BY94+BX95-CG94)))</f>
        <v>361.7840000000005</v>
      </c>
      <c r="BZ95" s="13">
        <f>BY95*VLOOKUP('Données projet'!$B$12,Paramètres!$A$1:$I$89,3,0)*VLOOKUP('Données projet'!$B$12,Paramètres!$A$1:$I$89,5,0)</f>
        <v>344.27365440000045</v>
      </c>
      <c r="CA95" s="13">
        <f t="shared" si="93"/>
        <v>80.382267548731363</v>
      </c>
      <c r="CB95" s="20">
        <f t="shared" si="64"/>
        <v>739.60906406070796</v>
      </c>
      <c r="CC95" s="58">
        <f t="shared" si="65"/>
        <v>1025.6131848779526</v>
      </c>
      <c r="CD95" s="58">
        <f ca="1">AVERAGE(OFFSET($CC$3,0,0,'Données projet'!$E$12+1,1))-AVERAGE(OFFSET($H$3,0,0,'Données projet'!$E$12+1,1))</f>
        <v>684.45757350513315</v>
      </c>
      <c r="CE95" s="58">
        <f t="shared" si="94"/>
        <v>301.78148341369194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19.780676014641749</v>
      </c>
      <c r="CL95" s="21">
        <f>EXP(-LN(2)/25)*CL94+(1-EXP(-LN(2)/25))/(LN(2)/25)*Calculateur!CG95*Calculateur!CI95*VLOOKUP('Données projet'!$B$12,Paramètres!$A$1:$I$89,3,0)*0.475*44/12</f>
        <v>24.920043147274139</v>
      </c>
      <c r="CM95" s="21">
        <f>EXP(-LN(2)/2)*CM94+(1-EXP(-LN(2)/2))/(LN(2)/2)*CG95*CJ95*VLOOKUP('Données projet'!$B$12,Paramètres!$A$1:$I$89,3,0)*0.475*44/12</f>
        <v>0.38389978268714225</v>
      </c>
      <c r="CN95" s="22">
        <f t="shared" si="66"/>
        <v>45.084618944603029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8" t="e">
        <f t="shared" si="68"/>
        <v>#N/A</v>
      </c>
      <c r="CY95" s="58" t="e">
        <f ca="1">AVERAGE(OFFSET($CX$3,0,0,'Données projet'!$E$13+1,1))-AVERAGE(OFFSET($H$3,0,0,'Données projet'!$E$13+1,1))</f>
        <v>#N/A</v>
      </c>
      <c r="CZ95" s="58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8" t="e">
        <f t="shared" si="71"/>
        <v>#N/A</v>
      </c>
      <c r="DT95" s="58" t="e">
        <f ca="1">AVERAGE(OFFSET($DS$3,0,0,'Données projet'!$E$14+1,1))-AVERAGE(OFFSET($H$3,0,0,'Données projet'!$E$14+1,1))</f>
        <v>#N/A</v>
      </c>
      <c r="DU95" s="58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8" t="e">
        <f t="shared" si="74"/>
        <v>#N/A</v>
      </c>
      <c r="EO95" s="58" t="e">
        <f ca="1">AVERAGE(OFFSET($EN$3,0,0,'Données projet'!$E$15+1,1))-AVERAGE(OFFSET($H$3,0,0,'Données projet'!$E$15+1,1))</f>
        <v>#N/A</v>
      </c>
      <c r="EP95" s="58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8" t="e">
        <f t="shared" si="77"/>
        <v>#N/A</v>
      </c>
      <c r="FJ95" s="58" t="e">
        <f ca="1">AVERAGE(OFFSET($FI$3,0,0,'Données projet'!$E$16+1,1))-AVERAGE(OFFSET($H$3,0,0,'Données projet'!$E$16+1,1))</f>
        <v>#N/A</v>
      </c>
      <c r="FK95" s="58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8" t="e">
        <f t="shared" si="80"/>
        <v>#N/A</v>
      </c>
      <c r="GE95" s="58" t="e">
        <f ca="1">AVERAGE(OFFSET($GD$3,0,0,'Données projet'!$E$17+1,1))-AVERAGE(OFFSET($H$3,0,0,'Données projet'!$E$17+1,1))</f>
        <v>#N/A</v>
      </c>
      <c r="GF95" s="58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68.001123859248551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8" t="e">
        <f t="shared" si="83"/>
        <v>#N/A</v>
      </c>
      <c r="GZ95" s="58" t="e">
        <f ca="1">AVERAGE(OFFSET($GY$3,0,0,'Données projet'!$E$18+1,1))-AVERAGE(OFFSET($H$3,0,0,'Données projet'!$E$18+1,1))</f>
        <v>#N/A</v>
      </c>
      <c r="HA95" s="58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2">
        <f>'Scénario référence'!$B$16*5+'Scénario référence'!$B$17*0+'Scénario référence'!$B$18*5</f>
        <v>2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7.333333333333333</v>
      </c>
      <c r="H96" s="66">
        <f t="shared" si="56"/>
        <v>227.33333333333334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9.1730000000000018</v>
      </c>
      <c r="N96" s="13">
        <f>IF('Données projet'!$A$36&gt;35,N95+M96-V95,IF(A96&lt;'Données projet'!$A$36,$K$205^A96,IF(A96='Données projet'!$A$36,'Données projet'!$B$36,N95+M96-V95)))</f>
        <v>370.95700000000051</v>
      </c>
      <c r="O96" s="13">
        <f>N96*VLOOKUP('Données projet'!$B$9,Paramètres!$A$1:$I$89,3,0)*VLOOKUP('Données projet'!$B$9,Paramètres!$A$1:$I$89,5,0)</f>
        <v>335.64189360000046</v>
      </c>
      <c r="P96" s="13">
        <f t="shared" si="87"/>
        <v>78.598859108522404</v>
      </c>
      <c r="Q96" s="20">
        <f t="shared" si="54"/>
        <v>721.46931096734397</v>
      </c>
      <c r="R96" s="58">
        <f t="shared" si="55"/>
        <v>1007.6005772360784</v>
      </c>
      <c r="S96" s="58">
        <f ca="1">AVERAGE(OFFSET($R$3,0,0,'Données projet'!$E$9+1,1))-AVERAGE(OFFSET($H$3,0,0,'Données projet'!$E$9+1,1))</f>
        <v>654.0179680178212</v>
      </c>
      <c r="T96" s="58">
        <f t="shared" si="88"/>
        <v>289.42065570013369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18.439045300572278</v>
      </c>
      <c r="AA96" s="21">
        <f>EXP(-LN(2)/25)*AA95+(1-EXP(-LN(2)/25))/(LN(2)/25)*Calculateur!V96*Calculateur!X96*VLOOKUP('Données projet'!$B$9,Paramètres!$A$1:$I$89,3,0)*0.475*44/12</f>
        <v>23.04654080166527</v>
      </c>
      <c r="AB96" s="21">
        <f>EXP(-LN(2)/2)*AB95+(1-EXP(-LN(2)/2))/(LN(2)/2)*V96*Y96*VLOOKUP('Données projet'!$B$9,Paramètres!$A$1:$I$89,3,0)*0.475*44/12</f>
        <v>0.25810773932424547</v>
      </c>
      <c r="AC96" s="22">
        <f t="shared" si="57"/>
        <v>41.743693841561793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8">
        <f t="shared" si="59"/>
        <v>286.13126626874123</v>
      </c>
      <c r="AN96" s="58">
        <f ca="1">AVERAGE(OFFSET($AM$3,0,0,'Données projet'!$E$10+1,1))-AVERAGE(OFFSET($H$3,0,0,'Données projet'!$E$10+1,1))</f>
        <v>447.44638185108147</v>
      </c>
      <c r="AO96" s="58">
        <f t="shared" si="90"/>
        <v>384.84260115068605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137.13754845037505</v>
      </c>
      <c r="AV96" s="21">
        <f>EXP(-LN(2)/25)*AV95+(1-EXP(-LN(2)/25))/(LN(2)/25)*Calculateur!AQ96*Calculateur!AS96*VLOOKUP('Données projet'!$B$10,Paramètres!$A$1:$I$89,3,0)*0.475*44/12</f>
        <v>40.554935618502107</v>
      </c>
      <c r="AW96" s="21">
        <f>EXP(-LN(2)/2)*AW95+(1-EXP(-LN(2)/2))/(LN(2)/2)*AQ96*AT96*VLOOKUP('Données projet'!$B$10,Paramètres!$A$1:$I$89,3,0)*0.475*44/12</f>
        <v>0.25226156039394176</v>
      </c>
      <c r="AX96" s="21">
        <f t="shared" si="60"/>
        <v>177.9447456292711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376.15039800000056</v>
      </c>
      <c r="BF96" s="13">
        <f t="shared" si="91"/>
        <v>86.92436143722324</v>
      </c>
      <c r="BG96" s="20">
        <f t="shared" si="61"/>
        <v>806.52187268649811</v>
      </c>
      <c r="BH96" s="58">
        <f t="shared" si="62"/>
        <v>1092.6531389552324</v>
      </c>
      <c r="BI96" s="58">
        <f ca="1">AVERAGE(OFFSET($BH$3,0,0,'Données projet'!$E$11+1,1))-AVERAGE(OFFSET($H$3,0,0,'Données projet'!$E$11+1,1))</f>
        <v>724.99760740673071</v>
      </c>
      <c r="BJ96" s="58">
        <f t="shared" si="92"/>
        <v>318.24184272438208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20.664447319606865</v>
      </c>
      <c r="BQ96" s="21">
        <f>EXP(-LN(2)/25)*BQ95+(1-EXP(-LN(2)/25))/(LN(2)/25)*Calculateur!BL96*Calculateur!BN96*VLOOKUP('Données projet'!$B$11,Paramètres!$A$1:$I$89,3,0)*0.475*44/12</f>
        <v>25.828019863935218</v>
      </c>
      <c r="BR96" s="21">
        <f>EXP(-LN(2)/2)*BR95+(1-EXP(-LN(2)/2))/(LN(2)/2)*BL96*BO96*VLOOKUP('Données projet'!$B$11,Paramètres!$A$1:$I$89,3,0)*0.475*44/12</f>
        <v>0.28925867338062</v>
      </c>
      <c r="BS96" s="22">
        <f t="shared" si="63"/>
        <v>46.781725856922705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9.1730000000000018</v>
      </c>
      <c r="BY96" s="12">
        <f>IF('Données projet'!$A$114&gt;35,BY95+BX96-CG95,IF(A96&lt;'Données projet'!$A$114,$BV$205^A96,IF(A96='Données projet'!$A$114,'Données projet'!$B$114,BY95+BX96-CG95)))</f>
        <v>370.95700000000051</v>
      </c>
      <c r="BZ96" s="13">
        <f>BY96*VLOOKUP('Données projet'!$B$12,Paramètres!$A$1:$I$89,3,0)*VLOOKUP('Données projet'!$B$12,Paramètres!$A$1:$I$89,5,0)</f>
        <v>353.0026812000005</v>
      </c>
      <c r="CA96" s="13">
        <f t="shared" si="93"/>
        <v>82.180486751981036</v>
      </c>
      <c r="CB96" s="20">
        <f t="shared" si="64"/>
        <v>757.94401751636781</v>
      </c>
      <c r="CC96" s="58">
        <f t="shared" si="65"/>
        <v>1044.0752837851023</v>
      </c>
      <c r="CD96" s="58">
        <f ca="1">AVERAGE(OFFSET($CC$3,0,0,'Données projet'!$E$12+1,1))-AVERAGE(OFFSET($H$3,0,0,'Données projet'!$E$12+1,1))</f>
        <v>684.45757350513315</v>
      </c>
      <c r="CE96" s="58">
        <f t="shared" si="94"/>
        <v>301.78148341369194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19.39278902301567</v>
      </c>
      <c r="CL96" s="21">
        <f>EXP(-LN(2)/25)*CL95+(1-EXP(-LN(2)/25))/(LN(2)/25)*Calculateur!CG96*Calculateur!CI96*VLOOKUP('Données projet'!$B$12,Paramètres!$A$1:$I$89,3,0)*0.475*44/12</f>
        <v>24.238603256923813</v>
      </c>
      <c r="CM96" s="21">
        <f>EXP(-LN(2)/2)*CM95+(1-EXP(-LN(2)/2))/(LN(2)/2)*CG96*CJ96*VLOOKUP('Données projet'!$B$12,Paramètres!$A$1:$I$89,3,0)*0.475*44/12</f>
        <v>0.27145813963412024</v>
      </c>
      <c r="CN96" s="22">
        <f t="shared" si="66"/>
        <v>43.902850419573603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8" t="e">
        <f t="shared" si="68"/>
        <v>#N/A</v>
      </c>
      <c r="CY96" s="58" t="e">
        <f ca="1">AVERAGE(OFFSET($CX$3,0,0,'Données projet'!$E$13+1,1))-AVERAGE(OFFSET($H$3,0,0,'Données projet'!$E$13+1,1))</f>
        <v>#N/A</v>
      </c>
      <c r="CZ96" s="58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8" t="e">
        <f t="shared" si="71"/>
        <v>#N/A</v>
      </c>
      <c r="DT96" s="58" t="e">
        <f ca="1">AVERAGE(OFFSET($DS$3,0,0,'Données projet'!$E$14+1,1))-AVERAGE(OFFSET($H$3,0,0,'Données projet'!$E$14+1,1))</f>
        <v>#N/A</v>
      </c>
      <c r="DU96" s="58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8" t="e">
        <f t="shared" si="74"/>
        <v>#N/A</v>
      </c>
      <c r="EO96" s="58" t="e">
        <f ca="1">AVERAGE(OFFSET($EN$3,0,0,'Données projet'!$E$15+1,1))-AVERAGE(OFFSET($H$3,0,0,'Données projet'!$E$15+1,1))</f>
        <v>#N/A</v>
      </c>
      <c r="EP96" s="58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8" t="e">
        <f t="shared" si="77"/>
        <v>#N/A</v>
      </c>
      <c r="FJ96" s="58" t="e">
        <f ca="1">AVERAGE(OFFSET($FI$3,0,0,'Données projet'!$E$16+1,1))-AVERAGE(OFFSET($H$3,0,0,'Données projet'!$E$16+1,1))</f>
        <v>#N/A</v>
      </c>
      <c r="FK96" s="58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8" t="e">
        <f t="shared" si="80"/>
        <v>#N/A</v>
      </c>
      <c r="GE96" s="58" t="e">
        <f ca="1">AVERAGE(OFFSET($GD$3,0,0,'Données projet'!$E$17+1,1))-AVERAGE(OFFSET($H$3,0,0,'Données projet'!$E$17+1,1))</f>
        <v>#N/A</v>
      </c>
      <c r="GF96" s="58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68.035799891473019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8" t="e">
        <f t="shared" si="83"/>
        <v>#N/A</v>
      </c>
      <c r="GZ96" s="58" t="e">
        <f ca="1">AVERAGE(OFFSET($GY$3,0,0,'Données projet'!$E$18+1,1))-AVERAGE(OFFSET($H$3,0,0,'Données projet'!$E$18+1,1))</f>
        <v>#N/A</v>
      </c>
      <c r="HA96" s="58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2">
        <f>'Scénario référence'!$B$16*5+'Scénario référence'!$B$17*0+'Scénario référence'!$B$18*5</f>
        <v>2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7.333333333333333</v>
      </c>
      <c r="H97" s="66">
        <f t="shared" si="56"/>
        <v>227.33333333333334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380.13</v>
      </c>
      <c r="L97" s="12">
        <f>VLOOKUP(A97,'Données projet'!$A$35:$I$55,9,0)</f>
        <v>9.1730000000000018</v>
      </c>
      <c r="M97" s="12">
        <f t="array" ref="M97">INDEX(L:L,MIN(IF(ISNUMBER(L97:L293),ROW(L97:L293),"")))</f>
        <v>9.1730000000000018</v>
      </c>
      <c r="N97" s="13">
        <f>IF('Données projet'!$A$36&gt;35,N96+M97-V96,IF(A97&lt;'Données projet'!$A$36,$K$205^A97,IF(A97='Données projet'!$A$36,'Données projet'!$B$36,N96+M97-V96)))</f>
        <v>380.13000000000051</v>
      </c>
      <c r="O97" s="13">
        <f>N97*VLOOKUP('Données projet'!$B$9,Paramètres!$A$1:$I$89,3,0)*VLOOKUP('Données projet'!$B$9,Paramètres!$A$1:$I$89,5,0)</f>
        <v>343.94162400000044</v>
      </c>
      <c r="P97" s="13">
        <f t="shared" si="87"/>
        <v>80.313763789484966</v>
      </c>
      <c r="Q97" s="20">
        <f t="shared" si="54"/>
        <v>738.91146706668712</v>
      </c>
      <c r="R97" s="58">
        <f t="shared" si="55"/>
        <v>1025.1676730975826</v>
      </c>
      <c r="S97" s="58">
        <f ca="1">AVERAGE(OFFSET($R$3,0,0,'Données projet'!$E$9+1,1))-AVERAGE(OFFSET($H$3,0,0,'Données projet'!$E$9+1,1))</f>
        <v>654.0179680178212</v>
      </c>
      <c r="T97" s="58">
        <f t="shared" si="88"/>
        <v>289.42065570013369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67.350000000000023</v>
      </c>
      <c r="W97" s="16">
        <f>IF(ISNA(VLOOKUP(A97,'Données projet'!$A$35:$I$55,5,0)),0%,VLOOKUP(A97,'Données projet'!$A$35:$I$55,5,0)*VLOOKUP('Données projet'!$B$9,Paramètres!$A$1:$I$89,7,0))</f>
        <v>0.15049999999999999</v>
      </c>
      <c r="X97" s="16">
        <f>IF(ISNA(VLOOKUP(A97,'Données projet'!$A$35:$I$55,6,0)),0%,VLOOKUP(A97,'Données projet'!$A$35:$I$55,6,0)*VLOOKUP('Données projet'!$B$9,Paramètres!$A$1:$I$89,7,0))</f>
        <v>8.6000000000000007E-2</v>
      </c>
      <c r="Y97" s="16">
        <f>IF(ISNA(VLOOKUP(A97,'Données projet'!$A$35:$I$55,7,0)),0%,VLOOKUP(A97,'Données projet'!$A$35:$I$55,7,0))</f>
        <v>0.1</v>
      </c>
      <c r="Z97" s="21">
        <f>EXP(-LN(2)/35)*Z96+(1-EXP(-LN(2)/35))/(LN(2)/35)*V97*W97*VLOOKUP('Données projet'!$B$9,Paramètres!$A$1:$I$89,3,0)*0.475*44/12</f>
        <v>28.215969128647792</v>
      </c>
      <c r="AA97" s="21">
        <f>EXP(-LN(2)/25)*AA96+(1-EXP(-LN(2)/25))/(LN(2)/25)*Calculateur!V97*Calculateur!X97*VLOOKUP('Données projet'!$B$9,Paramètres!$A$1:$I$89,3,0)*0.475*44/12</f>
        <v>28.18695085333249</v>
      </c>
      <c r="AB97" s="21">
        <f>EXP(-LN(2)/2)*AB96+(1-EXP(-LN(2)/2))/(LN(2)/2)*V97*Y97*VLOOKUP('Données projet'!$B$9,Paramètres!$A$1:$I$89,3,0)*0.475*44/12</f>
        <v>5.9322004637288286</v>
      </c>
      <c r="AC97" s="22">
        <f t="shared" si="57"/>
        <v>62.335120445709109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8">
        <f t="shared" si="59"/>
        <v>286.25620603090221</v>
      </c>
      <c r="AN97" s="58">
        <f ca="1">AVERAGE(OFFSET($AM$3,0,0,'Données projet'!$E$10+1,1))-AVERAGE(OFFSET($H$3,0,0,'Données projet'!$E$10+1,1))</f>
        <v>447.44638185108147</v>
      </c>
      <c r="AO97" s="58">
        <f t="shared" si="90"/>
        <v>384.84260115068605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134.44836477090843</v>
      </c>
      <c r="AV97" s="21">
        <f>EXP(-LN(2)/25)*AV96+(1-EXP(-LN(2)/25))/(LN(2)/25)*Calculateur!AQ97*Calculateur!AS97*VLOOKUP('Données projet'!$B$10,Paramètres!$A$1:$I$89,3,0)*0.475*44/12</f>
        <v>39.445958771322793</v>
      </c>
      <c r="AW97" s="21">
        <f>EXP(-LN(2)/2)*AW96+(1-EXP(-LN(2)/2))/(LN(2)/2)*AQ97*AT97*VLOOKUP('Données projet'!$B$10,Paramètres!$A$1:$I$89,3,0)*0.475*44/12</f>
        <v>0.17837585998725602</v>
      </c>
      <c r="AX97" s="21">
        <f t="shared" si="60"/>
        <v>174.07269940221849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385.45182000000051</v>
      </c>
      <c r="BF97" s="13">
        <f t="shared" si="91"/>
        <v>88.820915611280114</v>
      </c>
      <c r="BG97" s="20">
        <f t="shared" si="61"/>
        <v>826.02501452298031</v>
      </c>
      <c r="BH97" s="58">
        <f t="shared" si="62"/>
        <v>1112.2812205538758</v>
      </c>
      <c r="BI97" s="58">
        <f ca="1">AVERAGE(OFFSET($BH$3,0,0,'Données projet'!$E$11+1,1))-AVERAGE(OFFSET($H$3,0,0,'Données projet'!$E$11+1,1))</f>
        <v>724.99760740673071</v>
      </c>
      <c r="BJ97" s="58">
        <f t="shared" si="92"/>
        <v>318.24184272438208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31.62134471313977</v>
      </c>
      <c r="BQ97" s="21">
        <f>EXP(-LN(2)/25)*BQ96+(1-EXP(-LN(2)/25))/(LN(2)/25)*Calculateur!BL97*Calculateur!BN97*VLOOKUP('Données projet'!$B$11,Paramètres!$A$1:$I$89,3,0)*0.475*44/12</f>
        <v>31.588824232182965</v>
      </c>
      <c r="BR97" s="21">
        <f>EXP(-LN(2)/2)*BR96+(1-EXP(-LN(2)/2))/(LN(2)/2)*BL97*BO97*VLOOKUP('Données projet'!$B$11,Paramètres!$A$1:$I$89,3,0)*0.475*44/12</f>
        <v>6.6481556921098957</v>
      </c>
      <c r="BS97" s="22">
        <f t="shared" si="63"/>
        <v>69.858324637432631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9.1730000000000018</v>
      </c>
      <c r="BX97" s="12">
        <f t="array" ref="BX97">INDEX(BW:BW,MIN(IF(ISNUMBER(BW97:BW293),ROW(BW97:BW293),"")))</f>
        <v>9.1730000000000018</v>
      </c>
      <c r="BY97" s="12">
        <f>IF('Données projet'!$A$114&gt;35,BY96+BX97-CG96,IF(A97&lt;'Données projet'!$A$114,$BV$205^A97,IF(A97='Données projet'!$A$114,'Données projet'!$B$114,BY96+BX97-CG96)))</f>
        <v>380.13000000000051</v>
      </c>
      <c r="BZ97" s="13">
        <f>BY97*VLOOKUP('Données projet'!$B$12,Paramètres!$A$1:$I$89,3,0)*VLOOKUP('Données projet'!$B$12,Paramètres!$A$1:$I$89,5,0)</f>
        <v>361.73170800000048</v>
      </c>
      <c r="CA97" s="13">
        <f t="shared" si="93"/>
        <v>83.973536969416998</v>
      </c>
      <c r="CB97" s="20">
        <f t="shared" si="64"/>
        <v>776.26996832173552</v>
      </c>
      <c r="CC97" s="58">
        <f t="shared" si="65"/>
        <v>1062.526174352631</v>
      </c>
      <c r="CD97" s="58">
        <f ca="1">AVERAGE(OFFSET($CC$3,0,0,'Données projet'!$E$12+1,1))-AVERAGE(OFFSET($H$3,0,0,'Données projet'!$E$12+1,1))</f>
        <v>684.45757350513315</v>
      </c>
      <c r="CE97" s="58">
        <f t="shared" si="94"/>
        <v>301.78148341369194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67.350000000000023</v>
      </c>
      <c r="CH97" s="16">
        <f>IF(ISNA(VLOOKUP(A97,'Données projet'!$A$113:$I$133,5,0)),0%,VLOOKUP(A97,'Données projet'!$A$113:$I$133,5,0)*VLOOKUP('Données projet'!$B$12,Paramètres!$A$1:$I$89,7,0))</f>
        <v>0.15049999999999999</v>
      </c>
      <c r="CI97" s="16">
        <f>IF(ISNA(VLOOKUP(A97,'Données projet'!$A$113:$I$133,6,0)),0%,VLOOKUP(A97,'Données projet'!$A$113:$I$133,6,0)*VLOOKUP('Données projet'!$B$12,Paramètres!$A$1:$I$89,7,0))</f>
        <v>8.6000000000000007E-2</v>
      </c>
      <c r="CJ97" s="16">
        <f>IF(ISNA(VLOOKUP(A97,'Données projet'!$A$113:$I$133,7,0)),0%,VLOOKUP(A97,'Données projet'!$A$113:$I$133,7,0))</f>
        <v>0.1</v>
      </c>
      <c r="CK97" s="21">
        <f>EXP(-LN(2)/35)*CK96+(1-EXP(-LN(2)/35))/(LN(2)/35)*CG97*CH97*VLOOKUP('Données projet'!$B$12,Paramètres!$A$1:$I$89,3,0)*0.475*44/12</f>
        <v>29.67541580771578</v>
      </c>
      <c r="CL97" s="21">
        <f>EXP(-LN(2)/25)*CL96+(1-EXP(-LN(2)/25))/(LN(2)/25)*Calculateur!CG97*Calculateur!CI97*VLOOKUP('Données projet'!$B$12,Paramètres!$A$1:$I$89,3,0)*0.475*44/12</f>
        <v>29.644896587125547</v>
      </c>
      <c r="CM97" s="21">
        <f>EXP(-LN(2)/2)*CM96+(1-EXP(-LN(2)/2))/(LN(2)/2)*CG97*CJ97*VLOOKUP('Données projet'!$B$12,Paramètres!$A$1:$I$89,3,0)*0.475*44/12</f>
        <v>6.2390384187492867</v>
      </c>
      <c r="CN97" s="22">
        <f t="shared" si="66"/>
        <v>65.559350813590612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8" t="e">
        <f t="shared" si="68"/>
        <v>#N/A</v>
      </c>
      <c r="CY97" s="58" t="e">
        <f ca="1">AVERAGE(OFFSET($CX$3,0,0,'Données projet'!$E$13+1,1))-AVERAGE(OFFSET($H$3,0,0,'Données projet'!$E$13+1,1))</f>
        <v>#N/A</v>
      </c>
      <c r="CZ97" s="58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8" t="e">
        <f t="shared" si="71"/>
        <v>#N/A</v>
      </c>
      <c r="DT97" s="58" t="e">
        <f ca="1">AVERAGE(OFFSET($DS$3,0,0,'Données projet'!$E$14+1,1))-AVERAGE(OFFSET($H$3,0,0,'Données projet'!$E$14+1,1))</f>
        <v>#N/A</v>
      </c>
      <c r="DU97" s="58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8" t="e">
        <f t="shared" si="74"/>
        <v>#N/A</v>
      </c>
      <c r="EO97" s="58" t="e">
        <f ca="1">AVERAGE(OFFSET($EN$3,0,0,'Données projet'!$E$15+1,1))-AVERAGE(OFFSET($H$3,0,0,'Données projet'!$E$15+1,1))</f>
        <v>#N/A</v>
      </c>
      <c r="EP97" s="58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8" t="e">
        <f t="shared" si="77"/>
        <v>#N/A</v>
      </c>
      <c r="FJ97" s="58" t="e">
        <f ca="1">AVERAGE(OFFSET($FI$3,0,0,'Données projet'!$E$16+1,1))-AVERAGE(OFFSET($H$3,0,0,'Données projet'!$E$16+1,1))</f>
        <v>#N/A</v>
      </c>
      <c r="FK97" s="58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8" t="e">
        <f t="shared" si="80"/>
        <v>#N/A</v>
      </c>
      <c r="GE97" s="58" t="e">
        <f ca="1">AVERAGE(OFFSET($GD$3,0,0,'Données projet'!$E$17+1,1))-AVERAGE(OFFSET($H$3,0,0,'Données projet'!$E$17+1,1))</f>
        <v>#N/A</v>
      </c>
      <c r="GF97" s="58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68.069874372062387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8" t="e">
        <f t="shared" si="83"/>
        <v>#N/A</v>
      </c>
      <c r="GZ97" s="58" t="e">
        <f ca="1">AVERAGE(OFFSET($GY$3,0,0,'Données projet'!$E$18+1,1))-AVERAGE(OFFSET($H$3,0,0,'Données projet'!$E$18+1,1))</f>
        <v>#N/A</v>
      </c>
      <c r="HA97" s="58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2">
        <f>'Scénario référence'!$B$16*5+'Scénario référence'!$B$17*0+'Scénario référence'!$B$18*5</f>
        <v>2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7.333333333333333</v>
      </c>
      <c r="H98" s="66">
        <f t="shared" si="56"/>
        <v>227.33333333333334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8.9420000000000019</v>
      </c>
      <c r="N98" s="13">
        <f>IF('Données projet'!$A$36&gt;35,N97+M98-V97,IF(A98&lt;'Données projet'!$A$36,$K$205^A98,IF(A98='Données projet'!$A$36,'Données projet'!$B$36,N97+M98-V97)))</f>
        <v>321.72200000000049</v>
      </c>
      <c r="O98" s="13">
        <f>N98*VLOOKUP('Données projet'!$B$9,Paramètres!$A$1:$I$89,3,0)*VLOOKUP('Données projet'!$B$9,Paramètres!$A$1:$I$89,5,0)</f>
        <v>291.09406560000048</v>
      </c>
      <c r="P98" s="13">
        <f t="shared" si="87"/>
        <v>69.306175582041092</v>
      </c>
      <c r="Q98" s="20">
        <f t="shared" si="54"/>
        <v>627.697086725389</v>
      </c>
      <c r="R98" s="58">
        <f t="shared" si="55"/>
        <v>914.07606509289531</v>
      </c>
      <c r="S98" s="58">
        <f ca="1">AVERAGE(OFFSET($R$3,0,0,'Données projet'!$E$9+1,1))-AVERAGE(OFFSET($H$3,0,0,'Données projet'!$E$9+1,1))</f>
        <v>654.0179680178212</v>
      </c>
      <c r="T98" s="58">
        <f t="shared" si="88"/>
        <v>289.42065570013369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27.662671184076828</v>
      </c>
      <c r="AA98" s="21">
        <f>EXP(-LN(2)/25)*AA97+(1-EXP(-LN(2)/25))/(LN(2)/25)*Calculateur!V98*Calculateur!X98*VLOOKUP('Données projet'!$B$9,Paramètres!$A$1:$I$89,3,0)*0.475*44/12</f>
        <v>27.416177199960789</v>
      </c>
      <c r="AB98" s="21">
        <f>EXP(-LN(2)/2)*AB97+(1-EXP(-LN(2)/2))/(LN(2)/2)*V98*Y98*VLOOKUP('Données projet'!$B$9,Paramètres!$A$1:$I$89,3,0)*0.475*44/12</f>
        <v>4.1946991752606371</v>
      </c>
      <c r="AC98" s="22">
        <f t="shared" si="57"/>
        <v>59.273547559298251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8">
        <f t="shared" si="59"/>
        <v>286.37897836751318</v>
      </c>
      <c r="AN98" s="58">
        <f ca="1">AVERAGE(OFFSET($AM$3,0,0,'Données projet'!$E$10+1,1))-AVERAGE(OFFSET($H$3,0,0,'Données projet'!$E$10+1,1))</f>
        <v>447.44638185108147</v>
      </c>
      <c r="AO98" s="58">
        <f t="shared" si="90"/>
        <v>384.84260115068605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131.81191434315605</v>
      </c>
      <c r="AV98" s="21">
        <f>EXP(-LN(2)/25)*AV97+(1-EXP(-LN(2)/25))/(LN(2)/25)*Calculateur!AQ98*Calculateur!AS98*VLOOKUP('Données projet'!$B$10,Paramètres!$A$1:$I$89,3,0)*0.475*44/12</f>
        <v>38.367306954348152</v>
      </c>
      <c r="AW98" s="21">
        <f>EXP(-LN(2)/2)*AW97+(1-EXP(-LN(2)/2))/(LN(2)/2)*AQ98*AT98*VLOOKUP('Données projet'!$B$10,Paramètres!$A$1:$I$89,3,0)*0.475*44/12</f>
        <v>0.12613078019697088</v>
      </c>
      <c r="AX98" s="21">
        <f t="shared" si="60"/>
        <v>170.30535207770117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326.22610800000052</v>
      </c>
      <c r="BF98" s="13">
        <f t="shared" si="91"/>
        <v>76.647360081996098</v>
      </c>
      <c r="BG98" s="20">
        <f t="shared" si="61"/>
        <v>701.67129024281076</v>
      </c>
      <c r="BH98" s="58">
        <f t="shared" si="62"/>
        <v>988.05026861031706</v>
      </c>
      <c r="BI98" s="58">
        <f ca="1">AVERAGE(OFFSET($BH$3,0,0,'Données projet'!$E$11+1,1))-AVERAGE(OFFSET($H$3,0,0,'Données projet'!$E$11+1,1))</f>
        <v>724.99760740673071</v>
      </c>
      <c r="BJ98" s="58">
        <f t="shared" si="92"/>
        <v>318.24184272438208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31.001269430430931</v>
      </c>
      <c r="BQ98" s="21">
        <f>EXP(-LN(2)/25)*BQ97+(1-EXP(-LN(2)/25))/(LN(2)/25)*Calculateur!BL98*Calculateur!BN98*VLOOKUP('Données projet'!$B$11,Paramètres!$A$1:$I$89,3,0)*0.475*44/12</f>
        <v>30.725026172369851</v>
      </c>
      <c r="BR98" s="21">
        <f>EXP(-LN(2)/2)*BR97+(1-EXP(-LN(2)/2))/(LN(2)/2)*BL98*BO98*VLOOKUP('Données projet'!$B$11,Paramètres!$A$1:$I$89,3,0)*0.475*44/12</f>
        <v>4.7009559722748531</v>
      </c>
      <c r="BS98" s="22">
        <f t="shared" si="63"/>
        <v>66.42725157507563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8.9420000000000019</v>
      </c>
      <c r="BY98" s="12">
        <f>IF('Données projet'!$A$114&gt;35,BY97+BX98-CG97,IF(A98&lt;'Données projet'!$A$114,$BV$205^A98,IF(A98='Données projet'!$A$114,'Données projet'!$B$114,BY97+BX98-CG97)))</f>
        <v>321.72200000000049</v>
      </c>
      <c r="BZ98" s="13">
        <f>BY98*VLOOKUP('Données projet'!$B$12,Paramètres!$A$1:$I$89,3,0)*VLOOKUP('Données projet'!$B$12,Paramètres!$A$1:$I$89,5,0)</f>
        <v>306.15065520000047</v>
      </c>
      <c r="CA98" s="13">
        <f t="shared" si="93"/>
        <v>72.464350104451199</v>
      </c>
      <c r="CB98" s="20">
        <f t="shared" si="64"/>
        <v>659.42113423858666</v>
      </c>
      <c r="CC98" s="58">
        <f t="shared" si="65"/>
        <v>945.80011260609308</v>
      </c>
      <c r="CD98" s="58">
        <f ca="1">AVERAGE(OFFSET($CC$3,0,0,'Données projet'!$E$12+1,1))-AVERAGE(OFFSET($H$3,0,0,'Données projet'!$E$12+1,1))</f>
        <v>684.45757350513315</v>
      </c>
      <c r="CE98" s="58">
        <f t="shared" si="94"/>
        <v>301.78148341369194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29.093499003942867</v>
      </c>
      <c r="CL98" s="21">
        <f>EXP(-LN(2)/25)*CL97+(1-EXP(-LN(2)/25))/(LN(2)/25)*Calculateur!CG98*Calculateur!CI98*VLOOKUP('Données projet'!$B$12,Paramètres!$A$1:$I$89,3,0)*0.475*44/12</f>
        <v>28.834255330993241</v>
      </c>
      <c r="CM98" s="21">
        <f>EXP(-LN(2)/2)*CM97+(1-EXP(-LN(2)/2))/(LN(2)/2)*CG98*CJ98*VLOOKUP('Données projet'!$B$12,Paramètres!$A$1:$I$89,3,0)*0.475*44/12</f>
        <v>4.4116663739810154</v>
      </c>
      <c r="CN98" s="22">
        <f t="shared" si="66"/>
        <v>62.339420708917125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8" t="e">
        <f t="shared" si="68"/>
        <v>#N/A</v>
      </c>
      <c r="CY98" s="58" t="e">
        <f ca="1">AVERAGE(OFFSET($CX$3,0,0,'Données projet'!$E$13+1,1))-AVERAGE(OFFSET($H$3,0,0,'Données projet'!$E$13+1,1))</f>
        <v>#N/A</v>
      </c>
      <c r="CZ98" s="58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8" t="e">
        <f t="shared" si="71"/>
        <v>#N/A</v>
      </c>
      <c r="DT98" s="58" t="e">
        <f ca="1">AVERAGE(OFFSET($DS$3,0,0,'Données projet'!$E$14+1,1))-AVERAGE(OFFSET($H$3,0,0,'Données projet'!$E$14+1,1))</f>
        <v>#N/A</v>
      </c>
      <c r="DU98" s="58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8" t="e">
        <f t="shared" si="74"/>
        <v>#N/A</v>
      </c>
      <c r="EO98" s="58" t="e">
        <f ca="1">AVERAGE(OFFSET($EN$3,0,0,'Données projet'!$E$15+1,1))-AVERAGE(OFFSET($H$3,0,0,'Données projet'!$E$15+1,1))</f>
        <v>#N/A</v>
      </c>
      <c r="EP98" s="58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8" t="e">
        <f t="shared" si="77"/>
        <v>#N/A</v>
      </c>
      <c r="FJ98" s="58" t="e">
        <f ca="1">AVERAGE(OFFSET($FI$3,0,0,'Données projet'!$E$16+1,1))-AVERAGE(OFFSET($H$3,0,0,'Données projet'!$E$16+1,1))</f>
        <v>#N/A</v>
      </c>
      <c r="FK98" s="58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8" t="e">
        <f t="shared" si="80"/>
        <v>#N/A</v>
      </c>
      <c r="GE98" s="58" t="e">
        <f ca="1">AVERAGE(OFFSET($GD$3,0,0,'Données projet'!$E$17+1,1))-AVERAGE(OFFSET($H$3,0,0,'Données projet'!$E$17+1,1))</f>
        <v>#N/A</v>
      </c>
      <c r="GF98" s="58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68.103357736592642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8" t="e">
        <f t="shared" si="83"/>
        <v>#N/A</v>
      </c>
      <c r="GZ98" s="58" t="e">
        <f ca="1">AVERAGE(OFFSET($GY$3,0,0,'Données projet'!$E$18+1,1))-AVERAGE(OFFSET($H$3,0,0,'Données projet'!$E$18+1,1))</f>
        <v>#N/A</v>
      </c>
      <c r="HA98" s="58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2">
        <f>'Scénario référence'!$B$16*5+'Scénario référence'!$B$17*0+'Scénario référence'!$B$18*5</f>
        <v>2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7.333333333333333</v>
      </c>
      <c r="H99" s="66">
        <f t="shared" si="56"/>
        <v>227.33333333333334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8.9420000000000019</v>
      </c>
      <c r="N99" s="13">
        <f>IF('Données projet'!$A$36&gt;35,N98+M99-V98,IF(A99&lt;'Données projet'!$A$36,$K$205^A99,IF(A99='Données projet'!$A$36,'Données projet'!$B$36,N98+M99-V98)))</f>
        <v>330.6640000000005</v>
      </c>
      <c r="O99" s="13">
        <f>N99*VLOOKUP('Données projet'!$B$9,Paramètres!$A$1:$I$89,3,0)*VLOOKUP('Données projet'!$B$9,Paramètres!$A$1:$I$89,5,0)</f>
        <v>299.18478720000041</v>
      </c>
      <c r="P99" s="13">
        <f t="shared" si="87"/>
        <v>71.005536504727559</v>
      </c>
      <c r="Q99" s="20">
        <f t="shared" ref="Q99:Q130" si="107">(O99+P99)*0.475*44/12</f>
        <v>644.74814711906788</v>
      </c>
      <c r="R99" s="58">
        <f t="shared" si="55"/>
        <v>931.24776799762287</v>
      </c>
      <c r="S99" s="58">
        <f ca="1">AVERAGE(OFFSET($R$3,0,0,'Données projet'!$E$9+1,1))-AVERAGE(OFFSET($H$3,0,0,'Données projet'!$E$9+1,1))</f>
        <v>654.0179680178212</v>
      </c>
      <c r="T99" s="58">
        <f t="shared" si="88"/>
        <v>289.42065570013369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27.120223074720478</v>
      </c>
      <c r="AA99" s="21">
        <f>EXP(-LN(2)/25)*AA98+(1-EXP(-LN(2)/25))/(LN(2)/25)*Calculateur!V99*Calculateur!X99*VLOOKUP('Données projet'!$B$9,Paramètres!$A$1:$I$89,3,0)*0.475*44/12</f>
        <v>26.666480392673762</v>
      </c>
      <c r="AB99" s="21">
        <f>EXP(-LN(2)/2)*AB98+(1-EXP(-LN(2)/2))/(LN(2)/2)*V99*Y99*VLOOKUP('Données projet'!$B$9,Paramètres!$A$1:$I$89,3,0)*0.475*44/12</f>
        <v>2.9661002318644147</v>
      </c>
      <c r="AC99" s="22">
        <f t="shared" si="57"/>
        <v>56.752803699258656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8">
        <f t="shared" si="59"/>
        <v>286.49962087856181</v>
      </c>
      <c r="AN99" s="58">
        <f ca="1">AVERAGE(OFFSET($AM$3,0,0,'Données projet'!$E$10+1,1))-AVERAGE(OFFSET($H$3,0,0,'Données projet'!$E$10+1,1))</f>
        <v>447.44638185108147</v>
      </c>
      <c r="AO99" s="58">
        <f t="shared" si="90"/>
        <v>384.84260115068605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129.22716310021593</v>
      </c>
      <c r="AV99" s="21">
        <f>EXP(-LN(2)/25)*AV98+(1-EXP(-LN(2)/25))/(LN(2)/25)*Calculateur!AQ99*Calculateur!AS99*VLOOKUP('Données projet'!$B$10,Paramètres!$A$1:$I$89,3,0)*0.475*44/12</f>
        <v>37.318150928032516</v>
      </c>
      <c r="AW99" s="21">
        <f>EXP(-LN(2)/2)*AW98+(1-EXP(-LN(2)/2))/(LN(2)/2)*AQ99*AT99*VLOOKUP('Données projet'!$B$10,Paramètres!$A$1:$I$89,3,0)*0.475*44/12</f>
        <v>8.9187929993628012E-2</v>
      </c>
      <c r="AX99" s="21">
        <f t="shared" si="60"/>
        <v>166.63450195824208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335.29329600000057</v>
      </c>
      <c r="BF99" s="13">
        <f t="shared" si="91"/>
        <v>78.526724041362712</v>
      </c>
      <c r="BG99" s="20">
        <f t="shared" si="61"/>
        <v>720.73653490537436</v>
      </c>
      <c r="BH99" s="58">
        <f t="shared" si="62"/>
        <v>1007.2361557839293</v>
      </c>
      <c r="BI99" s="58">
        <f ca="1">AVERAGE(OFFSET($BH$3,0,0,'Données projet'!$E$11+1,1))-AVERAGE(OFFSET($H$3,0,0,'Données projet'!$E$11+1,1))</f>
        <v>724.99760740673071</v>
      </c>
      <c r="BJ99" s="58">
        <f t="shared" si="92"/>
        <v>318.24184272438208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30.393353445807435</v>
      </c>
      <c r="BQ99" s="21">
        <f>EXP(-LN(2)/25)*BQ98+(1-EXP(-LN(2)/25))/(LN(2)/25)*Calculateur!BL99*Calculateur!BN99*VLOOKUP('Données projet'!$B$11,Paramètres!$A$1:$I$89,3,0)*0.475*44/12</f>
        <v>29.884848715927493</v>
      </c>
      <c r="BR99" s="21">
        <f>EXP(-LN(2)/2)*BR98+(1-EXP(-LN(2)/2))/(LN(2)/2)*BL99*BO99*VLOOKUP('Données projet'!$B$11,Paramètres!$A$1:$I$89,3,0)*0.475*44/12</f>
        <v>3.3240778460549487</v>
      </c>
      <c r="BS99" s="22">
        <f t="shared" si="63"/>
        <v>63.602280007789872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8.9420000000000019</v>
      </c>
      <c r="BY99" s="12">
        <f>IF('Données projet'!$A$114&gt;35,BY98+BX99-CG98,IF(A99&lt;'Données projet'!$A$114,$BV$205^A99,IF(A99='Données projet'!$A$114,'Données projet'!$B$114,BY98+BX99-CG98)))</f>
        <v>330.6640000000005</v>
      </c>
      <c r="BZ99" s="13">
        <f>BY99*VLOOKUP('Données projet'!$B$12,Paramètres!$A$1:$I$89,3,0)*VLOOKUP('Données projet'!$B$12,Paramètres!$A$1:$I$89,5,0)</f>
        <v>314.65986240000052</v>
      </c>
      <c r="CA99" s="13">
        <f t="shared" si="93"/>
        <v>74.241148258745596</v>
      </c>
      <c r="CB99" s="20">
        <f t="shared" si="64"/>
        <v>677.3359268973162</v>
      </c>
      <c r="CC99" s="58">
        <f t="shared" si="65"/>
        <v>963.83554777587119</v>
      </c>
      <c r="CD99" s="58">
        <f ca="1">AVERAGE(OFFSET($CC$3,0,0,'Données projet'!$E$12+1,1))-AVERAGE(OFFSET($H$3,0,0,'Données projet'!$E$12+1,1))</f>
        <v>684.45757350513315</v>
      </c>
      <c r="CE99" s="58">
        <f t="shared" si="94"/>
        <v>301.78148341369194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28.522993233757738</v>
      </c>
      <c r="CL99" s="21">
        <f>EXP(-LN(2)/25)*CL98+(1-EXP(-LN(2)/25))/(LN(2)/25)*Calculateur!CG99*Calculateur!CI99*VLOOKUP('Données projet'!$B$12,Paramètres!$A$1:$I$89,3,0)*0.475*44/12</f>
        <v>28.045781102639644</v>
      </c>
      <c r="CM99" s="21">
        <f>EXP(-LN(2)/2)*CM98+(1-EXP(-LN(2)/2))/(LN(2)/2)*CG99*CJ99*VLOOKUP('Données projet'!$B$12,Paramètres!$A$1:$I$89,3,0)*0.475*44/12</f>
        <v>3.1195192093746438</v>
      </c>
      <c r="CN99" s="22">
        <f t="shared" si="66"/>
        <v>59.688293545772027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8" t="e">
        <f t="shared" si="68"/>
        <v>#N/A</v>
      </c>
      <c r="CY99" s="58" t="e">
        <f ca="1">AVERAGE(OFFSET($CX$3,0,0,'Données projet'!$E$13+1,1))-AVERAGE(OFFSET($H$3,0,0,'Données projet'!$E$13+1,1))</f>
        <v>#N/A</v>
      </c>
      <c r="CZ99" s="58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8" t="e">
        <f t="shared" si="71"/>
        <v>#N/A</v>
      </c>
      <c r="DT99" s="58" t="e">
        <f ca="1">AVERAGE(OFFSET($DS$3,0,0,'Données projet'!$E$14+1,1))-AVERAGE(OFFSET($H$3,0,0,'Données projet'!$E$14+1,1))</f>
        <v>#N/A</v>
      </c>
      <c r="DU99" s="58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8" t="e">
        <f t="shared" si="74"/>
        <v>#N/A</v>
      </c>
      <c r="EO99" s="58" t="e">
        <f ca="1">AVERAGE(OFFSET($EN$3,0,0,'Données projet'!$E$15+1,1))-AVERAGE(OFFSET($H$3,0,0,'Données projet'!$E$15+1,1))</f>
        <v>#N/A</v>
      </c>
      <c r="EP99" s="58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8" t="e">
        <f t="shared" si="77"/>
        <v>#N/A</v>
      </c>
      <c r="FJ99" s="58" t="e">
        <f ca="1">AVERAGE(OFFSET($FI$3,0,0,'Données projet'!$E$16+1,1))-AVERAGE(OFFSET($H$3,0,0,'Données projet'!$E$16+1,1))</f>
        <v>#N/A</v>
      </c>
      <c r="FK99" s="58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8" t="e">
        <f t="shared" si="80"/>
        <v>#N/A</v>
      </c>
      <c r="GE99" s="58" t="e">
        <f ca="1">AVERAGE(OFFSET($GD$3,0,0,'Données projet'!$E$17+1,1))-AVERAGE(OFFSET($H$3,0,0,'Données projet'!$E$17+1,1))</f>
        <v>#N/A</v>
      </c>
      <c r="GF99" s="58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68.136260239605903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8" t="e">
        <f t="shared" si="83"/>
        <v>#N/A</v>
      </c>
      <c r="GZ99" s="58" t="e">
        <f ca="1">AVERAGE(OFFSET($GY$3,0,0,'Données projet'!$E$18+1,1))-AVERAGE(OFFSET($H$3,0,0,'Données projet'!$E$18+1,1))</f>
        <v>#N/A</v>
      </c>
      <c r="HA99" s="58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2">
        <f>'Scénario référence'!$B$16*5+'Scénario référence'!$B$17*0+'Scénario référence'!$B$18*5</f>
        <v>2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7.333333333333333</v>
      </c>
      <c r="H100" s="66">
        <f t="shared" si="56"/>
        <v>227.33333333333334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8.9420000000000019</v>
      </c>
      <c r="N100" s="13">
        <f>IF('Données projet'!$A$36&gt;35,N99+M100-V99,IF(A100&lt;'Données projet'!$A$36,$K$205^A100,IF(A100='Données projet'!$A$36,'Données projet'!$B$36,N99+M100-V99)))</f>
        <v>339.60600000000051</v>
      </c>
      <c r="O100" s="13">
        <f>N100*VLOOKUP('Données projet'!$B$9,Paramètres!$A$1:$I$89,3,0)*VLOOKUP('Données projet'!$B$9,Paramètres!$A$1:$I$89,5,0)</f>
        <v>307.27550880000041</v>
      </c>
      <c r="P100" s="13">
        <f t="shared" si="87"/>
        <v>72.699555980078841</v>
      </c>
      <c r="Q100" s="20">
        <f t="shared" si="107"/>
        <v>661.78990449197136</v>
      </c>
      <c r="R100" s="58">
        <f t="shared" si="55"/>
        <v>948.40807500372443</v>
      </c>
      <c r="S100" s="58">
        <f ca="1">AVERAGE(OFFSET($R$3,0,0,'Données projet'!$E$9+1,1))-AVERAGE(OFFSET($H$3,0,0,'Données projet'!$E$9+1,1))</f>
        <v>654.0179680178212</v>
      </c>
      <c r="T100" s="58">
        <f t="shared" si="88"/>
        <v>289.42065570013369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26.588412041927928</v>
      </c>
      <c r="AA100" s="21">
        <f>EXP(-LN(2)/25)*AA99+(1-EXP(-LN(2)/25))/(LN(2)/25)*Calculateur!V100*Calculateur!X100*VLOOKUP('Données projet'!$B$9,Paramètres!$A$1:$I$89,3,0)*0.475*44/12</f>
        <v>25.937284084006841</v>
      </c>
      <c r="AB100" s="21">
        <f>EXP(-LN(2)/2)*AB99+(1-EXP(-LN(2)/2))/(LN(2)/2)*V100*Y100*VLOOKUP('Données projet'!$B$9,Paramètres!$A$1:$I$89,3,0)*0.475*44/12</f>
        <v>2.0973495876303185</v>
      </c>
      <c r="AC100" s="22">
        <f t="shared" si="57"/>
        <v>54.623045713565091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8">
        <f t="shared" si="59"/>
        <v>286.61817051175996</v>
      </c>
      <c r="AN100" s="58">
        <f ca="1">AVERAGE(OFFSET($AM$3,0,0,'Données projet'!$E$10+1,1))-AVERAGE(OFFSET($H$3,0,0,'Données projet'!$E$10+1,1))</f>
        <v>447.44638185108147</v>
      </c>
      <c r="AO100" s="58">
        <f t="shared" si="90"/>
        <v>384.84260115068605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126.69309725260729</v>
      </c>
      <c r="AV100" s="21">
        <f>EXP(-LN(2)/25)*AV99+(1-EXP(-LN(2)/25))/(LN(2)/25)*Calculateur!AQ100*Calculateur!AS100*VLOOKUP('Données projet'!$B$10,Paramètres!$A$1:$I$89,3,0)*0.475*44/12</f>
        <v>36.297684128429204</v>
      </c>
      <c r="AW100" s="21">
        <f>EXP(-LN(2)/2)*AW99+(1-EXP(-LN(2)/2))/(LN(2)/2)*AQ100*AT100*VLOOKUP('Données projet'!$B$10,Paramètres!$A$1:$I$89,3,0)*0.475*44/12</f>
        <v>6.3065390098485441E-2</v>
      </c>
      <c r="AX100" s="21">
        <f t="shared" si="60"/>
        <v>163.05384677113497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344.36048400000055</v>
      </c>
      <c r="BF100" s="13">
        <f t="shared" si="91"/>
        <v>80.400180766145681</v>
      </c>
      <c r="BG100" s="20">
        <f t="shared" si="61"/>
        <v>739.79149113437143</v>
      </c>
      <c r="BH100" s="58">
        <f t="shared" si="62"/>
        <v>1026.4096616461245</v>
      </c>
      <c r="BI100" s="58">
        <f ca="1">AVERAGE(OFFSET($BH$3,0,0,'Données projet'!$E$11+1,1))-AVERAGE(OFFSET($H$3,0,0,'Données projet'!$E$11+1,1))</f>
        <v>724.99760740673071</v>
      </c>
      <c r="BJ100" s="58">
        <f t="shared" si="92"/>
        <v>318.24184272438208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29.797358322850265</v>
      </c>
      <c r="BQ100" s="21">
        <f>EXP(-LN(2)/25)*BQ99+(1-EXP(-LN(2)/25))/(LN(2)/25)*Calculateur!BL100*Calculateur!BN100*VLOOKUP('Données projet'!$B$11,Paramètres!$A$1:$I$89,3,0)*0.475*44/12</f>
        <v>29.067645956214566</v>
      </c>
      <c r="BR100" s="21">
        <f>EXP(-LN(2)/2)*BR99+(1-EXP(-LN(2)/2))/(LN(2)/2)*BL100*BO100*VLOOKUP('Données projet'!$B$11,Paramètres!$A$1:$I$89,3,0)*0.475*44/12</f>
        <v>2.350477986137427</v>
      </c>
      <c r="BS100" s="22">
        <f t="shared" si="63"/>
        <v>61.215482265202262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8.9420000000000019</v>
      </c>
      <c r="BY100" s="12">
        <f>IF('Données projet'!$A$114&gt;35,BY99+BX100-CG99,IF(A100&lt;'Données projet'!$A$114,$BV$205^A100,IF(A100='Données projet'!$A$114,'Données projet'!$B$114,BY99+BX100-CG99)))</f>
        <v>339.60600000000051</v>
      </c>
      <c r="BZ100" s="13">
        <f>BY100*VLOOKUP('Données projet'!$B$12,Paramètres!$A$1:$I$89,3,0)*VLOOKUP('Données projet'!$B$12,Paramètres!$A$1:$I$89,5,0)</f>
        <v>323.16906960000051</v>
      </c>
      <c r="CA100" s="13">
        <f t="shared" si="93"/>
        <v>76.012361564265504</v>
      </c>
      <c r="CB100" s="20">
        <f t="shared" si="64"/>
        <v>695.24099261109666</v>
      </c>
      <c r="CC100" s="58">
        <f t="shared" si="65"/>
        <v>981.85916312284985</v>
      </c>
      <c r="CD100" s="58">
        <f ca="1">AVERAGE(OFFSET($CC$3,0,0,'Données projet'!$E$12+1,1))-AVERAGE(OFFSET($H$3,0,0,'Données projet'!$E$12+1,1))</f>
        <v>684.45757350513315</v>
      </c>
      <c r="CE100" s="58">
        <f t="shared" si="94"/>
        <v>301.78148341369194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27.96367473375178</v>
      </c>
      <c r="CL100" s="21">
        <f>EXP(-LN(2)/25)*CL99+(1-EXP(-LN(2)/25))/(LN(2)/25)*Calculateur!CG100*Calculateur!CI100*VLOOKUP('Données projet'!$B$12,Paramètres!$A$1:$I$89,3,0)*0.475*44/12</f>
        <v>27.278867743524433</v>
      </c>
      <c r="CM100" s="21">
        <f>EXP(-LN(2)/2)*CM99+(1-EXP(-LN(2)/2))/(LN(2)/2)*CG100*CJ100*VLOOKUP('Données projet'!$B$12,Paramètres!$A$1:$I$89,3,0)*0.475*44/12</f>
        <v>2.2058331869905081</v>
      </c>
      <c r="CN100" s="22">
        <f t="shared" si="66"/>
        <v>57.448375664266727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8" t="e">
        <f t="shared" si="68"/>
        <v>#N/A</v>
      </c>
      <c r="CY100" s="58" t="e">
        <f ca="1">AVERAGE(OFFSET($CX$3,0,0,'Données projet'!$E$13+1,1))-AVERAGE(OFFSET($H$3,0,0,'Données projet'!$E$13+1,1))</f>
        <v>#N/A</v>
      </c>
      <c r="CZ100" s="58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8" t="e">
        <f t="shared" si="71"/>
        <v>#N/A</v>
      </c>
      <c r="DT100" s="58" t="e">
        <f ca="1">AVERAGE(OFFSET($DS$3,0,0,'Données projet'!$E$14+1,1))-AVERAGE(OFFSET($H$3,0,0,'Données projet'!$E$14+1,1))</f>
        <v>#N/A</v>
      </c>
      <c r="DU100" s="58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8" t="e">
        <f t="shared" si="74"/>
        <v>#N/A</v>
      </c>
      <c r="EO100" s="58" t="e">
        <f ca="1">AVERAGE(OFFSET($EN$3,0,0,'Données projet'!$E$15+1,1))-AVERAGE(OFFSET($H$3,0,0,'Données projet'!$E$15+1,1))</f>
        <v>#N/A</v>
      </c>
      <c r="EP100" s="58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8" t="e">
        <f t="shared" si="77"/>
        <v>#N/A</v>
      </c>
      <c r="FJ100" s="58" t="e">
        <f ca="1">AVERAGE(OFFSET($FI$3,0,0,'Données projet'!$E$16+1,1))-AVERAGE(OFFSET($H$3,0,0,'Données projet'!$E$16+1,1))</f>
        <v>#N/A</v>
      </c>
      <c r="FK100" s="58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8" t="e">
        <f t="shared" si="80"/>
        <v>#N/A</v>
      </c>
      <c r="GE100" s="58" t="e">
        <f ca="1">AVERAGE(OFFSET($GD$3,0,0,'Données projet'!$E$17+1,1))-AVERAGE(OFFSET($H$3,0,0,'Données projet'!$E$17+1,1))</f>
        <v>#N/A</v>
      </c>
      <c r="GF100" s="58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68.168591957750849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8" t="e">
        <f t="shared" si="83"/>
        <v>#N/A</v>
      </c>
      <c r="GZ100" s="58" t="e">
        <f ca="1">AVERAGE(OFFSET($GY$3,0,0,'Données projet'!$E$18+1,1))-AVERAGE(OFFSET($H$3,0,0,'Données projet'!$E$18+1,1))</f>
        <v>#N/A</v>
      </c>
      <c r="HA100" s="58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2">
        <f>'Scénario référence'!$B$16*5+'Scénario référence'!$B$17*0+'Scénario référence'!$B$18*5</f>
        <v>2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7.333333333333333</v>
      </c>
      <c r="H101" s="66">
        <f t="shared" si="56"/>
        <v>227.33333333333334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8.9420000000000019</v>
      </c>
      <c r="N101" s="13">
        <f>IF('Données projet'!$A$36&gt;35,N100+M101-V100,IF(A101&lt;'Données projet'!$A$36,$K$205^A101,IF(A101='Données projet'!$A$36,'Données projet'!$B$36,N100+M101-V100)))</f>
        <v>348.54800000000051</v>
      </c>
      <c r="O101" s="13">
        <f>N101*VLOOKUP('Données projet'!$B$9,Paramètres!$A$1:$I$89,3,0)*VLOOKUP('Données projet'!$B$9,Paramètres!$A$1:$I$89,5,0)</f>
        <v>315.36623040000046</v>
      </c>
      <c r="P101" s="13">
        <f t="shared" si="87"/>
        <v>74.38839081830163</v>
      </c>
      <c r="Q101" s="20">
        <f t="shared" si="107"/>
        <v>678.82263195520943</v>
      </c>
      <c r="R101" s="58">
        <f t="shared" si="55"/>
        <v>965.557295529062</v>
      </c>
      <c r="S101" s="58">
        <f ca="1">AVERAGE(OFFSET($R$3,0,0,'Données projet'!$E$9+1,1))-AVERAGE(OFFSET($H$3,0,0,'Données projet'!$E$9+1,1))</f>
        <v>654.0179680178212</v>
      </c>
      <c r="T101" s="58">
        <f t="shared" si="88"/>
        <v>289.42065570013369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26.067029499115737</v>
      </c>
      <c r="AA101" s="21">
        <f>EXP(-LN(2)/25)*AA100+(1-EXP(-LN(2)/25))/(LN(2)/25)*Calculateur!V101*Calculateur!X101*VLOOKUP('Données projet'!$B$9,Paramètres!$A$1:$I$89,3,0)*0.475*44/12</f>
        <v>25.228027686747183</v>
      </c>
      <c r="AB101" s="21">
        <f>EXP(-LN(2)/2)*AB100+(1-EXP(-LN(2)/2))/(LN(2)/2)*V101*Y101*VLOOKUP('Données projet'!$B$9,Paramètres!$A$1:$I$89,3,0)*0.475*44/12</f>
        <v>1.4830501159322074</v>
      </c>
      <c r="AC101" s="22">
        <f t="shared" si="57"/>
        <v>52.778107301795124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8">
        <f t="shared" si="59"/>
        <v>286.73466357385934</v>
      </c>
      <c r="AN101" s="58">
        <f ca="1">AVERAGE(OFFSET($AM$3,0,0,'Données projet'!$E$10+1,1))-AVERAGE(OFFSET($H$3,0,0,'Données projet'!$E$10+1,1))</f>
        <v>447.44638185108147</v>
      </c>
      <c r="AO101" s="58">
        <f t="shared" si="90"/>
        <v>384.84260115068605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124.20872289064269</v>
      </c>
      <c r="AV101" s="21">
        <f>EXP(-LN(2)/25)*AV100+(1-EXP(-LN(2)/25))/(LN(2)/25)*Calculateur!AQ101*Calculateur!AS101*VLOOKUP('Données projet'!$B$10,Paramètres!$A$1:$I$89,3,0)*0.475*44/12</f>
        <v>35.30512204712506</v>
      </c>
      <c r="AW101" s="21">
        <f>EXP(-LN(2)/2)*AW100+(1-EXP(-LN(2)/2))/(LN(2)/2)*AQ101*AT101*VLOOKUP('Données projet'!$B$10,Paramètres!$A$1:$I$89,3,0)*0.475*44/12</f>
        <v>4.4593964996814006E-2</v>
      </c>
      <c r="AX101" s="21">
        <f t="shared" si="60"/>
        <v>159.55843890276455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353.42767200000054</v>
      </c>
      <c r="BF101" s="13">
        <f t="shared" si="91"/>
        <v>82.26790367650959</v>
      </c>
      <c r="BG101" s="20">
        <f t="shared" si="61"/>
        <v>758.83646096992186</v>
      </c>
      <c r="BH101" s="58">
        <f t="shared" si="62"/>
        <v>1045.5711245437744</v>
      </c>
      <c r="BI101" s="58">
        <f ca="1">AVERAGE(OFFSET($BH$3,0,0,'Données projet'!$E$11+1,1))-AVERAGE(OFFSET($H$3,0,0,'Données projet'!$E$11+1,1))</f>
        <v>724.99760740673071</v>
      </c>
      <c r="BJ101" s="58">
        <f t="shared" si="92"/>
        <v>318.24184272438208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29.213050300733155</v>
      </c>
      <c r="BQ101" s="21">
        <f>EXP(-LN(2)/25)*BQ100+(1-EXP(-LN(2)/25))/(LN(2)/25)*Calculateur!BL101*Calculateur!BN101*VLOOKUP('Données projet'!$B$11,Paramètres!$A$1:$I$89,3,0)*0.475*44/12</f>
        <v>28.272789648940812</v>
      </c>
      <c r="BR101" s="21">
        <f>EXP(-LN(2)/2)*BR100+(1-EXP(-LN(2)/2))/(LN(2)/2)*BL101*BO101*VLOOKUP('Données projet'!$B$11,Paramètres!$A$1:$I$89,3,0)*0.475*44/12</f>
        <v>1.6620389230274746</v>
      </c>
      <c r="BS101" s="22">
        <f t="shared" si="63"/>
        <v>59.14787887270144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8.9420000000000019</v>
      </c>
      <c r="BY101" s="12">
        <f>IF('Données projet'!$A$114&gt;35,BY100+BX101-CG100,IF(A101&lt;'Données projet'!$A$114,$BV$205^A101,IF(A101='Données projet'!$A$114,'Données projet'!$B$114,BY100+BX101-CG100)))</f>
        <v>348.54800000000051</v>
      </c>
      <c r="BZ101" s="13">
        <f>BY101*VLOOKUP('Données projet'!$B$12,Paramètres!$A$1:$I$89,3,0)*VLOOKUP('Données projet'!$B$12,Paramètres!$A$1:$I$89,5,0)</f>
        <v>331.6782768000005</v>
      </c>
      <c r="CA101" s="13">
        <f t="shared" si="93"/>
        <v>77.778153976814764</v>
      </c>
      <c r="CB101" s="20">
        <f t="shared" si="64"/>
        <v>713.13661693628671</v>
      </c>
      <c r="CC101" s="58">
        <f t="shared" si="65"/>
        <v>999.87128051013929</v>
      </c>
      <c r="CD101" s="58">
        <f ca="1">AVERAGE(OFFSET($CC$3,0,0,'Données projet'!$E$12+1,1))-AVERAGE(OFFSET($H$3,0,0,'Données projet'!$E$12+1,1))</f>
        <v>684.45757350513315</v>
      </c>
      <c r="CE101" s="58">
        <f t="shared" si="94"/>
        <v>301.78148341369194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27.415324128380341</v>
      </c>
      <c r="CL101" s="21">
        <f>EXP(-LN(2)/25)*CL100+(1-EXP(-LN(2)/25))/(LN(2)/25)*Calculateur!CG101*Calculateur!CI101*VLOOKUP('Données projet'!$B$12,Paramètres!$A$1:$I$89,3,0)*0.475*44/12</f>
        <v>26.532925670544451</v>
      </c>
      <c r="CM101" s="21">
        <f>EXP(-LN(2)/2)*CM100+(1-EXP(-LN(2)/2))/(LN(2)/2)*CG101*CJ101*VLOOKUP('Données projet'!$B$12,Paramètres!$A$1:$I$89,3,0)*0.475*44/12</f>
        <v>1.5597596046873221</v>
      </c>
      <c r="CN101" s="22">
        <f t="shared" si="66"/>
        <v>55.508009403612114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8" t="e">
        <f t="shared" si="68"/>
        <v>#N/A</v>
      </c>
      <c r="CY101" s="58" t="e">
        <f ca="1">AVERAGE(OFFSET($CX$3,0,0,'Données projet'!$E$13+1,1))-AVERAGE(OFFSET($H$3,0,0,'Données projet'!$E$13+1,1))</f>
        <v>#N/A</v>
      </c>
      <c r="CZ101" s="58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8" t="e">
        <f t="shared" si="71"/>
        <v>#N/A</v>
      </c>
      <c r="DT101" s="58" t="e">
        <f ca="1">AVERAGE(OFFSET($DS$3,0,0,'Données projet'!$E$14+1,1))-AVERAGE(OFFSET($H$3,0,0,'Données projet'!$E$14+1,1))</f>
        <v>#N/A</v>
      </c>
      <c r="DU101" s="58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8" t="e">
        <f t="shared" si="74"/>
        <v>#N/A</v>
      </c>
      <c r="EO101" s="58" t="e">
        <f ca="1">AVERAGE(OFFSET($EN$3,0,0,'Données projet'!$E$15+1,1))-AVERAGE(OFFSET($H$3,0,0,'Données projet'!$E$15+1,1))</f>
        <v>#N/A</v>
      </c>
      <c r="EP101" s="58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8" t="e">
        <f t="shared" si="77"/>
        <v>#N/A</v>
      </c>
      <c r="FJ101" s="58" t="e">
        <f ca="1">AVERAGE(OFFSET($FI$3,0,0,'Données projet'!$E$16+1,1))-AVERAGE(OFFSET($H$3,0,0,'Données projet'!$E$16+1,1))</f>
        <v>#N/A</v>
      </c>
      <c r="FK101" s="58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8" t="e">
        <f t="shared" si="80"/>
        <v>#N/A</v>
      </c>
      <c r="GE101" s="58" t="e">
        <f ca="1">AVERAGE(OFFSET($GD$3,0,0,'Données projet'!$E$17+1,1))-AVERAGE(OFFSET($H$3,0,0,'Données projet'!$E$17+1,1))</f>
        <v>#N/A</v>
      </c>
      <c r="GF101" s="58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68.200362792868873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8" t="e">
        <f t="shared" si="83"/>
        <v>#N/A</v>
      </c>
      <c r="GZ101" s="58" t="e">
        <f ca="1">AVERAGE(OFFSET($GY$3,0,0,'Données projet'!$E$18+1,1))-AVERAGE(OFFSET($H$3,0,0,'Données projet'!$E$18+1,1))</f>
        <v>#N/A</v>
      </c>
      <c r="HA101" s="58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2">
        <f>'Scénario référence'!$B$16*5+'Scénario référence'!$B$17*0+'Scénario référence'!$B$18*5</f>
        <v>2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7.333333333333333</v>
      </c>
      <c r="H102" s="66">
        <f t="shared" si="56"/>
        <v>227.33333333333334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8.9420000000000019</v>
      </c>
      <c r="N102" s="13">
        <f>IF('Données projet'!$A$36&gt;35,N101+M102-V101,IF(A102&lt;'Données projet'!$A$36,$K$205^A102,IF(A102='Données projet'!$A$36,'Données projet'!$B$36,N101+M102-V101)))</f>
        <v>357.49000000000052</v>
      </c>
      <c r="O102" s="13">
        <f>N102*VLOOKUP('Données projet'!$B$9,Paramètres!$A$1:$I$89,3,0)*VLOOKUP('Données projet'!$B$9,Paramètres!$A$1:$I$89,5,0)</f>
        <v>323.45695200000046</v>
      </c>
      <c r="P102" s="13">
        <f t="shared" si="87"/>
        <v>76.072189325282608</v>
      </c>
      <c r="Q102" s="20">
        <f t="shared" si="107"/>
        <v>695.84658780820121</v>
      </c>
      <c r="R102" s="58">
        <f t="shared" si="55"/>
        <v>982.69572354996524</v>
      </c>
      <c r="S102" s="58">
        <f ca="1">AVERAGE(OFFSET($R$3,0,0,'Données projet'!$E$9+1,1))-AVERAGE(OFFSET($H$3,0,0,'Données projet'!$E$9+1,1))</f>
        <v>654.0179680178212</v>
      </c>
      <c r="T102" s="58">
        <f t="shared" si="88"/>
        <v>289.42065570013369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25.555870949956144</v>
      </c>
      <c r="AA102" s="21">
        <f>EXP(-LN(2)/25)*AA101+(1-EXP(-LN(2)/25))/(LN(2)/25)*Calculateur!V102*Calculateur!X102*VLOOKUP('Données projet'!$B$9,Paramètres!$A$1:$I$89,3,0)*0.475*44/12</f>
        <v>24.538165942968764</v>
      </c>
      <c r="AB102" s="21">
        <f>EXP(-LN(2)/2)*AB101+(1-EXP(-LN(2)/2))/(LN(2)/2)*V102*Y102*VLOOKUP('Données projet'!$B$9,Paramètres!$A$1:$I$89,3,0)*0.475*44/12</f>
        <v>1.0486747938151593</v>
      </c>
      <c r="AC102" s="22">
        <f t="shared" si="57"/>
        <v>51.142711686740064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8">
        <f t="shared" si="59"/>
        <v>286.84913574177085</v>
      </c>
      <c r="AN102" s="58">
        <f ca="1">AVERAGE(OFFSET($AM$3,0,0,'Données projet'!$E$10+1,1))-AVERAGE(OFFSET($H$3,0,0,'Données projet'!$E$10+1,1))</f>
        <v>447.44638185108147</v>
      </c>
      <c r="AO102" s="58">
        <f t="shared" si="90"/>
        <v>384.84260115068605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121.77306559459748</v>
      </c>
      <c r="AV102" s="21">
        <f>EXP(-LN(2)/25)*AV101+(1-EXP(-LN(2)/25))/(LN(2)/25)*Calculateur!AQ102*Calculateur!AS102*VLOOKUP('Données projet'!$B$10,Paramètres!$A$1:$I$89,3,0)*0.475*44/12</f>
        <v>34.339701628130747</v>
      </c>
      <c r="AW102" s="21">
        <f>EXP(-LN(2)/2)*AW101+(1-EXP(-LN(2)/2))/(LN(2)/2)*AQ102*AT102*VLOOKUP('Données projet'!$B$10,Paramètres!$A$1:$I$89,3,0)*0.475*44/12</f>
        <v>3.153269504924272E-2</v>
      </c>
      <c r="AX102" s="21">
        <f t="shared" si="60"/>
        <v>156.14429991777746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362.49486000000059</v>
      </c>
      <c r="BF102" s="13">
        <f t="shared" si="91"/>
        <v>84.130056787487845</v>
      </c>
      <c r="BG102" s="20">
        <f t="shared" si="61"/>
        <v>777.87173007154217</v>
      </c>
      <c r="BH102" s="58">
        <f t="shared" si="62"/>
        <v>1064.7208658133063</v>
      </c>
      <c r="BI102" s="58">
        <f ca="1">AVERAGE(OFFSET($BH$3,0,0,'Données projet'!$E$11+1,1))-AVERAGE(OFFSET($H$3,0,0,'Données projet'!$E$11+1,1))</f>
        <v>724.99760740673071</v>
      </c>
      <c r="BJ102" s="58">
        <f t="shared" si="92"/>
        <v>318.24184272438208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28.640200202537059</v>
      </c>
      <c r="BQ102" s="21">
        <f>EXP(-LN(2)/25)*BQ101+(1-EXP(-LN(2)/25))/(LN(2)/25)*Calculateur!BL102*Calculateur!BN102*VLOOKUP('Données projet'!$B$11,Paramètres!$A$1:$I$89,3,0)*0.475*44/12</f>
        <v>27.499668729189136</v>
      </c>
      <c r="BR102" s="21">
        <f>EXP(-LN(2)/2)*BR101+(1-EXP(-LN(2)/2))/(LN(2)/2)*BL102*BO102*VLOOKUP('Données projet'!$B$11,Paramètres!$A$1:$I$89,3,0)*0.475*44/12</f>
        <v>1.1752389930687137</v>
      </c>
      <c r="BS102" s="22">
        <f t="shared" si="63"/>
        <v>57.315107924794916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8.9420000000000019</v>
      </c>
      <c r="BY102" s="12">
        <f>IF('Données projet'!$A$114&gt;35,BY101+BX102-CG101,IF(A102&lt;'Données projet'!$A$114,$BV$205^A102,IF(A102='Données projet'!$A$114,'Données projet'!$B$114,BY101+BX102-CG101)))</f>
        <v>357.49000000000052</v>
      </c>
      <c r="BZ102" s="13">
        <f>BY102*VLOOKUP('Données projet'!$B$12,Paramètres!$A$1:$I$89,3,0)*VLOOKUP('Données projet'!$B$12,Paramètres!$A$1:$I$89,5,0)</f>
        <v>340.1874840000005</v>
      </c>
      <c r="CA102" s="13">
        <f t="shared" si="93"/>
        <v>79.538680560348226</v>
      </c>
      <c r="CB102" s="20">
        <f t="shared" si="64"/>
        <v>731.02306994260732</v>
      </c>
      <c r="CC102" s="58">
        <f t="shared" si="65"/>
        <v>1017.8722056843714</v>
      </c>
      <c r="CD102" s="58">
        <f ca="1">AVERAGE(OFFSET($CC$3,0,0,'Données projet'!$E$12+1,1))-AVERAGE(OFFSET($H$3,0,0,'Données projet'!$E$12+1,1))</f>
        <v>684.45757350513315</v>
      </c>
      <c r="CE102" s="58">
        <f t="shared" si="94"/>
        <v>301.78148341369194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26.877726343919392</v>
      </c>
      <c r="CL102" s="21">
        <f>EXP(-LN(2)/25)*CL101+(1-EXP(-LN(2)/25))/(LN(2)/25)*Calculateur!CG102*Calculateur!CI102*VLOOKUP('Données projet'!$B$12,Paramètres!$A$1:$I$89,3,0)*0.475*44/12</f>
        <v>25.807381422777492</v>
      </c>
      <c r="CM102" s="21">
        <f>EXP(-LN(2)/2)*CM101+(1-EXP(-LN(2)/2))/(LN(2)/2)*CG102*CJ102*VLOOKUP('Données projet'!$B$12,Paramètres!$A$1:$I$89,3,0)*0.475*44/12</f>
        <v>1.1029165934952543</v>
      </c>
      <c r="CN102" s="22">
        <f t="shared" si="66"/>
        <v>53.788024360192139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8" t="e">
        <f t="shared" si="68"/>
        <v>#N/A</v>
      </c>
      <c r="CY102" s="58" t="e">
        <f ca="1">AVERAGE(OFFSET($CX$3,0,0,'Données projet'!$E$13+1,1))-AVERAGE(OFFSET($H$3,0,0,'Données projet'!$E$13+1,1))</f>
        <v>#N/A</v>
      </c>
      <c r="CZ102" s="58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8" t="e">
        <f t="shared" si="71"/>
        <v>#N/A</v>
      </c>
      <c r="DT102" s="58" t="e">
        <f ca="1">AVERAGE(OFFSET($DS$3,0,0,'Données projet'!$E$14+1,1))-AVERAGE(OFFSET($H$3,0,0,'Données projet'!$E$14+1,1))</f>
        <v>#N/A</v>
      </c>
      <c r="DU102" s="58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8" t="e">
        <f t="shared" si="74"/>
        <v>#N/A</v>
      </c>
      <c r="EO102" s="58" t="e">
        <f ca="1">AVERAGE(OFFSET($EN$3,0,0,'Données projet'!$E$15+1,1))-AVERAGE(OFFSET($H$3,0,0,'Données projet'!$E$15+1,1))</f>
        <v>#N/A</v>
      </c>
      <c r="EP102" s="58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8" t="e">
        <f t="shared" si="77"/>
        <v>#N/A</v>
      </c>
      <c r="FJ102" s="58" t="e">
        <f ca="1">AVERAGE(OFFSET($FI$3,0,0,'Données projet'!$E$16+1,1))-AVERAGE(OFFSET($H$3,0,0,'Données projet'!$E$16+1,1))</f>
        <v>#N/A</v>
      </c>
      <c r="FK102" s="58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8" t="e">
        <f t="shared" si="80"/>
        <v>#N/A</v>
      </c>
      <c r="GE102" s="58" t="e">
        <f ca="1">AVERAGE(OFFSET($GD$3,0,0,'Données projet'!$E$17+1,1))-AVERAGE(OFFSET($H$3,0,0,'Données projet'!$E$17+1,1))</f>
        <v>#N/A</v>
      </c>
      <c r="GF102" s="58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68.231582475026556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8" t="e">
        <f t="shared" si="83"/>
        <v>#N/A</v>
      </c>
      <c r="GZ102" s="58" t="e">
        <f ca="1">AVERAGE(OFFSET($GY$3,0,0,'Données projet'!$E$18+1,1))-AVERAGE(OFFSET($H$3,0,0,'Données projet'!$E$18+1,1))</f>
        <v>#N/A</v>
      </c>
      <c r="HA102" s="58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2">
        <f>'Scénario référence'!$B$16*5+'Scénario référence'!$B$17*0+'Scénario référence'!$B$18*5</f>
        <v>2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7.333333333333333</v>
      </c>
      <c r="H103" s="66">
        <f t="shared" si="56"/>
        <v>227.33333333333334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8.9420000000000019</v>
      </c>
      <c r="N103" s="13">
        <f>IF('Données projet'!$A$36&gt;35,N102+M103-V102,IF(A103&lt;'Données projet'!$A$36,$K$205^A103,IF(A103='Données projet'!$A$36,'Données projet'!$B$36,N102+M103-V102)))</f>
        <v>366.43200000000053</v>
      </c>
      <c r="O103" s="13">
        <f>N103*VLOOKUP('Données projet'!$B$9,Paramètres!$A$1:$I$89,3,0)*VLOOKUP('Données projet'!$B$9,Paramètres!$A$1:$I$89,5,0)</f>
        <v>331.54767360000045</v>
      </c>
      <c r="P103" s="13">
        <f t="shared" si="87"/>
        <v>77.751091964826287</v>
      </c>
      <c r="Q103" s="20">
        <f t="shared" si="107"/>
        <v>712.86201669207321</v>
      </c>
      <c r="R103" s="58">
        <f t="shared" si="55"/>
        <v>999.82363876555689</v>
      </c>
      <c r="S103" s="58">
        <f ca="1">AVERAGE(OFFSET($R$3,0,0,'Données projet'!$E$9+1,1))-AVERAGE(OFFSET($H$3,0,0,'Données projet'!$E$9+1,1))</f>
        <v>654.0179680178212</v>
      </c>
      <c r="T103" s="58">
        <f t="shared" si="88"/>
        <v>289.42065570013369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25.054735908169643</v>
      </c>
      <c r="AA103" s="21">
        <f>EXP(-LN(2)/25)*AA102+(1-EXP(-LN(2)/25))/(LN(2)/25)*Calculateur!V103*Calculateur!X103*VLOOKUP('Données projet'!$B$9,Paramètres!$A$1:$I$89,3,0)*0.475*44/12</f>
        <v>23.86716850485222</v>
      </c>
      <c r="AB103" s="21">
        <f>EXP(-LN(2)/2)*AB102+(1-EXP(-LN(2)/2))/(LN(2)/2)*V103*Y103*VLOOKUP('Données projet'!$B$9,Paramètres!$A$1:$I$89,3,0)*0.475*44/12</f>
        <v>0.74152505796610368</v>
      </c>
      <c r="AC103" s="22">
        <f t="shared" si="57"/>
        <v>49.663429470987964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8">
        <f t="shared" si="59"/>
        <v>286.9616220734905</v>
      </c>
      <c r="AN103" s="58">
        <f ca="1">AVERAGE(OFFSET($AM$3,0,0,'Données projet'!$E$10+1,1))-AVERAGE(OFFSET($H$3,0,0,'Données projet'!$E$10+1,1))</f>
        <v>447.44638185108147</v>
      </c>
      <c r="AO103" s="58">
        <f t="shared" si="90"/>
        <v>384.84260115068605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119.38517005252346</v>
      </c>
      <c r="AV103" s="21">
        <f>EXP(-LN(2)/25)*AV102+(1-EXP(-LN(2)/25))/(LN(2)/25)*Calculateur!AQ103*Calculateur!AS103*VLOOKUP('Données projet'!$B$10,Paramètres!$A$1:$I$89,3,0)*0.475*44/12</f>
        <v>33.40068068126309</v>
      </c>
      <c r="AW103" s="21">
        <f>EXP(-LN(2)/2)*AW102+(1-EXP(-LN(2)/2))/(LN(2)/2)*AQ103*AT103*VLOOKUP('Données projet'!$B$10,Paramètres!$A$1:$I$89,3,0)*0.475*44/12</f>
        <v>2.2296982498407003E-2</v>
      </c>
      <c r="AX103" s="21">
        <f t="shared" si="60"/>
        <v>152.80814771628496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371.56204800000057</v>
      </c>
      <c r="BF103" s="13">
        <f t="shared" si="91"/>
        <v>85.986795441367093</v>
      </c>
      <c r="BG103" s="20">
        <f t="shared" si="61"/>
        <v>796.89756899371525</v>
      </c>
      <c r="BH103" s="58">
        <f t="shared" si="62"/>
        <v>1083.8591910671989</v>
      </c>
      <c r="BI103" s="58">
        <f ca="1">AVERAGE(OFFSET($BH$3,0,0,'Données projet'!$E$11+1,1))-AVERAGE(OFFSET($H$3,0,0,'Données projet'!$E$11+1,1))</f>
        <v>724.99760740673071</v>
      </c>
      <c r="BJ103" s="58">
        <f t="shared" si="92"/>
        <v>318.24184272438208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28.078583345362532</v>
      </c>
      <c r="BQ103" s="21">
        <f>EXP(-LN(2)/25)*BQ102+(1-EXP(-LN(2)/25))/(LN(2)/25)*Calculateur!BL103*Calculateur!BN103*VLOOKUP('Données projet'!$B$11,Paramètres!$A$1:$I$89,3,0)*0.475*44/12</f>
        <v>26.747688841644731</v>
      </c>
      <c r="BR103" s="21">
        <f>EXP(-LN(2)/2)*BR102+(1-EXP(-LN(2)/2))/(LN(2)/2)*BL103*BO103*VLOOKUP('Données projet'!$B$11,Paramètres!$A$1:$I$89,3,0)*0.475*44/12</f>
        <v>0.8310194615137374</v>
      </c>
      <c r="BS103" s="22">
        <f t="shared" si="63"/>
        <v>55.657291648521003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8.9420000000000019</v>
      </c>
      <c r="BY103" s="12">
        <f>IF('Données projet'!$A$114&gt;35,BY102+BX103-CG102,IF(A103&lt;'Données projet'!$A$114,$BV$205^A103,IF(A103='Données projet'!$A$114,'Données projet'!$B$114,BY102+BX103-CG102)))</f>
        <v>366.43200000000053</v>
      </c>
      <c r="BZ103" s="13">
        <f>BY103*VLOOKUP('Données projet'!$B$12,Paramètres!$A$1:$I$89,3,0)*VLOOKUP('Données projet'!$B$12,Paramètres!$A$1:$I$89,5,0)</f>
        <v>348.69669120000049</v>
      </c>
      <c r="CA103" s="13">
        <f t="shared" si="93"/>
        <v>81.294088179387458</v>
      </c>
      <c r="CB103" s="20">
        <f t="shared" si="64"/>
        <v>748.90060741910065</v>
      </c>
      <c r="CC103" s="58">
        <f t="shared" si="65"/>
        <v>1035.8622294925844</v>
      </c>
      <c r="CD103" s="58">
        <f ca="1">AVERAGE(OFFSET($CC$3,0,0,'Données projet'!$E$12+1,1))-AVERAGE(OFFSET($H$3,0,0,'Données projet'!$E$12+1,1))</f>
        <v>684.45757350513315</v>
      </c>
      <c r="CE103" s="58">
        <f t="shared" si="94"/>
        <v>301.78148341369194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26.35067052410945</v>
      </c>
      <c r="CL103" s="21">
        <f>EXP(-LN(2)/25)*CL102+(1-EXP(-LN(2)/25))/(LN(2)/25)*Calculateur!CG103*Calculateur!CI103*VLOOKUP('Données projet'!$B$12,Paramètres!$A$1:$I$89,3,0)*0.475*44/12</f>
        <v>25.101677220620438</v>
      </c>
      <c r="CM103" s="21">
        <f>EXP(-LN(2)/2)*CM102+(1-EXP(-LN(2)/2))/(LN(2)/2)*CG103*CJ103*VLOOKUP('Données projet'!$B$12,Paramètres!$A$1:$I$89,3,0)*0.475*44/12</f>
        <v>0.77987980234366117</v>
      </c>
      <c r="CN103" s="22">
        <f t="shared" si="66"/>
        <v>52.232227547073556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8" t="e">
        <f t="shared" si="68"/>
        <v>#N/A</v>
      </c>
      <c r="CY103" s="58" t="e">
        <f ca="1">AVERAGE(OFFSET($CX$3,0,0,'Données projet'!$E$13+1,1))-AVERAGE(OFFSET($H$3,0,0,'Données projet'!$E$13+1,1))</f>
        <v>#N/A</v>
      </c>
      <c r="CZ103" s="58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8" t="e">
        <f t="shared" si="71"/>
        <v>#N/A</v>
      </c>
      <c r="DT103" s="58" t="e">
        <f ca="1">AVERAGE(OFFSET($DS$3,0,0,'Données projet'!$E$14+1,1))-AVERAGE(OFFSET($H$3,0,0,'Données projet'!$E$14+1,1))</f>
        <v>#N/A</v>
      </c>
      <c r="DU103" s="58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8" t="e">
        <f t="shared" si="74"/>
        <v>#N/A</v>
      </c>
      <c r="EO103" s="58" t="e">
        <f ca="1">AVERAGE(OFFSET($EN$3,0,0,'Données projet'!$E$15+1,1))-AVERAGE(OFFSET($H$3,0,0,'Données projet'!$E$15+1,1))</f>
        <v>#N/A</v>
      </c>
      <c r="EP103" s="58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8" t="e">
        <f t="shared" si="77"/>
        <v>#N/A</v>
      </c>
      <c r="FJ103" s="58" t="e">
        <f ca="1">AVERAGE(OFFSET($FI$3,0,0,'Données projet'!$E$16+1,1))-AVERAGE(OFFSET($H$3,0,0,'Données projet'!$E$16+1,1))</f>
        <v>#N/A</v>
      </c>
      <c r="FK103" s="58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8" t="e">
        <f t="shared" si="80"/>
        <v>#N/A</v>
      </c>
      <c r="GE103" s="58" t="e">
        <f ca="1">AVERAGE(OFFSET($GD$3,0,0,'Données projet'!$E$17+1,1))-AVERAGE(OFFSET($H$3,0,0,'Données projet'!$E$17+1,1))</f>
        <v>#N/A</v>
      </c>
      <c r="GF103" s="58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68.262260565495552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8" t="e">
        <f t="shared" si="83"/>
        <v>#N/A</v>
      </c>
      <c r="GZ103" s="58" t="e">
        <f ca="1">AVERAGE(OFFSET($GY$3,0,0,'Données projet'!$E$18+1,1))-AVERAGE(OFFSET($H$3,0,0,'Données projet'!$E$18+1,1))</f>
        <v>#N/A</v>
      </c>
      <c r="HA103" s="58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2">
        <f>'Scénario référence'!$B$16*5+'Scénario référence'!$B$17*0+'Scénario référence'!$B$18*5</f>
        <v>2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7.333333333333333</v>
      </c>
      <c r="H104" s="66">
        <f t="shared" si="56"/>
        <v>227.33333333333334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8.9420000000000019</v>
      </c>
      <c r="N104" s="13">
        <f>IF('Données projet'!$A$36&gt;35,N103+M104-V103,IF(A104&lt;'Données projet'!$A$36,$K$205^A104,IF(A104='Données projet'!$A$36,'Données projet'!$B$36,N103+M104-V103)))</f>
        <v>375.37400000000054</v>
      </c>
      <c r="O104" s="13">
        <f>N104*VLOOKUP('Données projet'!$B$9,Paramètres!$A$1:$I$89,3,0)*VLOOKUP('Données projet'!$B$9,Paramètres!$A$1:$I$89,5,0)</f>
        <v>339.6383952000005</v>
      </c>
      <c r="P104" s="13">
        <f t="shared" si="87"/>
        <v>79.425231954431325</v>
      </c>
      <c r="Q104" s="20">
        <f t="shared" si="107"/>
        <v>729.86915062730213</v>
      </c>
      <c r="R104" s="58">
        <f t="shared" si="55"/>
        <v>1016.9413076461319</v>
      </c>
      <c r="S104" s="58">
        <f ca="1">AVERAGE(OFFSET($R$3,0,0,'Données projet'!$E$9+1,1))-AVERAGE(OFFSET($H$3,0,0,'Données projet'!$E$9+1,1))</f>
        <v>654.0179680178212</v>
      </c>
      <c r="T104" s="58">
        <f t="shared" si="88"/>
        <v>289.42065570013369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24.563427818890382</v>
      </c>
      <c r="AA104" s="21">
        <f>EXP(-LN(2)/25)*AA103+(1-EXP(-LN(2)/25))/(LN(2)/25)*Calculateur!V104*Calculateur!X104*VLOOKUP('Données projet'!$B$9,Paramètres!$A$1:$I$89,3,0)*0.475*44/12</f>
        <v>23.214519526967194</v>
      </c>
      <c r="AB104" s="21">
        <f>EXP(-LN(2)/2)*AB103+(1-EXP(-LN(2)/2))/(LN(2)/2)*V104*Y104*VLOOKUP('Données projet'!$B$9,Paramètres!$A$1:$I$89,3,0)*0.475*44/12</f>
        <v>0.52433739690757963</v>
      </c>
      <c r="AC104" s="22">
        <f t="shared" si="57"/>
        <v>48.302284742765153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8">
        <f t="shared" si="59"/>
        <v>287.07215701883661</v>
      </c>
      <c r="AN104" s="58">
        <f ca="1">AVERAGE(OFFSET($AM$3,0,0,'Données projet'!$E$10+1,1))-AVERAGE(OFFSET($H$3,0,0,'Données projet'!$E$10+1,1))</f>
        <v>447.44638185108147</v>
      </c>
      <c r="AO104" s="58">
        <f t="shared" si="90"/>
        <v>384.84260115068605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117.04409968555706</v>
      </c>
      <c r="AV104" s="21">
        <f>EXP(-LN(2)/25)*AV103+(1-EXP(-LN(2)/25))/(LN(2)/25)*Calculateur!AQ104*Calculateur!AS104*VLOOKUP('Données projet'!$B$10,Paramètres!$A$1:$I$89,3,0)*0.475*44/12</f>
        <v>32.487337311568488</v>
      </c>
      <c r="AW104" s="21">
        <f>EXP(-LN(2)/2)*AW103+(1-EXP(-LN(2)/2))/(LN(2)/2)*AQ104*AT104*VLOOKUP('Données projet'!$B$10,Paramètres!$A$1:$I$89,3,0)*0.475*44/12</f>
        <v>1.576634752462136E-2</v>
      </c>
      <c r="AX104" s="21">
        <f t="shared" si="60"/>
        <v>149.54720334465017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380.62923600000056</v>
      </c>
      <c r="BF104" s="13">
        <f t="shared" si="91"/>
        <v>87.83826696657087</v>
      </c>
      <c r="BG104" s="20">
        <f t="shared" si="61"/>
        <v>815.91423433344517</v>
      </c>
      <c r="BH104" s="58">
        <f t="shared" si="62"/>
        <v>1102.9863913522749</v>
      </c>
      <c r="BI104" s="58">
        <f ca="1">AVERAGE(OFFSET($BH$3,0,0,'Données projet'!$E$11+1,1))-AVERAGE(OFFSET($H$3,0,0,'Données projet'!$E$11+1,1))</f>
        <v>724.99760740673071</v>
      </c>
      <c r="BJ104" s="58">
        <f t="shared" si="92"/>
        <v>318.24184272438208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27.527979452204736</v>
      </c>
      <c r="BQ104" s="21">
        <f>EXP(-LN(2)/25)*BQ103+(1-EXP(-LN(2)/25))/(LN(2)/25)*Calculateur!BL104*Calculateur!BN104*VLOOKUP('Données projet'!$B$11,Paramètres!$A$1:$I$89,3,0)*0.475*44/12</f>
        <v>26.016271883670132</v>
      </c>
      <c r="BR104" s="21">
        <f>EXP(-LN(2)/2)*BR103+(1-EXP(-LN(2)/2))/(LN(2)/2)*BL104*BO104*VLOOKUP('Données projet'!$B$11,Paramètres!$A$1:$I$89,3,0)*0.475*44/12</f>
        <v>0.58761949653435686</v>
      </c>
      <c r="BS104" s="22">
        <f t="shared" si="63"/>
        <v>54.131870832409227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8.9420000000000019</v>
      </c>
      <c r="BY104" s="12">
        <f>IF('Données projet'!$A$114&gt;35,BY103+BX104-CG103,IF(A104&lt;'Données projet'!$A$114,$BV$205^A104,IF(A104='Données projet'!$A$114,'Données projet'!$B$114,BY103+BX104-CG103)))</f>
        <v>375.37400000000054</v>
      </c>
      <c r="BZ104" s="13">
        <f>BY104*VLOOKUP('Données projet'!$B$12,Paramètres!$A$1:$I$89,3,0)*VLOOKUP('Données projet'!$B$12,Paramètres!$A$1:$I$89,5,0)</f>
        <v>357.20589840000048</v>
      </c>
      <c r="CA104" s="13">
        <f t="shared" si="93"/>
        <v>83.044516121944824</v>
      </c>
      <c r="CB104" s="20">
        <f t="shared" si="64"/>
        <v>766.76947195905461</v>
      </c>
      <c r="CC104" s="58">
        <f t="shared" si="65"/>
        <v>1053.8416289778843</v>
      </c>
      <c r="CD104" s="58">
        <f ca="1">AVERAGE(OFFSET($CC$3,0,0,'Données projet'!$E$12+1,1))-AVERAGE(OFFSET($H$3,0,0,'Données projet'!$E$12+1,1))</f>
        <v>684.45757350513315</v>
      </c>
      <c r="CE104" s="58">
        <f t="shared" si="94"/>
        <v>301.78148341369194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25.833949947453675</v>
      </c>
      <c r="CL104" s="21">
        <f>EXP(-LN(2)/25)*CL103+(1-EXP(-LN(2)/25))/(LN(2)/25)*Calculateur!CG104*Calculateur!CI104*VLOOKUP('Données projet'!$B$12,Paramètres!$A$1:$I$89,3,0)*0.475*44/12</f>
        <v>24.415270536982739</v>
      </c>
      <c r="CM104" s="21">
        <f>EXP(-LN(2)/2)*CM103+(1-EXP(-LN(2)/2))/(LN(2)/2)*CG104*CJ104*VLOOKUP('Données projet'!$B$12,Paramètres!$A$1:$I$89,3,0)*0.475*44/12</f>
        <v>0.55145829674762714</v>
      </c>
      <c r="CN104" s="22">
        <f t="shared" si="66"/>
        <v>50.80067878118404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8" t="e">
        <f t="shared" si="68"/>
        <v>#N/A</v>
      </c>
      <c r="CY104" s="58" t="e">
        <f ca="1">AVERAGE(OFFSET($CX$3,0,0,'Données projet'!$E$13+1,1))-AVERAGE(OFFSET($H$3,0,0,'Données projet'!$E$13+1,1))</f>
        <v>#N/A</v>
      </c>
      <c r="CZ104" s="58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8" t="e">
        <f t="shared" si="71"/>
        <v>#N/A</v>
      </c>
      <c r="DT104" s="58" t="e">
        <f ca="1">AVERAGE(OFFSET($DS$3,0,0,'Données projet'!$E$14+1,1))-AVERAGE(OFFSET($H$3,0,0,'Données projet'!$E$14+1,1))</f>
        <v>#N/A</v>
      </c>
      <c r="DU104" s="58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8" t="e">
        <f t="shared" si="74"/>
        <v>#N/A</v>
      </c>
      <c r="EO104" s="58" t="e">
        <f ca="1">AVERAGE(OFFSET($EN$3,0,0,'Données projet'!$E$15+1,1))-AVERAGE(OFFSET($H$3,0,0,'Données projet'!$E$15+1,1))</f>
        <v>#N/A</v>
      </c>
      <c r="EP104" s="58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8" t="e">
        <f t="shared" si="77"/>
        <v>#N/A</v>
      </c>
      <c r="FJ104" s="58" t="e">
        <f ca="1">AVERAGE(OFFSET($FI$3,0,0,'Données projet'!$E$16+1,1))-AVERAGE(OFFSET($H$3,0,0,'Données projet'!$E$16+1,1))</f>
        <v>#N/A</v>
      </c>
      <c r="FK104" s="58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8" t="e">
        <f t="shared" si="80"/>
        <v>#N/A</v>
      </c>
      <c r="GE104" s="58" t="e">
        <f ca="1">AVERAGE(OFFSET($GD$3,0,0,'Données projet'!$E$17+1,1))-AVERAGE(OFFSET($H$3,0,0,'Données projet'!$E$17+1,1))</f>
        <v>#N/A</v>
      </c>
      <c r="GF104" s="58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68.292406459680848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8" t="e">
        <f t="shared" si="83"/>
        <v>#N/A</v>
      </c>
      <c r="GZ104" s="58" t="e">
        <f ca="1">AVERAGE(OFFSET($GY$3,0,0,'Données projet'!$E$18+1,1))-AVERAGE(OFFSET($H$3,0,0,'Données projet'!$E$18+1,1))</f>
        <v>#N/A</v>
      </c>
      <c r="HA104" s="58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2">
        <f>'Scénario référence'!$B$16*5+'Scénario référence'!$B$17*0+'Scénario référence'!$B$18*5</f>
        <v>2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7.333333333333333</v>
      </c>
      <c r="H105" s="66">
        <f t="shared" si="56"/>
        <v>227.33333333333334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8.9420000000000019</v>
      </c>
      <c r="N105" s="13">
        <f>IF('Données projet'!$A$36&gt;35,N104+M105-V104,IF(A105&lt;'Données projet'!$A$36,$K$205^A105,IF(A105='Données projet'!$A$36,'Données projet'!$B$36,N104+M105-V104)))</f>
        <v>384.31600000000054</v>
      </c>
      <c r="O105" s="13">
        <f>N105*VLOOKUP('Données projet'!$B$9,Paramètres!$A$1:$I$89,3,0)*VLOOKUP('Données projet'!$B$9,Paramètres!$A$1:$I$89,5,0)</f>
        <v>347.7291168000005</v>
      </c>
      <c r="P105" s="13">
        <f t="shared" si="87"/>
        <v>81.094735802697301</v>
      </c>
      <c r="Q105" s="20">
        <f t="shared" si="107"/>
        <v>746.86820994969855</v>
      </c>
      <c r="R105" s="58">
        <f t="shared" si="55"/>
        <v>1034.0489843796918</v>
      </c>
      <c r="S105" s="58">
        <f ca="1">AVERAGE(OFFSET($R$3,0,0,'Données projet'!$E$9+1,1))-AVERAGE(OFFSET($H$3,0,0,'Données projet'!$E$9+1,1))</f>
        <v>654.0179680178212</v>
      </c>
      <c r="T105" s="58">
        <f t="shared" si="88"/>
        <v>289.42065570013369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24.081753981573542</v>
      </c>
      <c r="AA105" s="21">
        <f>EXP(-LN(2)/25)*AA104+(1-EXP(-LN(2)/25))/(LN(2)/25)*Calculateur!V105*Calculateur!X105*VLOOKUP('Données projet'!$B$9,Paramètres!$A$1:$I$89,3,0)*0.475*44/12</f>
        <v>22.579717269703753</v>
      </c>
      <c r="AB105" s="21">
        <f>EXP(-LN(2)/2)*AB104+(1-EXP(-LN(2)/2))/(LN(2)/2)*V105*Y105*VLOOKUP('Données projet'!$B$9,Paramètres!$A$1:$I$89,3,0)*0.475*44/12</f>
        <v>0.37076252898305184</v>
      </c>
      <c r="AC105" s="22">
        <f t="shared" si="57"/>
        <v>47.032233780260341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8">
        <f t="shared" si="59"/>
        <v>287.18077442999999</v>
      </c>
      <c r="AN105" s="58">
        <f ca="1">AVERAGE(OFFSET($AM$3,0,0,'Données projet'!$E$10+1,1))-AVERAGE(OFFSET($H$3,0,0,'Données projet'!$E$10+1,1))</f>
        <v>447.44638185108147</v>
      </c>
      <c r="AO105" s="58">
        <f t="shared" si="90"/>
        <v>384.84260115068605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114.74893628057492</v>
      </c>
      <c r="AV105" s="21">
        <f>EXP(-LN(2)/25)*AV104+(1-EXP(-LN(2)/25))/(LN(2)/25)*Calculateur!AQ105*Calculateur!AS105*VLOOKUP('Données projet'!$B$10,Paramètres!$A$1:$I$89,3,0)*0.475*44/12</f>
        <v>31.598969364348829</v>
      </c>
      <c r="AW105" s="21">
        <f>EXP(-LN(2)/2)*AW104+(1-EXP(-LN(2)/2))/(LN(2)/2)*AQ105*AT105*VLOOKUP('Données projet'!$B$10,Paramètres!$A$1:$I$89,3,0)*0.475*44/12</f>
        <v>1.1148491249203502E-2</v>
      </c>
      <c r="AX105" s="21">
        <f t="shared" si="60"/>
        <v>146.35905413617294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389.6964240000006</v>
      </c>
      <c r="BF105" s="13">
        <f t="shared" si="91"/>
        <v>89.684611271990661</v>
      </c>
      <c r="BG105" s="20">
        <f t="shared" si="61"/>
        <v>834.9219697653848</v>
      </c>
      <c r="BH105" s="58">
        <f t="shared" si="62"/>
        <v>1122.1027441953779</v>
      </c>
      <c r="BI105" s="58">
        <f ca="1">AVERAGE(OFFSET($BH$3,0,0,'Données projet'!$E$11+1,1))-AVERAGE(OFFSET($H$3,0,0,'Données projet'!$E$11+1,1))</f>
        <v>724.99760740673071</v>
      </c>
      <c r="BJ105" s="58">
        <f t="shared" si="92"/>
        <v>318.24184272438208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26.988172565556553</v>
      </c>
      <c r="BQ105" s="21">
        <f>EXP(-LN(2)/25)*BQ104+(1-EXP(-LN(2)/25))/(LN(2)/25)*Calculateur!BL105*Calculateur!BN105*VLOOKUP('Données projet'!$B$11,Paramètres!$A$1:$I$89,3,0)*0.475*44/12</f>
        <v>25.304855560874895</v>
      </c>
      <c r="BR105" s="21">
        <f>EXP(-LN(2)/2)*BR104+(1-EXP(-LN(2)/2))/(LN(2)/2)*BL105*BO105*VLOOKUP('Données projet'!$B$11,Paramètres!$A$1:$I$89,3,0)*0.475*44/12</f>
        <v>0.4155097307568687</v>
      </c>
      <c r="BS105" s="22">
        <f t="shared" si="63"/>
        <v>52.708537857188318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8.9420000000000019</v>
      </c>
      <c r="BY105" s="12">
        <f>IF('Données projet'!$A$114&gt;35,BY104+BX105-CG104,IF(A105&lt;'Données projet'!$A$114,$BV$205^A105,IF(A105='Données projet'!$A$114,'Données projet'!$B$114,BY104+BX105-CG104)))</f>
        <v>384.31600000000054</v>
      </c>
      <c r="BZ105" s="13">
        <f>BY105*VLOOKUP('Données projet'!$B$12,Paramètres!$A$1:$I$89,3,0)*VLOOKUP('Données projet'!$B$12,Paramètres!$A$1:$I$89,5,0)</f>
        <v>365.71510560000053</v>
      </c>
      <c r="CA105" s="13">
        <f t="shared" si="93"/>
        <v>84.790096661420279</v>
      </c>
      <c r="CB105" s="20">
        <f t="shared" si="64"/>
        <v>784.62989393864109</v>
      </c>
      <c r="CC105" s="58">
        <f t="shared" si="65"/>
        <v>1071.8106683686342</v>
      </c>
      <c r="CD105" s="58">
        <f ca="1">AVERAGE(OFFSET($CC$3,0,0,'Données projet'!$E$12+1,1))-AVERAGE(OFFSET($H$3,0,0,'Données projet'!$E$12+1,1))</f>
        <v>684.45757350513315</v>
      </c>
      <c r="CE105" s="58">
        <f t="shared" si="94"/>
        <v>301.78148341369194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25.327361946137685</v>
      </c>
      <c r="CL105" s="21">
        <f>EXP(-LN(2)/25)*CL104+(1-EXP(-LN(2)/25))/(LN(2)/25)*Calculateur!CG105*Calculateur!CI105*VLOOKUP('Données projet'!$B$12,Paramètres!$A$1:$I$89,3,0)*0.475*44/12</f>
        <v>23.74763368020567</v>
      </c>
      <c r="CM105" s="21">
        <f>EXP(-LN(2)/2)*CM104+(1-EXP(-LN(2)/2))/(LN(2)/2)*CG105*CJ105*VLOOKUP('Données projet'!$B$12,Paramètres!$A$1:$I$89,3,0)*0.475*44/12</f>
        <v>0.38993990117183058</v>
      </c>
      <c r="CN105" s="22">
        <f t="shared" si="66"/>
        <v>49.464935527515181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8" t="e">
        <f t="shared" si="68"/>
        <v>#N/A</v>
      </c>
      <c r="CY105" s="58" t="e">
        <f ca="1">AVERAGE(OFFSET($CX$3,0,0,'Données projet'!$E$13+1,1))-AVERAGE(OFFSET($H$3,0,0,'Données projet'!$E$13+1,1))</f>
        <v>#N/A</v>
      </c>
      <c r="CZ105" s="58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8" t="e">
        <f t="shared" si="71"/>
        <v>#N/A</v>
      </c>
      <c r="DT105" s="58" t="e">
        <f ca="1">AVERAGE(OFFSET($DS$3,0,0,'Données projet'!$E$14+1,1))-AVERAGE(OFFSET($H$3,0,0,'Données projet'!$E$14+1,1))</f>
        <v>#N/A</v>
      </c>
      <c r="DU105" s="58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8" t="e">
        <f t="shared" si="74"/>
        <v>#N/A</v>
      </c>
      <c r="EO105" s="58" t="e">
        <f ca="1">AVERAGE(OFFSET($EN$3,0,0,'Données projet'!$E$15+1,1))-AVERAGE(OFFSET($H$3,0,0,'Données projet'!$E$15+1,1))</f>
        <v>#N/A</v>
      </c>
      <c r="EP105" s="58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8" t="e">
        <f t="shared" si="77"/>
        <v>#N/A</v>
      </c>
      <c r="FJ105" s="58" t="e">
        <f ca="1">AVERAGE(OFFSET($FI$3,0,0,'Données projet'!$E$16+1,1))-AVERAGE(OFFSET($H$3,0,0,'Données projet'!$E$16+1,1))</f>
        <v>#N/A</v>
      </c>
      <c r="FK105" s="58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8" t="e">
        <f t="shared" si="80"/>
        <v>#N/A</v>
      </c>
      <c r="GE105" s="58" t="e">
        <f ca="1">AVERAGE(OFFSET($GD$3,0,0,'Données projet'!$E$17+1,1))-AVERAGE(OFFSET($H$3,0,0,'Données projet'!$E$17+1,1))</f>
        <v>#N/A</v>
      </c>
      <c r="GF105" s="58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68.322029389998136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8" t="e">
        <f t="shared" si="83"/>
        <v>#N/A</v>
      </c>
      <c r="GZ105" s="58" t="e">
        <f ca="1">AVERAGE(OFFSET($GY$3,0,0,'Données projet'!$E$18+1,1))-AVERAGE(OFFSET($H$3,0,0,'Données projet'!$E$18+1,1))</f>
        <v>#N/A</v>
      </c>
      <c r="HA105" s="58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2">
        <f>'Scénario référence'!$B$16*5+'Scénario référence'!$B$17*0+'Scénario référence'!$B$18*5</f>
        <v>2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7.333333333333333</v>
      </c>
      <c r="H106" s="66">
        <f t="shared" si="56"/>
        <v>227.33333333333334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8.9420000000000019</v>
      </c>
      <c r="N106" s="13">
        <f>IF('Données projet'!$A$36&gt;35,N105+M106-V105,IF(A106&lt;'Données projet'!$A$36,$K$205^A106,IF(A106='Données projet'!$A$36,'Données projet'!$B$36,N105+M106-V105)))</f>
        <v>393.25800000000055</v>
      </c>
      <c r="O106" s="13">
        <f>N106*VLOOKUP('Données projet'!$B$9,Paramètres!$A$1:$I$89,3,0)*VLOOKUP('Données projet'!$B$9,Paramètres!$A$1:$I$89,5,0)</f>
        <v>355.81983840000049</v>
      </c>
      <c r="P106" s="13">
        <f t="shared" si="87"/>
        <v>82.759723795307863</v>
      </c>
      <c r="Q106" s="20">
        <f t="shared" si="107"/>
        <v>763.85940415682887</v>
      </c>
      <c r="R106" s="58">
        <f t="shared" si="55"/>
        <v>1051.146911728734</v>
      </c>
      <c r="S106" s="58">
        <f ca="1">AVERAGE(OFFSET($R$3,0,0,'Données projet'!$E$9+1,1))-AVERAGE(OFFSET($H$3,0,0,'Données projet'!$E$9+1,1))</f>
        <v>654.0179680178212</v>
      </c>
      <c r="T106" s="58">
        <f t="shared" si="88"/>
        <v>289.42065570013369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23.60952547441445</v>
      </c>
      <c r="AA106" s="21">
        <f>EXP(-LN(2)/25)*AA105+(1-EXP(-LN(2)/25))/(LN(2)/25)*Calculateur!V106*Calculateur!X106*VLOOKUP('Données projet'!$B$9,Paramètres!$A$1:$I$89,3,0)*0.475*44/12</f>
        <v>21.96227371354798</v>
      </c>
      <c r="AB106" s="21">
        <f>EXP(-LN(2)/2)*AB105+(1-EXP(-LN(2)/2))/(LN(2)/2)*V106*Y106*VLOOKUP('Données projet'!$B$9,Paramètres!$A$1:$I$89,3,0)*0.475*44/12</f>
        <v>0.26216869845378982</v>
      </c>
      <c r="AC106" s="22">
        <f t="shared" si="57"/>
        <v>45.833967886416218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8">
        <f t="shared" si="59"/>
        <v>287.28750757191193</v>
      </c>
      <c r="AN106" s="58">
        <f ca="1">AVERAGE(OFFSET($AM$3,0,0,'Données projet'!$E$10+1,1))-AVERAGE(OFFSET($H$3,0,0,'Données projet'!$E$10+1,1))</f>
        <v>447.44638185108147</v>
      </c>
      <c r="AO106" s="58">
        <f t="shared" si="90"/>
        <v>384.84260115068605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112.49877963005305</v>
      </c>
      <c r="AV106" s="21">
        <f>EXP(-LN(2)/25)*AV105+(1-EXP(-LN(2)/25))/(LN(2)/25)*Calculateur!AQ106*Calculateur!AS106*VLOOKUP('Données projet'!$B$10,Paramètres!$A$1:$I$89,3,0)*0.475*44/12</f>
        <v>30.734893885363132</v>
      </c>
      <c r="AW106" s="21">
        <f>EXP(-LN(2)/2)*AW105+(1-EXP(-LN(2)/2))/(LN(2)/2)*AQ106*AT106*VLOOKUP('Données projet'!$B$10,Paramètres!$A$1:$I$89,3,0)*0.475*44/12</f>
        <v>7.8831737623106801E-3</v>
      </c>
      <c r="AX106" s="21">
        <f t="shared" si="60"/>
        <v>143.24155668917848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398.76361200000059</v>
      </c>
      <c r="BF106" s="13">
        <f t="shared" si="91"/>
        <v>91.525961384445637</v>
      </c>
      <c r="BG106" s="20">
        <f t="shared" si="61"/>
        <v>853.92100697791045</v>
      </c>
      <c r="BH106" s="58">
        <f t="shared" si="62"/>
        <v>1141.2085145498156</v>
      </c>
      <c r="BI106" s="58">
        <f ca="1">AVERAGE(OFFSET($BH$3,0,0,'Données projet'!$E$11+1,1))-AVERAGE(OFFSET($H$3,0,0,'Données projet'!$E$11+1,1))</f>
        <v>724.99760740673071</v>
      </c>
      <c r="BJ106" s="58">
        <f t="shared" si="92"/>
        <v>318.24184272438208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26.458950962705849</v>
      </c>
      <c r="BQ106" s="21">
        <f>EXP(-LN(2)/25)*BQ105+(1-EXP(-LN(2)/25))/(LN(2)/25)*Calculateur!BL106*Calculateur!BN106*VLOOKUP('Données projet'!$B$11,Paramètres!$A$1:$I$89,3,0)*0.475*44/12</f>
        <v>24.612892954838252</v>
      </c>
      <c r="BR106" s="21">
        <f>EXP(-LN(2)/2)*BR105+(1-EXP(-LN(2)/2))/(LN(2)/2)*BL106*BO106*VLOOKUP('Données projet'!$B$11,Paramètres!$A$1:$I$89,3,0)*0.475*44/12</f>
        <v>0.29380974826717843</v>
      </c>
      <c r="BS106" s="22">
        <f t="shared" si="63"/>
        <v>51.36565366581128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8.9420000000000019</v>
      </c>
      <c r="BY106" s="12">
        <f>IF('Données projet'!$A$114&gt;35,BY105+BX106-CG105,IF(A106&lt;'Données projet'!$A$114,$BV$205^A106,IF(A106='Données projet'!$A$114,'Données projet'!$B$114,BY105+BX106-CG105)))</f>
        <v>393.25800000000055</v>
      </c>
      <c r="BZ106" s="13">
        <f>BY106*VLOOKUP('Données projet'!$B$12,Paramètres!$A$1:$I$89,3,0)*VLOOKUP('Données projet'!$B$12,Paramètres!$A$1:$I$89,5,0)</f>
        <v>374.22431280000052</v>
      </c>
      <c r="CA106" s="13">
        <f t="shared" si="93"/>
        <v>86.530955564728501</v>
      </c>
      <c r="CB106" s="20">
        <f t="shared" si="64"/>
        <v>802.48209240190306</v>
      </c>
      <c r="CC106" s="58">
        <f t="shared" si="65"/>
        <v>1089.7695999738082</v>
      </c>
      <c r="CD106" s="58">
        <f ca="1">AVERAGE(OFFSET($CC$3,0,0,'Données projet'!$E$12+1,1))-AVERAGE(OFFSET($H$3,0,0,'Données projet'!$E$12+1,1))</f>
        <v>684.45757350513315</v>
      </c>
      <c r="CE106" s="58">
        <f t="shared" si="94"/>
        <v>301.78148341369194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24.830707826539332</v>
      </c>
      <c r="CL106" s="21">
        <f>EXP(-LN(2)/25)*CL105+(1-EXP(-LN(2)/25))/(LN(2)/25)*Calculateur!CG106*Calculateur!CI106*VLOOKUP('Données projet'!$B$12,Paramètres!$A$1:$I$89,3,0)*0.475*44/12</f>
        <v>23.098253388386667</v>
      </c>
      <c r="CM106" s="21">
        <f>EXP(-LN(2)/2)*CM105+(1-EXP(-LN(2)/2))/(LN(2)/2)*CG106*CJ106*VLOOKUP('Données projet'!$B$12,Paramètres!$A$1:$I$89,3,0)*0.475*44/12</f>
        <v>0.27572914837381357</v>
      </c>
      <c r="CN106" s="22">
        <f t="shared" si="66"/>
        <v>48.204690363299811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8" t="e">
        <f t="shared" si="68"/>
        <v>#N/A</v>
      </c>
      <c r="CY106" s="58" t="e">
        <f ca="1">AVERAGE(OFFSET($CX$3,0,0,'Données projet'!$E$13+1,1))-AVERAGE(OFFSET($H$3,0,0,'Données projet'!$E$13+1,1))</f>
        <v>#N/A</v>
      </c>
      <c r="CZ106" s="58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8" t="e">
        <f t="shared" si="71"/>
        <v>#N/A</v>
      </c>
      <c r="DT106" s="58" t="e">
        <f ca="1">AVERAGE(OFFSET($DS$3,0,0,'Données projet'!$E$14+1,1))-AVERAGE(OFFSET($H$3,0,0,'Données projet'!$E$14+1,1))</f>
        <v>#N/A</v>
      </c>
      <c r="DU106" s="58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8" t="e">
        <f t="shared" si="74"/>
        <v>#N/A</v>
      </c>
      <c r="EO106" s="58" t="e">
        <f ca="1">AVERAGE(OFFSET($EN$3,0,0,'Données projet'!$E$15+1,1))-AVERAGE(OFFSET($H$3,0,0,'Données projet'!$E$15+1,1))</f>
        <v>#N/A</v>
      </c>
      <c r="EP106" s="58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8" t="e">
        <f t="shared" si="77"/>
        <v>#N/A</v>
      </c>
      <c r="FJ106" s="58" t="e">
        <f ca="1">AVERAGE(OFFSET($FI$3,0,0,'Données projet'!$E$16+1,1))-AVERAGE(OFFSET($H$3,0,0,'Données projet'!$E$16+1,1))</f>
        <v>#N/A</v>
      </c>
      <c r="FK106" s="58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8" t="e">
        <f t="shared" si="80"/>
        <v>#N/A</v>
      </c>
      <c r="GE106" s="58" t="e">
        <f ca="1">AVERAGE(OFFSET($GD$3,0,0,'Données projet'!$E$17+1,1))-AVERAGE(OFFSET($H$3,0,0,'Données projet'!$E$17+1,1))</f>
        <v>#N/A</v>
      </c>
      <c r="GF106" s="58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68.35113842870139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8" t="e">
        <f t="shared" si="83"/>
        <v>#N/A</v>
      </c>
      <c r="GZ106" s="58" t="e">
        <f ca="1">AVERAGE(OFFSET($GY$3,0,0,'Données projet'!$E$18+1,1))-AVERAGE(OFFSET($H$3,0,0,'Données projet'!$E$18+1,1))</f>
        <v>#N/A</v>
      </c>
      <c r="HA106" s="58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2">
        <f>'Scénario référence'!$B$16*5+'Scénario référence'!$B$17*0+'Scénario référence'!$B$18*5</f>
        <v>2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7.333333333333333</v>
      </c>
      <c r="H107" s="66">
        <f t="shared" si="56"/>
        <v>227.33333333333334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402.2</v>
      </c>
      <c r="L107" s="12">
        <f>VLOOKUP(A107,'Données projet'!$A$35:$I$55,9,0)</f>
        <v>8.9420000000000019</v>
      </c>
      <c r="M107" s="12">
        <f t="array" ref="M107">INDEX(L:L,MIN(IF(ISNUMBER(L107:L303),ROW(L107:L303),"")))</f>
        <v>8.9420000000000019</v>
      </c>
      <c r="N107" s="13">
        <f>IF('Données projet'!$A$36&gt;35,N106+M107-V106,IF(A107&lt;'Données projet'!$A$36,$K$205^A107,IF(A107='Données projet'!$A$36,'Données projet'!$B$36,N106+M107-V106)))</f>
        <v>402.20000000000056</v>
      </c>
      <c r="O107" s="13">
        <f>N107*VLOOKUP('Données projet'!$B$9,Paramètres!$A$1:$I$89,3,0)*VLOOKUP('Données projet'!$B$9,Paramètres!$A$1:$I$89,5,0)</f>
        <v>363.91056000000049</v>
      </c>
      <c r="P107" s="13">
        <f t="shared" si="87"/>
        <v>84.42031043556446</v>
      </c>
      <c r="Q107" s="20">
        <f t="shared" si="107"/>
        <v>780.84293267527562</v>
      </c>
      <c r="R107" s="58">
        <f t="shared" si="55"/>
        <v>1068.2353218077001</v>
      </c>
      <c r="S107" s="58">
        <f ca="1">AVERAGE(OFFSET($R$3,0,0,'Données projet'!$E$9+1,1))-AVERAGE(OFFSET($H$3,0,0,'Données projet'!$E$9+1,1))</f>
        <v>654.0179680178212</v>
      </c>
      <c r="T107" s="58">
        <f t="shared" si="88"/>
        <v>289.42065570013369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66.089999999999975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33.09538580102793</v>
      </c>
      <c r="AA107" s="21">
        <f>EXP(-LN(2)/25)*AA106+(1-EXP(-LN(2)/25))/(LN(2)/25)*Calculateur!V107*Calculateur!X107*VLOOKUP('Données projet'!$B$9,Paramètres!$A$1:$I$89,3,0)*0.475*44/12</f>
        <v>27.024374978935796</v>
      </c>
      <c r="AB107" s="21">
        <f>EXP(-LN(2)/2)*AB106+(1-EXP(-LN(2)/2))/(LN(2)/2)*V107*Y107*VLOOKUP('Données projet'!$B$9,Paramètres!$A$1:$I$89,3,0)*0.475*44/12</f>
        <v>5.8275053982732432</v>
      </c>
      <c r="AC107" s="22">
        <f t="shared" si="57"/>
        <v>65.947266178236973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8">
        <f t="shared" si="59"/>
        <v>287.39238913243116</v>
      </c>
      <c r="AN107" s="58">
        <f ca="1">AVERAGE(OFFSET($AM$3,0,0,'Données projet'!$E$10+1,1))-AVERAGE(OFFSET($H$3,0,0,'Données projet'!$E$10+1,1))</f>
        <v>447.44638185108147</v>
      </c>
      <c r="AO107" s="58">
        <f t="shared" si="90"/>
        <v>384.84260115068605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110.29274717898787</v>
      </c>
      <c r="AV107" s="21">
        <f>EXP(-LN(2)/25)*AV106+(1-EXP(-LN(2)/25))/(LN(2)/25)*Calculateur!AQ107*Calculateur!AS107*VLOOKUP('Données projet'!$B$10,Paramètres!$A$1:$I$89,3,0)*0.475*44/12</f>
        <v>29.894446595790054</v>
      </c>
      <c r="AW107" s="21">
        <f>EXP(-LN(2)/2)*AW106+(1-EXP(-LN(2)/2))/(LN(2)/2)*AQ107*AT107*VLOOKUP('Données projet'!$B$10,Paramètres!$A$1:$I$89,3,0)*0.475*44/12</f>
        <v>5.5742456246017508E-3</v>
      </c>
      <c r="AX107" s="21">
        <f t="shared" si="60"/>
        <v>140.19276802040253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407.83080000000058</v>
      </c>
      <c r="BF107" s="13">
        <f t="shared" si="91"/>
        <v>93.362443935880506</v>
      </c>
      <c r="BG107" s="20">
        <f t="shared" si="61"/>
        <v>872.91156652165955</v>
      </c>
      <c r="BH107" s="58">
        <f t="shared" si="62"/>
        <v>1160.3039556540839</v>
      </c>
      <c r="BI107" s="58">
        <f ca="1">AVERAGE(OFFSET($BH$3,0,0,'Données projet'!$E$11+1,1))-AVERAGE(OFFSET($H$3,0,0,'Données projet'!$E$11+1,1))</f>
        <v>724.99760740673071</v>
      </c>
      <c r="BJ107" s="58">
        <f t="shared" si="92"/>
        <v>318.24184272438208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37.089656501151985</v>
      </c>
      <c r="BQ107" s="21">
        <f>EXP(-LN(2)/25)*BQ106+(1-EXP(-LN(2)/25))/(LN(2)/25)*Calculateur!BL107*Calculateur!BN107*VLOOKUP('Données projet'!$B$11,Paramètres!$A$1:$I$89,3,0)*0.475*44/12</f>
        <v>30.285937476393563</v>
      </c>
      <c r="BR107" s="21">
        <f>EXP(-LN(2)/2)*BR106+(1-EXP(-LN(2)/2))/(LN(2)/2)*BL107*BO107*VLOOKUP('Données projet'!$B$11,Paramètres!$A$1:$I$89,3,0)*0.475*44/12</f>
        <v>6.5308250153062213</v>
      </c>
      <c r="BS107" s="22">
        <f t="shared" si="63"/>
        <v>73.906418992851769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8.9420000000000019</v>
      </c>
      <c r="BX107" s="12">
        <f t="array" ref="BX107">INDEX(BW:BW,MIN(IF(ISNUMBER(BW107:BW303),ROW(BW107:BW303),"")))</f>
        <v>8.9420000000000019</v>
      </c>
      <c r="BY107" s="12">
        <f>IF('Données projet'!$A$114&gt;35,BY106+BX107-CG106,IF(A107&lt;'Données projet'!$A$114,$BV$205^A107,IF(A107='Données projet'!$A$114,'Données projet'!$B$114,BY106+BX107-CG106)))</f>
        <v>402.20000000000056</v>
      </c>
      <c r="BZ107" s="13">
        <f>BY107*VLOOKUP('Données projet'!$B$12,Paramètres!$A$1:$I$89,3,0)*VLOOKUP('Données projet'!$B$12,Paramètres!$A$1:$I$89,5,0)</f>
        <v>382.73352000000051</v>
      </c>
      <c r="CA107" s="13">
        <f t="shared" si="93"/>
        <v>88.267212552908205</v>
      </c>
      <c r="CB107" s="20">
        <f t="shared" si="64"/>
        <v>820.3262758629827</v>
      </c>
      <c r="CC107" s="58">
        <f t="shared" si="65"/>
        <v>1107.7186649954069</v>
      </c>
      <c r="CD107" s="58">
        <f ca="1">AVERAGE(OFFSET($CC$3,0,0,'Données projet'!$E$12+1,1))-AVERAGE(OFFSET($H$3,0,0,'Données projet'!$E$12+1,1))</f>
        <v>684.45757350513315</v>
      </c>
      <c r="CE107" s="58">
        <f t="shared" si="94"/>
        <v>301.78148341369194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66.089999999999975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34.807216101081096</v>
      </c>
      <c r="CL107" s="21">
        <f>EXP(-LN(2)/25)*CL106+(1-EXP(-LN(2)/25))/(LN(2)/25)*Calculateur!CG107*Calculateur!CI107*VLOOKUP('Données projet'!$B$12,Paramètres!$A$1:$I$89,3,0)*0.475*44/12</f>
        <v>28.422187477846265</v>
      </c>
      <c r="CM107" s="21">
        <f>EXP(-LN(2)/2)*CM106+(1-EXP(-LN(2)/2))/(LN(2)/2)*CG107*CJ107*VLOOKUP('Données projet'!$B$12,Paramètres!$A$1:$I$89,3,0)*0.475*44/12</f>
        <v>6.128928091287376</v>
      </c>
      <c r="CN107" s="22">
        <f t="shared" si="66"/>
        <v>69.358331670214739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8" t="e">
        <f t="shared" si="68"/>
        <v>#N/A</v>
      </c>
      <c r="CY107" s="58" t="e">
        <f ca="1">AVERAGE(OFFSET($CX$3,0,0,'Données projet'!$E$13+1,1))-AVERAGE(OFFSET($H$3,0,0,'Données projet'!$E$13+1,1))</f>
        <v>#N/A</v>
      </c>
      <c r="CZ107" s="58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8" t="e">
        <f t="shared" si="71"/>
        <v>#N/A</v>
      </c>
      <c r="DT107" s="58" t="e">
        <f ca="1">AVERAGE(OFFSET($DS$3,0,0,'Données projet'!$E$14+1,1))-AVERAGE(OFFSET($H$3,0,0,'Données projet'!$E$14+1,1))</f>
        <v>#N/A</v>
      </c>
      <c r="DU107" s="58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8" t="e">
        <f t="shared" si="74"/>
        <v>#N/A</v>
      </c>
      <c r="EO107" s="58" t="e">
        <f ca="1">AVERAGE(OFFSET($EN$3,0,0,'Données projet'!$E$15+1,1))-AVERAGE(OFFSET($H$3,0,0,'Données projet'!$E$15+1,1))</f>
        <v>#N/A</v>
      </c>
      <c r="EP107" s="58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8" t="e">
        <f t="shared" si="77"/>
        <v>#N/A</v>
      </c>
      <c r="FJ107" s="58" t="e">
        <f ca="1">AVERAGE(OFFSET($FI$3,0,0,'Données projet'!$E$16+1,1))-AVERAGE(OFFSET($H$3,0,0,'Données projet'!$E$16+1,1))</f>
        <v>#N/A</v>
      </c>
      <c r="FK107" s="58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8" t="e">
        <f t="shared" si="80"/>
        <v>#N/A</v>
      </c>
      <c r="GE107" s="58" t="e">
        <f ca="1">AVERAGE(OFFSET($GD$3,0,0,'Données projet'!$E$17+1,1))-AVERAGE(OFFSET($H$3,0,0,'Données projet'!$E$17+1,1))</f>
        <v>#N/A</v>
      </c>
      <c r="GF107" s="58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68.379742490661187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8" t="e">
        <f t="shared" si="83"/>
        <v>#N/A</v>
      </c>
      <c r="GZ107" s="58" t="e">
        <f ca="1">AVERAGE(OFFSET($GY$3,0,0,'Données projet'!$E$18+1,1))-AVERAGE(OFFSET($H$3,0,0,'Données projet'!$E$18+1,1))</f>
        <v>#N/A</v>
      </c>
      <c r="HA107" s="58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2">
        <f>'Scénario référence'!$B$16*5+'Scénario référence'!$B$17*0+'Scénario référence'!$B$18*5</f>
        <v>2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7.333333333333333</v>
      </c>
      <c r="H108" s="66">
        <f t="shared" si="56"/>
        <v>227.33333333333334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8.8449999999999989</v>
      </c>
      <c r="N108" s="13">
        <f>IF('Données projet'!$A$36&gt;35,N107+M108-V107,IF(A108&lt;'Données projet'!$A$36,$K$205^A108,IF(A108='Données projet'!$A$36,'Données projet'!$B$36,N107+M108-V107)))</f>
        <v>344.95500000000055</v>
      </c>
      <c r="O108" s="13">
        <f>N108*VLOOKUP('Données projet'!$B$9,Paramètres!$A$1:$I$89,3,0)*VLOOKUP('Données projet'!$B$9,Paramètres!$A$1:$I$89,5,0)</f>
        <v>312.11528400000049</v>
      </c>
      <c r="P108" s="13">
        <f t="shared" si="87"/>
        <v>73.71041067221141</v>
      </c>
      <c r="Q108" s="20">
        <f t="shared" si="107"/>
        <v>671.97975155410234</v>
      </c>
      <c r="R108" s="58">
        <f t="shared" si="55"/>
        <v>959.47520278645106</v>
      </c>
      <c r="S108" s="58">
        <f ca="1">AVERAGE(OFFSET($R$3,0,0,'Données projet'!$E$9+1,1))-AVERAGE(OFFSET($H$3,0,0,'Données projet'!$E$9+1,1))</f>
        <v>654.0179680178212</v>
      </c>
      <c r="T108" s="58">
        <f t="shared" si="88"/>
        <v>289.42065570013369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32.44640547166189</v>
      </c>
      <c r="AA108" s="21">
        <f>EXP(-LN(2)/25)*AA107+(1-EXP(-LN(2)/25))/(LN(2)/25)*Calculateur!V108*Calculateur!X108*VLOOKUP('Données projet'!$B$9,Paramètres!$A$1:$I$89,3,0)*0.475*44/12</f>
        <v>26.285392023986681</v>
      </c>
      <c r="AB108" s="21">
        <f>EXP(-LN(2)/2)*AB107+(1-EXP(-LN(2)/2))/(LN(2)/2)*V108*Y108*VLOOKUP('Données projet'!$B$9,Paramètres!$A$1:$I$89,3,0)*0.475*44/12</f>
        <v>4.1206685845202227</v>
      </c>
      <c r="AC108" s="22">
        <f t="shared" si="57"/>
        <v>62.852466080168796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8">
        <f t="shared" si="59"/>
        <v>287.49545123235549</v>
      </c>
      <c r="AN108" s="58">
        <f ca="1">AVERAGE(OFFSET($AM$3,0,0,'Données projet'!$E$10+1,1))-AVERAGE(OFFSET($H$3,0,0,'Données projet'!$E$10+1,1))</f>
        <v>447.44638185108147</v>
      </c>
      <c r="AO108" s="58">
        <f t="shared" si="90"/>
        <v>384.84260115068605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108.12997367874114</v>
      </c>
      <c r="AV108" s="21">
        <f>EXP(-LN(2)/25)*AV107+(1-EXP(-LN(2)/25))/(LN(2)/25)*Calculateur!AQ108*Calculateur!AS108*VLOOKUP('Données projet'!$B$10,Paramètres!$A$1:$I$89,3,0)*0.475*44/12</f>
        <v>29.076981381547554</v>
      </c>
      <c r="AW108" s="21">
        <f>EXP(-LN(2)/2)*AW107+(1-EXP(-LN(2)/2))/(LN(2)/2)*AQ108*AT108*VLOOKUP('Données projet'!$B$10,Paramètres!$A$1:$I$89,3,0)*0.475*44/12</f>
        <v>3.9415868811553401E-3</v>
      </c>
      <c r="AX108" s="21">
        <f t="shared" si="60"/>
        <v>137.21089664716985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349.78437000000059</v>
      </c>
      <c r="BF108" s="13">
        <f t="shared" si="91"/>
        <v>81.518109189230415</v>
      </c>
      <c r="BG108" s="20">
        <f t="shared" si="61"/>
        <v>751.18515125457725</v>
      </c>
      <c r="BH108" s="58">
        <f t="shared" si="62"/>
        <v>1038.6806024869259</v>
      </c>
      <c r="BI108" s="58">
        <f ca="1">AVERAGE(OFFSET($BH$3,0,0,'Données projet'!$E$11+1,1))-AVERAGE(OFFSET($H$3,0,0,'Données projet'!$E$11+1,1))</f>
        <v>724.99760740673071</v>
      </c>
      <c r="BJ108" s="58">
        <f t="shared" si="92"/>
        <v>318.24184272438208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36.362350959621075</v>
      </c>
      <c r="BQ108" s="21">
        <f>EXP(-LN(2)/25)*BQ107+(1-EXP(-LN(2)/25))/(LN(2)/25)*Calculateur!BL108*Calculateur!BN108*VLOOKUP('Données projet'!$B$11,Paramètres!$A$1:$I$89,3,0)*0.475*44/12</f>
        <v>29.457766923433351</v>
      </c>
      <c r="BR108" s="21">
        <f>EXP(-LN(2)/2)*BR107+(1-EXP(-LN(2)/2))/(LN(2)/2)*BL108*BO108*VLOOKUP('Données projet'!$B$11,Paramètres!$A$1:$I$89,3,0)*0.475*44/12</f>
        <v>4.6179906550657677</v>
      </c>
      <c r="BS108" s="22">
        <f t="shared" si="63"/>
        <v>70.43810853812019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8.8449999999999989</v>
      </c>
      <c r="BY108" s="12">
        <f>IF('Données projet'!$A$114&gt;35,BY107+BX108-CG107,IF(A108&lt;'Données projet'!$A$114,$BV$205^A108,IF(A108='Données projet'!$A$114,'Données projet'!$B$114,BY107+BX108-CG107)))</f>
        <v>344.95500000000055</v>
      </c>
      <c r="BZ108" s="13">
        <f>BY108*VLOOKUP('Données projet'!$B$12,Paramètres!$A$1:$I$89,3,0)*VLOOKUP('Données projet'!$B$12,Paramètres!$A$1:$I$89,5,0)</f>
        <v>328.25917800000053</v>
      </c>
      <c r="CA108" s="13">
        <f t="shared" si="93"/>
        <v>77.069279330976201</v>
      </c>
      <c r="CB108" s="20">
        <f t="shared" si="64"/>
        <v>705.94706318478438</v>
      </c>
      <c r="CC108" s="58">
        <f t="shared" si="65"/>
        <v>993.442514417133</v>
      </c>
      <c r="CD108" s="58">
        <f ca="1">AVERAGE(OFFSET($CC$3,0,0,'Données projet'!$E$12+1,1))-AVERAGE(OFFSET($H$3,0,0,'Données projet'!$E$12+1,1))</f>
        <v>684.45757350513315</v>
      </c>
      <c r="CE108" s="58">
        <f t="shared" si="94"/>
        <v>301.78148341369194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34.124667823644401</v>
      </c>
      <c r="CL108" s="21">
        <f>EXP(-LN(2)/25)*CL107+(1-EXP(-LN(2)/25))/(LN(2)/25)*Calculateur!CG108*Calculateur!CI108*VLOOKUP('Données projet'!$B$12,Paramètres!$A$1:$I$89,3,0)*0.475*44/12</f>
        <v>27.644981266606678</v>
      </c>
      <c r="CM108" s="21">
        <f>EXP(-LN(2)/2)*CM107+(1-EXP(-LN(2)/2))/(LN(2)/2)*CG108*CJ108*VLOOKUP('Données projet'!$B$12,Paramètres!$A$1:$I$89,3,0)*0.475*44/12</f>
        <v>4.3338066147540273</v>
      </c>
      <c r="CN108" s="22">
        <f t="shared" si="66"/>
        <v>66.103455705005103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8" t="e">
        <f t="shared" si="68"/>
        <v>#N/A</v>
      </c>
      <c r="CY108" s="58" t="e">
        <f ca="1">AVERAGE(OFFSET($CX$3,0,0,'Données projet'!$E$13+1,1))-AVERAGE(OFFSET($H$3,0,0,'Données projet'!$E$13+1,1))</f>
        <v>#N/A</v>
      </c>
      <c r="CZ108" s="58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8" t="e">
        <f t="shared" si="71"/>
        <v>#N/A</v>
      </c>
      <c r="DT108" s="58" t="e">
        <f ca="1">AVERAGE(OFFSET($DS$3,0,0,'Données projet'!$E$14+1,1))-AVERAGE(OFFSET($H$3,0,0,'Données projet'!$E$14+1,1))</f>
        <v>#N/A</v>
      </c>
      <c r="DU108" s="58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8" t="e">
        <f t="shared" si="74"/>
        <v>#N/A</v>
      </c>
      <c r="EO108" s="58" t="e">
        <f ca="1">AVERAGE(OFFSET($EN$3,0,0,'Données projet'!$E$15+1,1))-AVERAGE(OFFSET($H$3,0,0,'Données projet'!$E$15+1,1))</f>
        <v>#N/A</v>
      </c>
      <c r="EP108" s="58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8" t="e">
        <f t="shared" si="77"/>
        <v>#N/A</v>
      </c>
      <c r="FJ108" s="58" t="e">
        <f ca="1">AVERAGE(OFFSET($FI$3,0,0,'Données projet'!$E$16+1,1))-AVERAGE(OFFSET($H$3,0,0,'Données projet'!$E$16+1,1))</f>
        <v>#N/A</v>
      </c>
      <c r="FK108" s="58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8" t="e">
        <f t="shared" si="80"/>
        <v>#N/A</v>
      </c>
      <c r="GE108" s="58" t="e">
        <f ca="1">AVERAGE(OFFSET($GD$3,0,0,'Données projet'!$E$17+1,1))-AVERAGE(OFFSET($H$3,0,0,'Données projet'!$E$17+1,1))</f>
        <v>#N/A</v>
      </c>
      <c r="GF108" s="58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68.407850336095095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8" t="e">
        <f t="shared" si="83"/>
        <v>#N/A</v>
      </c>
      <c r="GZ108" s="58" t="e">
        <f ca="1">AVERAGE(OFFSET($GY$3,0,0,'Données projet'!$E$18+1,1))-AVERAGE(OFFSET($H$3,0,0,'Données projet'!$E$18+1,1))</f>
        <v>#N/A</v>
      </c>
      <c r="HA108" s="58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2">
        <f>'Scénario référence'!$B$16*5+'Scénario référence'!$B$17*0+'Scénario référence'!$B$18*5</f>
        <v>2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7.333333333333333</v>
      </c>
      <c r="H109" s="66">
        <f t="shared" si="56"/>
        <v>227.33333333333334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8.8449999999999989</v>
      </c>
      <c r="N109" s="13">
        <f>IF('Données projet'!$A$36&gt;35,N108+M109-V108,IF(A109&lt;'Données projet'!$A$36,$K$205^A109,IF(A109='Données projet'!$A$36,'Données projet'!$B$36,N108+M109-V108)))</f>
        <v>353.80000000000052</v>
      </c>
      <c r="O109" s="13">
        <f>N109*VLOOKUP('Données projet'!$B$9,Paramètres!$A$1:$I$89,3,0)*VLOOKUP('Données projet'!$B$9,Paramètres!$A$1:$I$89,5,0)</f>
        <v>320.11824000000047</v>
      </c>
      <c r="P109" s="13">
        <f t="shared" si="87"/>
        <v>75.377955265343587</v>
      </c>
      <c r="Q109" s="20">
        <f t="shared" si="107"/>
        <v>688.82254008714096</v>
      </c>
      <c r="R109" s="58">
        <f t="shared" si="55"/>
        <v>976.41926552239261</v>
      </c>
      <c r="S109" s="58">
        <f ca="1">AVERAGE(OFFSET($R$3,0,0,'Données projet'!$E$9+1,1))-AVERAGE(OFFSET($H$3,0,0,'Données projet'!$E$9+1,1))</f>
        <v>654.0179680178212</v>
      </c>
      <c r="T109" s="58">
        <f t="shared" si="88"/>
        <v>289.42065570013369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31.810151250715805</v>
      </c>
      <c r="AA109" s="21">
        <f>EXP(-LN(2)/25)*AA108+(1-EXP(-LN(2)/25))/(LN(2)/25)*Calculateur!V109*Calculateur!X109*VLOOKUP('Données projet'!$B$9,Paramètres!$A$1:$I$89,3,0)*0.475*44/12</f>
        <v>25.566616596802074</v>
      </c>
      <c r="AB109" s="21">
        <f>EXP(-LN(2)/2)*AB108+(1-EXP(-LN(2)/2))/(LN(2)/2)*V109*Y109*VLOOKUP('Données projet'!$B$9,Paramètres!$A$1:$I$89,3,0)*0.475*44/12</f>
        <v>2.9137526991366216</v>
      </c>
      <c r="AC109" s="22">
        <f t="shared" si="57"/>
        <v>60.290520546654506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8">
        <f t="shared" si="59"/>
        <v>287.59672543525852</v>
      </c>
      <c r="AN109" s="58">
        <f ca="1">AVERAGE(OFFSET($AM$3,0,0,'Données projet'!$E$10+1,1))-AVERAGE(OFFSET($H$3,0,0,'Données projet'!$E$10+1,1))</f>
        <v>447.44638185108147</v>
      </c>
      <c r="AO109" s="58">
        <f t="shared" si="90"/>
        <v>384.84260115068605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106.00961084767268</v>
      </c>
      <c r="AV109" s="21">
        <f>EXP(-LN(2)/25)*AV108+(1-EXP(-LN(2)/25))/(LN(2)/25)*Calculateur!AQ109*Calculateur!AS109*VLOOKUP('Données projet'!$B$10,Paramètres!$A$1:$I$89,3,0)*0.475*44/12</f>
        <v>28.281869796577141</v>
      </c>
      <c r="AW109" s="21">
        <f>EXP(-LN(2)/2)*AW108+(1-EXP(-LN(2)/2))/(LN(2)/2)*AQ109*AT109*VLOOKUP('Données projet'!$B$10,Paramètres!$A$1:$I$89,3,0)*0.475*44/12</f>
        <v>2.7871228123008754E-3</v>
      </c>
      <c r="AX109" s="21">
        <f t="shared" si="60"/>
        <v>134.29426776706211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358.75320000000056</v>
      </c>
      <c r="BF109" s="13">
        <f t="shared" si="91"/>
        <v>83.362286707455894</v>
      </c>
      <c r="BG109" s="20">
        <f t="shared" si="61"/>
        <v>770.01780601548671</v>
      </c>
      <c r="BH109" s="58">
        <f t="shared" si="62"/>
        <v>1057.6145314507385</v>
      </c>
      <c r="BI109" s="58">
        <f ca="1">AVERAGE(OFFSET($BH$3,0,0,'Données projet'!$E$11+1,1))-AVERAGE(OFFSET($H$3,0,0,'Données projet'!$E$11+1,1))</f>
        <v>724.99760740673071</v>
      </c>
      <c r="BJ109" s="58">
        <f t="shared" si="92"/>
        <v>318.24184272438208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35.649307436147012</v>
      </c>
      <c r="BQ109" s="21">
        <f>EXP(-LN(2)/25)*BQ108+(1-EXP(-LN(2)/25))/(LN(2)/25)*Calculateur!BL109*Calculateur!BN109*VLOOKUP('Données projet'!$B$11,Paramètres!$A$1:$I$89,3,0)*0.475*44/12</f>
        <v>28.652242737795429</v>
      </c>
      <c r="BR109" s="21">
        <f>EXP(-LN(2)/2)*BR108+(1-EXP(-LN(2)/2))/(LN(2)/2)*BL109*BO109*VLOOKUP('Données projet'!$B$11,Paramètres!$A$1:$I$89,3,0)*0.475*44/12</f>
        <v>3.2654125076531111</v>
      </c>
      <c r="BS109" s="22">
        <f t="shared" si="63"/>
        <v>67.566962681595555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8.8449999999999989</v>
      </c>
      <c r="BY109" s="12">
        <f>IF('Données projet'!$A$114&gt;35,BY108+BX109-CG108,IF(A109&lt;'Données projet'!$A$114,$BV$205^A109,IF(A109='Données projet'!$A$114,'Données projet'!$B$114,BY108+BX109-CG108)))</f>
        <v>353.80000000000052</v>
      </c>
      <c r="BZ109" s="13">
        <f>BY109*VLOOKUP('Données projet'!$B$12,Paramètres!$A$1:$I$89,3,0)*VLOOKUP('Données projet'!$B$12,Paramètres!$A$1:$I$89,5,0)</f>
        <v>336.67608000000052</v>
      </c>
      <c r="CA109" s="13">
        <f t="shared" si="93"/>
        <v>78.81281133511159</v>
      </c>
      <c r="CB109" s="20">
        <f t="shared" si="64"/>
        <v>723.64315240865346</v>
      </c>
      <c r="CC109" s="58">
        <f t="shared" si="65"/>
        <v>1011.2398778439051</v>
      </c>
      <c r="CD109" s="58">
        <f ca="1">AVERAGE(OFFSET($CC$3,0,0,'Données projet'!$E$12+1,1))-AVERAGE(OFFSET($H$3,0,0,'Données projet'!$E$12+1,1))</f>
        <v>684.45757350513315</v>
      </c>
      <c r="CE109" s="58">
        <f t="shared" si="94"/>
        <v>301.78148341369194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33.455503901614897</v>
      </c>
      <c r="CL109" s="21">
        <f>EXP(-LN(2)/25)*CL108+(1-EXP(-LN(2)/25))/(LN(2)/25)*Calculateur!CG109*Calculateur!CI109*VLOOKUP('Données projet'!$B$12,Paramètres!$A$1:$I$89,3,0)*0.475*44/12</f>
        <v>26.889027800084936</v>
      </c>
      <c r="CM109" s="21">
        <f>EXP(-LN(2)/2)*CM108+(1-EXP(-LN(2)/2))/(LN(2)/2)*CG109*CJ109*VLOOKUP('Données projet'!$B$12,Paramètres!$A$1:$I$89,3,0)*0.475*44/12</f>
        <v>3.0644640456436885</v>
      </c>
      <c r="CN109" s="22">
        <f t="shared" si="66"/>
        <v>63.408995747343525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8" t="e">
        <f t="shared" si="68"/>
        <v>#N/A</v>
      </c>
      <c r="CY109" s="58" t="e">
        <f ca="1">AVERAGE(OFFSET($CX$3,0,0,'Données projet'!$E$13+1,1))-AVERAGE(OFFSET($H$3,0,0,'Données projet'!$E$13+1,1))</f>
        <v>#N/A</v>
      </c>
      <c r="CZ109" s="58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8" t="e">
        <f t="shared" si="71"/>
        <v>#N/A</v>
      </c>
      <c r="DT109" s="58" t="e">
        <f ca="1">AVERAGE(OFFSET($DS$3,0,0,'Données projet'!$E$14+1,1))-AVERAGE(OFFSET($H$3,0,0,'Données projet'!$E$14+1,1))</f>
        <v>#N/A</v>
      </c>
      <c r="DU109" s="58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8" t="e">
        <f t="shared" si="74"/>
        <v>#N/A</v>
      </c>
      <c r="EO109" s="58" t="e">
        <f ca="1">AVERAGE(OFFSET($EN$3,0,0,'Données projet'!$E$15+1,1))-AVERAGE(OFFSET($H$3,0,0,'Données projet'!$E$15+1,1))</f>
        <v>#N/A</v>
      </c>
      <c r="EP109" s="58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8" t="e">
        <f t="shared" si="77"/>
        <v>#N/A</v>
      </c>
      <c r="FJ109" s="58" t="e">
        <f ca="1">AVERAGE(OFFSET($FI$3,0,0,'Données projet'!$E$16+1,1))-AVERAGE(OFFSET($H$3,0,0,'Données projet'!$E$16+1,1))</f>
        <v>#N/A</v>
      </c>
      <c r="FK109" s="58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8" t="e">
        <f t="shared" si="80"/>
        <v>#N/A</v>
      </c>
      <c r="GE109" s="58" t="e">
        <f ca="1">AVERAGE(OFFSET($GD$3,0,0,'Données projet'!$E$17+1,1))-AVERAGE(OFFSET($H$3,0,0,'Données projet'!$E$17+1,1))</f>
        <v>#N/A</v>
      </c>
      <c r="GF109" s="58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68.435470573250456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8" t="e">
        <f t="shared" si="83"/>
        <v>#N/A</v>
      </c>
      <c r="GZ109" s="58" t="e">
        <f ca="1">AVERAGE(OFFSET($GY$3,0,0,'Données projet'!$E$18+1,1))-AVERAGE(OFFSET($H$3,0,0,'Données projet'!$E$18+1,1))</f>
        <v>#N/A</v>
      </c>
      <c r="HA109" s="58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2">
        <f>'Scénario référence'!$B$16*5+'Scénario référence'!$B$17*0+'Scénario référence'!$B$18*5</f>
        <v>2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7.333333333333333</v>
      </c>
      <c r="H110" s="66">
        <f t="shared" si="56"/>
        <v>227.33333333333334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8.8449999999999989</v>
      </c>
      <c r="N110" s="13">
        <f>IF('Données projet'!$A$36&gt;35,N109+M110-V109,IF(A110&lt;'Données projet'!$A$36,$K$205^A110,IF(A110='Données projet'!$A$36,'Données projet'!$B$36,N109+M110-V109)))</f>
        <v>362.64500000000055</v>
      </c>
      <c r="O110" s="13">
        <f>N110*VLOOKUP('Données projet'!$B$9,Paramètres!$A$1:$I$89,3,0)*VLOOKUP('Données projet'!$B$9,Paramètres!$A$1:$I$89,5,0)</f>
        <v>328.12119600000045</v>
      </c>
      <c r="P110" s="13">
        <f t="shared" si="87"/>
        <v>77.040653823854953</v>
      </c>
      <c r="Q110" s="20">
        <f t="shared" si="107"/>
        <v>705.65688844321483</v>
      </c>
      <c r="R110" s="58">
        <f t="shared" si="55"/>
        <v>993.35313120036426</v>
      </c>
      <c r="S110" s="58">
        <f ca="1">AVERAGE(OFFSET($R$3,0,0,'Données projet'!$E$9+1,1))-AVERAGE(OFFSET($H$3,0,0,'Données projet'!$E$9+1,1))</f>
        <v>654.0179680178212</v>
      </c>
      <c r="T110" s="58">
        <f t="shared" si="88"/>
        <v>289.42065570013369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31.186373586965715</v>
      </c>
      <c r="AA110" s="21">
        <f>EXP(-LN(2)/25)*AA109+(1-EXP(-LN(2)/25))/(LN(2)/25)*Calculateur!V110*Calculateur!X110*VLOOKUP('Données projet'!$B$9,Paramètres!$A$1:$I$89,3,0)*0.475*44/12</f>
        <v>24.867496121472588</v>
      </c>
      <c r="AB110" s="21">
        <f>EXP(-LN(2)/2)*AB109+(1-EXP(-LN(2)/2))/(LN(2)/2)*V110*Y110*VLOOKUP('Données projet'!$B$9,Paramètres!$A$1:$I$89,3,0)*0.475*44/12</f>
        <v>2.0603342922601113</v>
      </c>
      <c r="AC110" s="22">
        <f t="shared" si="57"/>
        <v>58.114204000698408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8">
        <f t="shared" si="59"/>
        <v>287.69624275715631</v>
      </c>
      <c r="AN110" s="58">
        <f ca="1">AVERAGE(OFFSET($AM$3,0,0,'Données projet'!$E$10+1,1))-AVERAGE(OFFSET($H$3,0,0,'Données projet'!$E$10+1,1))</f>
        <v>447.44638185108147</v>
      </c>
      <c r="AO110" s="58">
        <f t="shared" si="90"/>
        <v>384.84260115068605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103.93082703842784</v>
      </c>
      <c r="AV110" s="21">
        <f>EXP(-LN(2)/25)*AV109+(1-EXP(-LN(2)/25))/(LN(2)/25)*Calculateur!AQ110*Calculateur!AS110*VLOOKUP('Données projet'!$B$10,Paramètres!$A$1:$I$89,3,0)*0.475*44/12</f>
        <v>27.508500579710844</v>
      </c>
      <c r="AW110" s="21">
        <f>EXP(-LN(2)/2)*AW109+(1-EXP(-LN(2)/2))/(LN(2)/2)*AQ110*AT110*VLOOKUP('Données projet'!$B$10,Paramètres!$A$1:$I$89,3,0)*0.475*44/12</f>
        <v>1.97079344057767E-3</v>
      </c>
      <c r="AX110" s="21">
        <f t="shared" si="60"/>
        <v>131.44129841157928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367.72203000000059</v>
      </c>
      <c r="BF110" s="13">
        <f t="shared" si="91"/>
        <v>85.201104879888135</v>
      </c>
      <c r="BG110" s="20">
        <f t="shared" si="61"/>
        <v>788.84112658247284</v>
      </c>
      <c r="BH110" s="58">
        <f t="shared" si="62"/>
        <v>1076.5373693396223</v>
      </c>
      <c r="BI110" s="58">
        <f ca="1">AVERAGE(OFFSET($BH$3,0,0,'Données projet'!$E$11+1,1))-AVERAGE(OFFSET($H$3,0,0,'Données projet'!$E$11+1,1))</f>
        <v>724.99760740673071</v>
      </c>
      <c r="BJ110" s="58">
        <f t="shared" si="92"/>
        <v>318.24184272438208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34.950246261254669</v>
      </c>
      <c r="BQ110" s="21">
        <f>EXP(-LN(2)/25)*BQ109+(1-EXP(-LN(2)/25))/(LN(2)/25)*Calculateur!BL110*Calculateur!BN110*VLOOKUP('Données projet'!$B$11,Paramètres!$A$1:$I$89,3,0)*0.475*44/12</f>
        <v>27.868745653374454</v>
      </c>
      <c r="BR110" s="21">
        <f>EXP(-LN(2)/2)*BR109+(1-EXP(-LN(2)/2))/(LN(2)/2)*BL110*BO110*VLOOKUP('Données projet'!$B$11,Paramètres!$A$1:$I$89,3,0)*0.475*44/12</f>
        <v>2.3089953275328838</v>
      </c>
      <c r="BS110" s="22">
        <f t="shared" si="63"/>
        <v>65.127987242162007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8.8449999999999989</v>
      </c>
      <c r="BY110" s="12">
        <f>IF('Données projet'!$A$114&gt;35,BY109+BX110-CG109,IF(A110&lt;'Données projet'!$A$114,$BV$205^A110,IF(A110='Données projet'!$A$114,'Données projet'!$B$114,BY109+BX110-CG109)))</f>
        <v>362.64500000000055</v>
      </c>
      <c r="BZ110" s="13">
        <f>BY110*VLOOKUP('Données projet'!$B$12,Paramètres!$A$1:$I$89,3,0)*VLOOKUP('Données projet'!$B$12,Paramètres!$A$1:$I$89,5,0)</f>
        <v>345.09298200000052</v>
      </c>
      <c r="CA110" s="13">
        <f t="shared" si="93"/>
        <v>80.551276478373012</v>
      </c>
      <c r="CB110" s="20">
        <f t="shared" si="64"/>
        <v>741.33041684983391</v>
      </c>
      <c r="CC110" s="58">
        <f t="shared" si="65"/>
        <v>1029.0266596069835</v>
      </c>
      <c r="CD110" s="58">
        <f ca="1">AVERAGE(OFFSET($CC$3,0,0,'Données projet'!$E$12+1,1))-AVERAGE(OFFSET($H$3,0,0,'Données projet'!$E$12+1,1))</f>
        <v>684.45757350513315</v>
      </c>
      <c r="CE110" s="58">
        <f t="shared" si="94"/>
        <v>301.78148341369194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32.799461875946697</v>
      </c>
      <c r="CL110" s="21">
        <f>EXP(-LN(2)/25)*CL109+(1-EXP(-LN(2)/25))/(LN(2)/25)*Calculateur!CG110*Calculateur!CI110*VLOOKUP('Données projet'!$B$12,Paramètres!$A$1:$I$89,3,0)*0.475*44/12</f>
        <v>26.153745920859098</v>
      </c>
      <c r="CM110" s="21">
        <f>EXP(-LN(2)/2)*CM109+(1-EXP(-LN(2)/2))/(LN(2)/2)*CG110*CJ110*VLOOKUP('Données projet'!$B$12,Paramètres!$A$1:$I$89,3,0)*0.475*44/12</f>
        <v>2.1669033073770141</v>
      </c>
      <c r="CN110" s="22">
        <f t="shared" si="66"/>
        <v>61.120111104182811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8" t="e">
        <f t="shared" si="68"/>
        <v>#N/A</v>
      </c>
      <c r="CY110" s="58" t="e">
        <f ca="1">AVERAGE(OFFSET($CX$3,0,0,'Données projet'!$E$13+1,1))-AVERAGE(OFFSET($H$3,0,0,'Données projet'!$E$13+1,1))</f>
        <v>#N/A</v>
      </c>
      <c r="CZ110" s="58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8" t="e">
        <f t="shared" si="71"/>
        <v>#N/A</v>
      </c>
      <c r="DT110" s="58" t="e">
        <f ca="1">AVERAGE(OFFSET($DS$3,0,0,'Données projet'!$E$14+1,1))-AVERAGE(OFFSET($H$3,0,0,'Données projet'!$E$14+1,1))</f>
        <v>#N/A</v>
      </c>
      <c r="DU110" s="58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8" t="e">
        <f t="shared" si="74"/>
        <v>#N/A</v>
      </c>
      <c r="EO110" s="58" t="e">
        <f ca="1">AVERAGE(OFFSET($EN$3,0,0,'Données projet'!$E$15+1,1))-AVERAGE(OFFSET($H$3,0,0,'Données projet'!$E$15+1,1))</f>
        <v>#N/A</v>
      </c>
      <c r="EP110" s="58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8" t="e">
        <f t="shared" si="77"/>
        <v>#N/A</v>
      </c>
      <c r="FJ110" s="58" t="e">
        <f ca="1">AVERAGE(OFFSET($FI$3,0,0,'Données projet'!$E$16+1,1))-AVERAGE(OFFSET($H$3,0,0,'Données projet'!$E$16+1,1))</f>
        <v>#N/A</v>
      </c>
      <c r="FK110" s="58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8" t="e">
        <f t="shared" si="80"/>
        <v>#N/A</v>
      </c>
      <c r="GE110" s="58" t="e">
        <f ca="1">AVERAGE(OFFSET($GD$3,0,0,'Données projet'!$E$17+1,1))-AVERAGE(OFFSET($H$3,0,0,'Données projet'!$E$17+1,1))</f>
        <v>#N/A</v>
      </c>
      <c r="GF110" s="58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68.462611661040768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8" t="e">
        <f t="shared" si="83"/>
        <v>#N/A</v>
      </c>
      <c r="GZ110" s="58" t="e">
        <f ca="1">AVERAGE(OFFSET($GY$3,0,0,'Données projet'!$E$18+1,1))-AVERAGE(OFFSET($H$3,0,0,'Données projet'!$E$18+1,1))</f>
        <v>#N/A</v>
      </c>
      <c r="HA110" s="58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2">
        <f>'Scénario référence'!$B$16*5+'Scénario référence'!$B$17*0+'Scénario référence'!$B$18*5</f>
        <v>2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7.333333333333333</v>
      </c>
      <c r="H111" s="66">
        <f t="shared" si="56"/>
        <v>227.33333333333334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8.8449999999999989</v>
      </c>
      <c r="N111" s="13">
        <f>IF('Données projet'!$A$36&gt;35,N110+M111-V110,IF(A111&lt;'Données projet'!$A$36,$K$205^A111,IF(A111='Données projet'!$A$36,'Données projet'!$B$36,N110+M111-V110)))</f>
        <v>371.49000000000058</v>
      </c>
      <c r="O111" s="13">
        <f>N111*VLOOKUP('Données projet'!$B$9,Paramètres!$A$1:$I$89,3,0)*VLOOKUP('Données projet'!$B$9,Paramètres!$A$1:$I$89,5,0)</f>
        <v>336.12415200000049</v>
      </c>
      <c r="P111" s="13">
        <f t="shared" si="87"/>
        <v>78.698638141016232</v>
      </c>
      <c r="Q111" s="20">
        <f t="shared" si="107"/>
        <v>722.4830261622709</v>
      </c>
      <c r="R111" s="58">
        <f t="shared" si="55"/>
        <v>1010.2770598382706</v>
      </c>
      <c r="S111" s="58">
        <f ca="1">AVERAGE(OFFSET($R$3,0,0,'Données projet'!$E$9+1,1))-AVERAGE(OFFSET($H$3,0,0,'Données projet'!$E$9+1,1))</f>
        <v>654.0179680178212</v>
      </c>
      <c r="T111" s="58">
        <f t="shared" si="88"/>
        <v>289.42065570013369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30.574827822734957</v>
      </c>
      <c r="AA111" s="21">
        <f>EXP(-LN(2)/25)*AA110+(1-EXP(-LN(2)/25))/(LN(2)/25)*Calculateur!V111*Calculateur!X111*VLOOKUP('Données projet'!$B$9,Paramètres!$A$1:$I$89,3,0)*0.475*44/12</f>
        <v>24.187493132306134</v>
      </c>
      <c r="AB111" s="21">
        <f>EXP(-LN(2)/2)*AB110+(1-EXP(-LN(2)/2))/(LN(2)/2)*V111*Y111*VLOOKUP('Données projet'!$B$9,Paramètres!$A$1:$I$89,3,0)*0.475*44/12</f>
        <v>1.4568763495683108</v>
      </c>
      <c r="AC111" s="22">
        <f t="shared" si="57"/>
        <v>56.219197304609402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8">
        <f t="shared" si="59"/>
        <v>287.79403367600656</v>
      </c>
      <c r="AN111" s="58">
        <f ca="1">AVERAGE(OFFSET($AM$3,0,0,'Données projet'!$E$10+1,1))-AVERAGE(OFFSET($H$3,0,0,'Données projet'!$E$10+1,1))</f>
        <v>447.44638185108147</v>
      </c>
      <c r="AO111" s="58">
        <f t="shared" si="90"/>
        <v>384.84260115068605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101.89280691174936</v>
      </c>
      <c r="AV111" s="21">
        <f>EXP(-LN(2)/25)*AV110+(1-EXP(-LN(2)/25))/(LN(2)/25)*Calculateur!AQ111*Calculateur!AS111*VLOOKUP('Données projet'!$B$10,Paramètres!$A$1:$I$89,3,0)*0.475*44/12</f>
        <v>26.756279184749477</v>
      </c>
      <c r="AW111" s="21">
        <f>EXP(-LN(2)/2)*AW110+(1-EXP(-LN(2)/2))/(LN(2)/2)*AQ111*AT111*VLOOKUP('Données projet'!$B$10,Paramètres!$A$1:$I$89,3,0)*0.475*44/12</f>
        <v>1.3935614061504377E-3</v>
      </c>
      <c r="AX111" s="21">
        <f t="shared" si="60"/>
        <v>128.65047965790501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376.69086000000061</v>
      </c>
      <c r="BF111" s="13">
        <f t="shared" si="91"/>
        <v>87.034709459862782</v>
      </c>
      <c r="BG111" s="20">
        <f t="shared" si="61"/>
        <v>807.65536680926198</v>
      </c>
      <c r="BH111" s="58">
        <f t="shared" si="62"/>
        <v>1095.4494004852618</v>
      </c>
      <c r="BI111" s="58">
        <f ca="1">AVERAGE(OFFSET($BH$3,0,0,'Données projet'!$E$11+1,1))-AVERAGE(OFFSET($H$3,0,0,'Données projet'!$E$11+1,1))</f>
        <v>724.99760740673071</v>
      </c>
      <c r="BJ111" s="58">
        <f t="shared" si="92"/>
        <v>318.24184272438208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34.264893249616755</v>
      </c>
      <c r="BQ111" s="21">
        <f>EXP(-LN(2)/25)*BQ110+(1-EXP(-LN(2)/25))/(LN(2)/25)*Calculateur!BL111*Calculateur!BN111*VLOOKUP('Données projet'!$B$11,Paramètres!$A$1:$I$89,3,0)*0.475*44/12</f>
        <v>27.106673337929291</v>
      </c>
      <c r="BR111" s="21">
        <f>EXP(-LN(2)/2)*BR110+(1-EXP(-LN(2)/2))/(LN(2)/2)*BL111*BO111*VLOOKUP('Données projet'!$B$11,Paramètres!$A$1:$I$89,3,0)*0.475*44/12</f>
        <v>1.6327062538265555</v>
      </c>
      <c r="BS111" s="22">
        <f t="shared" si="63"/>
        <v>63.004272841372597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8.8449999999999989</v>
      </c>
      <c r="BY111" s="12">
        <f>IF('Données projet'!$A$114&gt;35,BY110+BX111-CG110,IF(A111&lt;'Données projet'!$A$114,$BV$205^A111,IF(A111='Données projet'!$A$114,'Données projet'!$B$114,BY110+BX111-CG110)))</f>
        <v>371.49000000000058</v>
      </c>
      <c r="BZ111" s="13">
        <f>BY111*VLOOKUP('Données projet'!$B$12,Paramètres!$A$1:$I$89,3,0)*VLOOKUP('Données projet'!$B$12,Paramètres!$A$1:$I$89,5,0)</f>
        <v>353.50988400000057</v>
      </c>
      <c r="CA111" s="13">
        <f t="shared" si="93"/>
        <v>82.284812559645275</v>
      </c>
      <c r="CB111" s="20">
        <f t="shared" si="64"/>
        <v>759.00909650804977</v>
      </c>
      <c r="CC111" s="58">
        <f t="shared" si="65"/>
        <v>1046.8031301840495</v>
      </c>
      <c r="CD111" s="58">
        <f ca="1">AVERAGE(OFFSET($CC$3,0,0,'Données projet'!$E$12+1,1))-AVERAGE(OFFSET($H$3,0,0,'Données projet'!$E$12+1,1))</f>
        <v>684.45757350513315</v>
      </c>
      <c r="CE111" s="58">
        <f t="shared" si="94"/>
        <v>301.78148341369194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32.156284434255731</v>
      </c>
      <c r="CL111" s="21">
        <f>EXP(-LN(2)/25)*CL110+(1-EXP(-LN(2)/25))/(LN(2)/25)*Calculateur!CG111*Calculateur!CI111*VLOOKUP('Données projet'!$B$12,Paramètres!$A$1:$I$89,3,0)*0.475*44/12</f>
        <v>25.438570363287482</v>
      </c>
      <c r="CM111" s="21">
        <f>EXP(-LN(2)/2)*CM110+(1-EXP(-LN(2)/2))/(LN(2)/2)*CG111*CJ111*VLOOKUP('Données projet'!$B$12,Paramètres!$A$1:$I$89,3,0)*0.475*44/12</f>
        <v>1.5322320228218445</v>
      </c>
      <c r="CN111" s="22">
        <f t="shared" si="66"/>
        <v>59.127086820365058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8" t="e">
        <f t="shared" si="68"/>
        <v>#N/A</v>
      </c>
      <c r="CY111" s="58" t="e">
        <f ca="1">AVERAGE(OFFSET($CX$3,0,0,'Données projet'!$E$13+1,1))-AVERAGE(OFFSET($H$3,0,0,'Données projet'!$E$13+1,1))</f>
        <v>#N/A</v>
      </c>
      <c r="CZ111" s="58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8" t="e">
        <f t="shared" si="71"/>
        <v>#N/A</v>
      </c>
      <c r="DT111" s="58" t="e">
        <f ca="1">AVERAGE(OFFSET($DS$3,0,0,'Données projet'!$E$14+1,1))-AVERAGE(OFFSET($H$3,0,0,'Données projet'!$E$14+1,1))</f>
        <v>#N/A</v>
      </c>
      <c r="DU111" s="58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8" t="e">
        <f t="shared" si="74"/>
        <v>#N/A</v>
      </c>
      <c r="EO111" s="58" t="e">
        <f ca="1">AVERAGE(OFFSET($EN$3,0,0,'Données projet'!$E$15+1,1))-AVERAGE(OFFSET($H$3,0,0,'Données projet'!$E$15+1,1))</f>
        <v>#N/A</v>
      </c>
      <c r="EP111" s="58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8" t="e">
        <f t="shared" si="77"/>
        <v>#N/A</v>
      </c>
      <c r="FJ111" s="58" t="e">
        <f ca="1">AVERAGE(OFFSET($FI$3,0,0,'Données projet'!$E$16+1,1))-AVERAGE(OFFSET($H$3,0,0,'Données projet'!$E$16+1,1))</f>
        <v>#N/A</v>
      </c>
      <c r="FK111" s="58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8" t="e">
        <f t="shared" si="80"/>
        <v>#N/A</v>
      </c>
      <c r="GE111" s="58" t="e">
        <f ca="1">AVERAGE(OFFSET($GD$3,0,0,'Données projet'!$E$17+1,1))-AVERAGE(OFFSET($H$3,0,0,'Données projet'!$E$17+1,1))</f>
        <v>#N/A</v>
      </c>
      <c r="GF111" s="58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68.489281911636297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8" t="e">
        <f t="shared" si="83"/>
        <v>#N/A</v>
      </c>
      <c r="GZ111" s="58" t="e">
        <f ca="1">AVERAGE(OFFSET($GY$3,0,0,'Données projet'!$E$18+1,1))-AVERAGE(OFFSET($H$3,0,0,'Données projet'!$E$18+1,1))</f>
        <v>#N/A</v>
      </c>
      <c r="HA111" s="58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2">
        <f>'Scénario référence'!$B$16*5+'Scénario référence'!$B$17*0+'Scénario référence'!$B$18*5</f>
        <v>2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7.333333333333333</v>
      </c>
      <c r="H112" s="66">
        <f t="shared" si="56"/>
        <v>227.33333333333334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8.8449999999999989</v>
      </c>
      <c r="N112" s="13">
        <f>IF('Données projet'!$A$36&gt;35,N111+M112-V111,IF(A112&lt;'Données projet'!$A$36,$K$205^A112,IF(A112='Données projet'!$A$36,'Données projet'!$B$36,N111+M112-V111)))</f>
        <v>380.3350000000006</v>
      </c>
      <c r="O112" s="13">
        <f>N112*VLOOKUP('Données projet'!$B$9,Paramètres!$A$1:$I$89,3,0)*VLOOKUP('Données projet'!$B$9,Paramètres!$A$1:$I$89,5,0)</f>
        <v>344.12710800000053</v>
      </c>
      <c r="P112" s="13">
        <f t="shared" si="87"/>
        <v>80.352033376279337</v>
      </c>
      <c r="Q112" s="20">
        <f t="shared" si="107"/>
        <v>739.30117123035416</v>
      </c>
      <c r="R112" s="58">
        <f t="shared" si="55"/>
        <v>1027.19129937139</v>
      </c>
      <c r="S112" s="58">
        <f ca="1">AVERAGE(OFFSET($R$3,0,0,'Données projet'!$E$9+1,1))-AVERAGE(OFFSET($H$3,0,0,'Données projet'!$E$9+1,1))</f>
        <v>654.0179680178212</v>
      </c>
      <c r="T112" s="58">
        <f t="shared" si="88"/>
        <v>289.42065570013369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29.97527409793468</v>
      </c>
      <c r="AA112" s="21">
        <f>EXP(-LN(2)/25)*AA111+(1-EXP(-LN(2)/25))/(LN(2)/25)*Calculateur!V112*Calculateur!X112*VLOOKUP('Données projet'!$B$9,Paramètres!$A$1:$I$89,3,0)*0.475*44/12</f>
        <v>23.526084860638239</v>
      </c>
      <c r="AB112" s="21">
        <f>EXP(-LN(2)/2)*AB111+(1-EXP(-LN(2)/2))/(LN(2)/2)*V112*Y112*VLOOKUP('Données projet'!$B$9,Paramètres!$A$1:$I$89,3,0)*0.475*44/12</f>
        <v>1.0301671461300557</v>
      </c>
      <c r="AC112" s="22">
        <f t="shared" si="57"/>
        <v>54.531526104702976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8">
        <f t="shared" si="59"/>
        <v>287.89012814104257</v>
      </c>
      <c r="AN112" s="58">
        <f ca="1">AVERAGE(OFFSET($AM$3,0,0,'Données projet'!$E$10+1,1))-AVERAGE(OFFSET($H$3,0,0,'Données projet'!$E$10+1,1))</f>
        <v>447.44638185108147</v>
      </c>
      <c r="AO112" s="58">
        <f t="shared" si="90"/>
        <v>384.84260115068605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99.894751116685526</v>
      </c>
      <c r="AV112" s="21">
        <f>EXP(-LN(2)/25)*AV111+(1-EXP(-LN(2)/25))/(LN(2)/25)*Calculateur!AQ112*Calculateur!AS112*VLOOKUP('Données projet'!$B$10,Paramètres!$A$1:$I$89,3,0)*0.475*44/12</f>
        <v>26.024627323390934</v>
      </c>
      <c r="AW112" s="21">
        <f>EXP(-LN(2)/2)*AW111+(1-EXP(-LN(2)/2))/(LN(2)/2)*AQ112*AT112*VLOOKUP('Données projet'!$B$10,Paramètres!$A$1:$I$89,3,0)*0.475*44/12</f>
        <v>9.8539672028883502E-4</v>
      </c>
      <c r="AX112" s="21">
        <f t="shared" si="60"/>
        <v>125.92036383679675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385.65969000000064</v>
      </c>
      <c r="BF112" s="13">
        <f t="shared" si="91"/>
        <v>88.86323886421664</v>
      </c>
      <c r="BG112" s="20">
        <f t="shared" si="61"/>
        <v>826.4607677718451</v>
      </c>
      <c r="BH112" s="58">
        <f t="shared" si="62"/>
        <v>1114.3508959128808</v>
      </c>
      <c r="BI112" s="58">
        <f ca="1">AVERAGE(OFFSET($BH$3,0,0,'Données projet'!$E$11+1,1))-AVERAGE(OFFSET($H$3,0,0,'Données projet'!$E$11+1,1))</f>
        <v>724.99760740673071</v>
      </c>
      <c r="BJ112" s="58">
        <f t="shared" si="92"/>
        <v>318.24184272438208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33.592979592512997</v>
      </c>
      <c r="BQ112" s="21">
        <f>EXP(-LN(2)/25)*BQ111+(1-EXP(-LN(2)/25))/(LN(2)/25)*Calculateur!BL112*Calculateur!BN112*VLOOKUP('Données projet'!$B$11,Paramètres!$A$1:$I$89,3,0)*0.475*44/12</f>
        <v>26.365439930025616</v>
      </c>
      <c r="BR112" s="21">
        <f>EXP(-LN(2)/2)*BR111+(1-EXP(-LN(2)/2))/(LN(2)/2)*BL112*BO112*VLOOKUP('Données projet'!$B$11,Paramètres!$A$1:$I$89,3,0)*0.475*44/12</f>
        <v>1.1544976637664419</v>
      </c>
      <c r="BS112" s="22">
        <f t="shared" si="63"/>
        <v>61.112917186305054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8.8449999999999989</v>
      </c>
      <c r="BY112" s="12">
        <f>IF('Données projet'!$A$114&gt;35,BY111+BX112-CG111,IF(A112&lt;'Données projet'!$A$114,$BV$205^A112,IF(A112='Données projet'!$A$114,'Données projet'!$B$114,BY111+BX112-CG111)))</f>
        <v>380.3350000000006</v>
      </c>
      <c r="BZ112" s="13">
        <f>BY112*VLOOKUP('Données projet'!$B$12,Paramètres!$A$1:$I$89,3,0)*VLOOKUP('Données projet'!$B$12,Paramètres!$A$1:$I$89,5,0)</f>
        <v>361.92678600000056</v>
      </c>
      <c r="CA112" s="13">
        <f t="shared" si="93"/>
        <v>84.013550441701824</v>
      </c>
      <c r="CB112" s="20">
        <f t="shared" si="64"/>
        <v>776.67941930263157</v>
      </c>
      <c r="CC112" s="58">
        <f t="shared" si="65"/>
        <v>1064.5695474436673</v>
      </c>
      <c r="CD112" s="58">
        <f ca="1">AVERAGE(OFFSET($CC$3,0,0,'Données projet'!$E$12+1,1))-AVERAGE(OFFSET($H$3,0,0,'Données projet'!$E$12+1,1))</f>
        <v>684.45757350513315</v>
      </c>
      <c r="CE112" s="58">
        <f t="shared" si="94"/>
        <v>301.78148341369194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31.525719309896818</v>
      </c>
      <c r="CL112" s="21">
        <f>EXP(-LN(2)/25)*CL111+(1-EXP(-LN(2)/25))/(LN(2)/25)*Calculateur!CG112*Calculateur!CI112*VLOOKUP('Données projet'!$B$12,Paramètres!$A$1:$I$89,3,0)*0.475*44/12</f>
        <v>24.74295131894711</v>
      </c>
      <c r="CM112" s="21">
        <f>EXP(-LN(2)/2)*CM111+(1-EXP(-LN(2)/2))/(LN(2)/2)*CG112*CJ112*VLOOKUP('Données projet'!$B$12,Paramètres!$A$1:$I$89,3,0)*0.475*44/12</f>
        <v>1.083451653688507</v>
      </c>
      <c r="CN112" s="22">
        <f t="shared" si="66"/>
        <v>57.352122282532434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8" t="e">
        <f t="shared" si="68"/>
        <v>#N/A</v>
      </c>
      <c r="CY112" s="58" t="e">
        <f ca="1">AVERAGE(OFFSET($CX$3,0,0,'Données projet'!$E$13+1,1))-AVERAGE(OFFSET($H$3,0,0,'Données projet'!$E$13+1,1))</f>
        <v>#N/A</v>
      </c>
      <c r="CZ112" s="58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8" t="e">
        <f t="shared" si="71"/>
        <v>#N/A</v>
      </c>
      <c r="DT112" s="58" t="e">
        <f ca="1">AVERAGE(OFFSET($DS$3,0,0,'Données projet'!$E$14+1,1))-AVERAGE(OFFSET($H$3,0,0,'Données projet'!$E$14+1,1))</f>
        <v>#N/A</v>
      </c>
      <c r="DU112" s="58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8" t="e">
        <f t="shared" si="74"/>
        <v>#N/A</v>
      </c>
      <c r="EO112" s="58" t="e">
        <f ca="1">AVERAGE(OFFSET($EN$3,0,0,'Données projet'!$E$15+1,1))-AVERAGE(OFFSET($H$3,0,0,'Données projet'!$E$15+1,1))</f>
        <v>#N/A</v>
      </c>
      <c r="EP112" s="58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8" t="e">
        <f t="shared" si="77"/>
        <v>#N/A</v>
      </c>
      <c r="FJ112" s="58" t="e">
        <f ca="1">AVERAGE(OFFSET($FI$3,0,0,'Données projet'!$E$16+1,1))-AVERAGE(OFFSET($H$3,0,0,'Données projet'!$E$16+1,1))</f>
        <v>#N/A</v>
      </c>
      <c r="FK112" s="58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8" t="e">
        <f t="shared" si="80"/>
        <v>#N/A</v>
      </c>
      <c r="GE112" s="58" t="e">
        <f ca="1">AVERAGE(OFFSET($GD$3,0,0,'Données projet'!$E$17+1,1))-AVERAGE(OFFSET($H$3,0,0,'Données projet'!$E$17+1,1))</f>
        <v>#N/A</v>
      </c>
      <c r="GF112" s="58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68.515489493009738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8" t="e">
        <f t="shared" si="83"/>
        <v>#N/A</v>
      </c>
      <c r="GZ112" s="58" t="e">
        <f ca="1">AVERAGE(OFFSET($GY$3,0,0,'Données projet'!$E$18+1,1))-AVERAGE(OFFSET($H$3,0,0,'Données projet'!$E$18+1,1))</f>
        <v>#N/A</v>
      </c>
      <c r="HA112" s="58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2">
        <f>'Scénario référence'!$B$16*5+'Scénario référence'!$B$17*0+'Scénario référence'!$B$18*5</f>
        <v>2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7.333333333333333</v>
      </c>
      <c r="H113" s="66">
        <f t="shared" si="56"/>
        <v>227.33333333333334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8.8449999999999989</v>
      </c>
      <c r="N113" s="13">
        <f>IF('Données projet'!$A$36&gt;35,N112+M113-V112,IF(A113&lt;'Données projet'!$A$36,$K$205^A113,IF(A113='Données projet'!$A$36,'Données projet'!$B$36,N112+M113-V112)))</f>
        <v>389.18000000000063</v>
      </c>
      <c r="O113" s="13">
        <f>N113*VLOOKUP('Données projet'!$B$9,Paramètres!$A$1:$I$89,3,0)*VLOOKUP('Données projet'!$B$9,Paramètres!$A$1:$I$89,5,0)</f>
        <v>352.13006400000057</v>
      </c>
      <c r="P113" s="13">
        <f t="shared" si="87"/>
        <v>82.000958535583734</v>
      </c>
      <c r="Q113" s="20">
        <f t="shared" si="107"/>
        <v>756.11153091614267</v>
      </c>
      <c r="R113" s="58">
        <f t="shared" si="55"/>
        <v>1044.0960864980809</v>
      </c>
      <c r="S113" s="58">
        <f ca="1">AVERAGE(OFFSET($R$3,0,0,'Données projet'!$E$9+1,1))-AVERAGE(OFFSET($H$3,0,0,'Données projet'!$E$9+1,1))</f>
        <v>654.0179680178212</v>
      </c>
      <c r="T113" s="58">
        <f t="shared" si="88"/>
        <v>289.42065570013369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29.387477255986074</v>
      </c>
      <c r="AA113" s="21">
        <f>EXP(-LN(2)/25)*AA112+(1-EXP(-LN(2)/25))/(LN(2)/25)*Calculateur!V113*Calculateur!X113*VLOOKUP('Données projet'!$B$9,Paramètres!$A$1:$I$89,3,0)*0.475*44/12</f>
        <v>22.882762832941054</v>
      </c>
      <c r="AB113" s="21">
        <f>EXP(-LN(2)/2)*AB112+(1-EXP(-LN(2)/2))/(LN(2)/2)*V113*Y113*VLOOKUP('Données projet'!$B$9,Paramètres!$A$1:$I$89,3,0)*0.475*44/12</f>
        <v>0.7284381747841554</v>
      </c>
      <c r="AC113" s="22">
        <f t="shared" si="57"/>
        <v>52.998678263711277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8">
        <f t="shared" si="59"/>
        <v>287.98455558194513</v>
      </c>
      <c r="AN113" s="58">
        <f ca="1">AVERAGE(OFFSET($AM$3,0,0,'Données projet'!$E$10+1,1))-AVERAGE(OFFSET($H$3,0,0,'Données projet'!$E$10+1,1))</f>
        <v>447.44638185108147</v>
      </c>
      <c r="AO113" s="58">
        <f t="shared" si="90"/>
        <v>384.84260115068605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97.935875977069188</v>
      </c>
      <c r="AV113" s="21">
        <f>EXP(-LN(2)/25)*AV112+(1-EXP(-LN(2)/25))/(LN(2)/25)*Calculateur!AQ113*Calculateur!AS113*VLOOKUP('Données projet'!$B$10,Paramètres!$A$1:$I$89,3,0)*0.475*44/12</f>
        <v>25.312982520657137</v>
      </c>
      <c r="AW113" s="21">
        <f>EXP(-LN(2)/2)*AW112+(1-EXP(-LN(2)/2))/(LN(2)/2)*AQ113*AT113*VLOOKUP('Données projet'!$B$10,Paramètres!$A$1:$I$89,3,0)*0.475*44/12</f>
        <v>6.9678070307521885E-4</v>
      </c>
      <c r="AX113" s="21">
        <f t="shared" si="60"/>
        <v>123.24955527842941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394.62852000000066</v>
      </c>
      <c r="BF113" s="13">
        <f t="shared" si="91"/>
        <v>90.686824704469188</v>
      </c>
      <c r="BG113" s="20">
        <f t="shared" si="61"/>
        <v>845.25755869361831</v>
      </c>
      <c r="BH113" s="58">
        <f t="shared" si="62"/>
        <v>1133.2421142755566</v>
      </c>
      <c r="BI113" s="58">
        <f ca="1">AVERAGE(OFFSET($BH$3,0,0,'Données projet'!$E$11+1,1))-AVERAGE(OFFSET($H$3,0,0,'Données projet'!$E$11+1,1))</f>
        <v>724.99760740673071</v>
      </c>
      <c r="BJ113" s="58">
        <f t="shared" si="92"/>
        <v>318.24184272438208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32.934241752398179</v>
      </c>
      <c r="BQ113" s="21">
        <f>EXP(-LN(2)/25)*BQ112+(1-EXP(-LN(2)/25))/(LN(2)/25)*Calculateur!BL113*Calculateur!BN113*VLOOKUP('Données projet'!$B$11,Paramètres!$A$1:$I$89,3,0)*0.475*44/12</f>
        <v>25.644475588640837</v>
      </c>
      <c r="BR113" s="21">
        <f>EXP(-LN(2)/2)*BR112+(1-EXP(-LN(2)/2))/(LN(2)/2)*BL113*BO113*VLOOKUP('Données projet'!$B$11,Paramètres!$A$1:$I$89,3,0)*0.475*44/12</f>
        <v>0.81635312691327777</v>
      </c>
      <c r="BS113" s="22">
        <f t="shared" si="63"/>
        <v>59.395070467952294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8.8449999999999989</v>
      </c>
      <c r="BY113" s="12">
        <f>IF('Données projet'!$A$114&gt;35,BY112+BX113-CG112,IF(A113&lt;'Données projet'!$A$114,$BV$205^A113,IF(A113='Données projet'!$A$114,'Données projet'!$B$114,BY112+BX113-CG112)))</f>
        <v>389.18000000000063</v>
      </c>
      <c r="BZ113" s="13">
        <f>BY113*VLOOKUP('Données projet'!$B$12,Paramètres!$A$1:$I$89,3,0)*VLOOKUP('Données projet'!$B$12,Paramètres!$A$1:$I$89,5,0)</f>
        <v>370.34368800000061</v>
      </c>
      <c r="CA113" s="13">
        <f t="shared" si="93"/>
        <v>85.737614553397449</v>
      </c>
      <c r="CB113" s="20">
        <f t="shared" si="64"/>
        <v>794.34160194716833</v>
      </c>
      <c r="CC113" s="58">
        <f t="shared" si="65"/>
        <v>1082.3261575291067</v>
      </c>
      <c r="CD113" s="58">
        <f ca="1">AVERAGE(OFFSET($CC$3,0,0,'Données projet'!$E$12+1,1))-AVERAGE(OFFSET($H$3,0,0,'Données projet'!$E$12+1,1))</f>
        <v>684.45757350513315</v>
      </c>
      <c r="CE113" s="58">
        <f t="shared" si="94"/>
        <v>301.78148341369194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30.907519183019836</v>
      </c>
      <c r="CL113" s="21">
        <f>EXP(-LN(2)/25)*CL112+(1-EXP(-LN(2)/25))/(LN(2)/25)*Calculateur!CG113*Calculateur!CI113*VLOOKUP('Données projet'!$B$12,Paramètres!$A$1:$I$89,3,0)*0.475*44/12</f>
        <v>24.066354013955241</v>
      </c>
      <c r="CM113" s="21">
        <f>EXP(-LN(2)/2)*CM112+(1-EXP(-LN(2)/2))/(LN(2)/2)*CG113*CJ113*VLOOKUP('Données projet'!$B$12,Paramètres!$A$1:$I$89,3,0)*0.475*44/12</f>
        <v>0.76611601141092223</v>
      </c>
      <c r="CN113" s="22">
        <f t="shared" si="66"/>
        <v>55.739989208386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8" t="e">
        <f t="shared" si="68"/>
        <v>#N/A</v>
      </c>
      <c r="CY113" s="58" t="e">
        <f ca="1">AVERAGE(OFFSET($CX$3,0,0,'Données projet'!$E$13+1,1))-AVERAGE(OFFSET($H$3,0,0,'Données projet'!$E$13+1,1))</f>
        <v>#N/A</v>
      </c>
      <c r="CZ113" s="58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8" t="e">
        <f t="shared" si="71"/>
        <v>#N/A</v>
      </c>
      <c r="DT113" s="58" t="e">
        <f ca="1">AVERAGE(OFFSET($DS$3,0,0,'Données projet'!$E$14+1,1))-AVERAGE(OFFSET($H$3,0,0,'Données projet'!$E$14+1,1))</f>
        <v>#N/A</v>
      </c>
      <c r="DU113" s="58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8" t="e">
        <f t="shared" si="74"/>
        <v>#N/A</v>
      </c>
      <c r="EO113" s="58" t="e">
        <f ca="1">AVERAGE(OFFSET($EN$3,0,0,'Données projet'!$E$15+1,1))-AVERAGE(OFFSET($H$3,0,0,'Données projet'!$E$15+1,1))</f>
        <v>#N/A</v>
      </c>
      <c r="EP113" s="58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8" t="e">
        <f t="shared" si="77"/>
        <v>#N/A</v>
      </c>
      <c r="FJ113" s="58" t="e">
        <f ca="1">AVERAGE(OFFSET($FI$3,0,0,'Données projet'!$E$16+1,1))-AVERAGE(OFFSET($H$3,0,0,'Données projet'!$E$16+1,1))</f>
        <v>#N/A</v>
      </c>
      <c r="FK113" s="58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8" t="e">
        <f t="shared" si="80"/>
        <v>#N/A</v>
      </c>
      <c r="GE113" s="58" t="e">
        <f ca="1">AVERAGE(OFFSET($GD$3,0,0,'Données projet'!$E$17+1,1))-AVERAGE(OFFSET($H$3,0,0,'Données projet'!$E$17+1,1))</f>
        <v>#N/A</v>
      </c>
      <c r="GF113" s="58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68.541242431437723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8" t="e">
        <f t="shared" si="83"/>
        <v>#N/A</v>
      </c>
      <c r="GZ113" s="58" t="e">
        <f ca="1">AVERAGE(OFFSET($GY$3,0,0,'Données projet'!$E$18+1,1))-AVERAGE(OFFSET($H$3,0,0,'Données projet'!$E$18+1,1))</f>
        <v>#N/A</v>
      </c>
      <c r="HA113" s="58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2">
        <f>'Scénario référence'!$B$16*5+'Scénario référence'!$B$17*0+'Scénario référence'!$B$18*5</f>
        <v>2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7.333333333333333</v>
      </c>
      <c r="H114" s="66">
        <f t="shared" si="56"/>
        <v>227.33333333333334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8.8449999999999989</v>
      </c>
      <c r="N114" s="13">
        <f>IF('Données projet'!$A$36&gt;35,N113+M114-V113,IF(A114&lt;'Données projet'!$A$36,$K$205^A114,IF(A114='Données projet'!$A$36,'Données projet'!$B$36,N113+M114-V113)))</f>
        <v>398.02500000000066</v>
      </c>
      <c r="O114" s="13">
        <f>N114*VLOOKUP('Données projet'!$B$9,Paramètres!$A$1:$I$89,3,0)*VLOOKUP('Données projet'!$B$9,Paramètres!$A$1:$I$89,5,0)</f>
        <v>360.13302000000061</v>
      </c>
      <c r="P114" s="13">
        <f t="shared" si="87"/>
        <v>83.645526906767415</v>
      </c>
      <c r="Q114" s="20">
        <f t="shared" si="107"/>
        <v>772.91430252928774</v>
      </c>
      <c r="R114" s="58">
        <f t="shared" si="55"/>
        <v>1060.9916474471372</v>
      </c>
      <c r="S114" s="58">
        <f ca="1">AVERAGE(OFFSET($R$3,0,0,'Données projet'!$E$9+1,1))-AVERAGE(OFFSET($H$3,0,0,'Données projet'!$E$9+1,1))</f>
        <v>654.0179680178212</v>
      </c>
      <c r="T114" s="58">
        <f t="shared" si="88"/>
        <v>289.42065570013369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28.811206751587406</v>
      </c>
      <c r="AA114" s="21">
        <f>EXP(-LN(2)/25)*AA113+(1-EXP(-LN(2)/25))/(LN(2)/25)*Calculateur!V114*Calculateur!X114*VLOOKUP('Données projet'!$B$9,Paramètres!$A$1:$I$89,3,0)*0.475*44/12</f>
        <v>22.257032479922085</v>
      </c>
      <c r="AB114" s="21">
        <f>EXP(-LN(2)/2)*AB113+(1-EXP(-LN(2)/2))/(LN(2)/2)*V114*Y114*VLOOKUP('Données projet'!$B$9,Paramètres!$A$1:$I$89,3,0)*0.475*44/12</f>
        <v>0.51508357306502783</v>
      </c>
      <c r="AC114" s="22">
        <f t="shared" si="57"/>
        <v>51.583322804574522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8">
        <f t="shared" si="59"/>
        <v>288.07734491785624</v>
      </c>
      <c r="AN114" s="58">
        <f ca="1">AVERAGE(OFFSET($AM$3,0,0,'Données projet'!$E$10+1,1))-AVERAGE(OFFSET($H$3,0,0,'Données projet'!$E$10+1,1))</f>
        <v>447.44638185108147</v>
      </c>
      <c r="AO114" s="58">
        <f t="shared" si="90"/>
        <v>384.84260115068605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96.015413184144862</v>
      </c>
      <c r="AV114" s="21">
        <f>EXP(-LN(2)/25)*AV113+(1-EXP(-LN(2)/25))/(LN(2)/25)*Calculateur!AQ114*Calculateur!AS114*VLOOKUP('Données projet'!$B$10,Paramètres!$A$1:$I$89,3,0)*0.475*44/12</f>
        <v>24.620797682477871</v>
      </c>
      <c r="AW114" s="21">
        <f>EXP(-LN(2)/2)*AW113+(1-EXP(-LN(2)/2))/(LN(2)/2)*AQ114*AT114*VLOOKUP('Données projet'!$B$10,Paramètres!$A$1:$I$89,3,0)*0.475*44/12</f>
        <v>4.9269836014441751E-4</v>
      </c>
      <c r="AX114" s="21">
        <f t="shared" si="60"/>
        <v>120.63670356498288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403.59735000000074</v>
      </c>
      <c r="BF114" s="13">
        <f t="shared" si="91"/>
        <v>92.505592268354718</v>
      </c>
      <c r="BG114" s="20">
        <f t="shared" si="61"/>
        <v>864.04595778405246</v>
      </c>
      <c r="BH114" s="58">
        <f t="shared" si="62"/>
        <v>1152.1233027019018</v>
      </c>
      <c r="BI114" s="58">
        <f ca="1">AVERAGE(OFFSET($BH$3,0,0,'Données projet'!$E$11+1,1))-AVERAGE(OFFSET($H$3,0,0,'Données projet'!$E$11+1,1))</f>
        <v>724.99760740673071</v>
      </c>
      <c r="BJ114" s="58">
        <f t="shared" si="92"/>
        <v>318.24184272438208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32.288421359537601</v>
      </c>
      <c r="BQ114" s="21">
        <f>EXP(-LN(2)/25)*BQ113+(1-EXP(-LN(2)/25))/(LN(2)/25)*Calculateur!BL114*Calculateur!BN114*VLOOKUP('Données projet'!$B$11,Paramètres!$A$1:$I$89,3,0)*0.475*44/12</f>
        <v>24.943226055085095</v>
      </c>
      <c r="BR114" s="21">
        <f>EXP(-LN(2)/2)*BR113+(1-EXP(-LN(2)/2))/(LN(2)/2)*BL114*BO114*VLOOKUP('Données projet'!$B$11,Paramètres!$A$1:$I$89,3,0)*0.475*44/12</f>
        <v>0.57724883188322096</v>
      </c>
      <c r="BS114" s="22">
        <f t="shared" si="63"/>
        <v>57.808896246505924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8.8449999999999989</v>
      </c>
      <c r="BY114" s="12">
        <f>IF('Données projet'!$A$114&gt;35,BY113+BX114-CG113,IF(A114&lt;'Données projet'!$A$114,$BV$205^A114,IF(A114='Données projet'!$A$114,'Données projet'!$B$114,BY113+BX114-CG113)))</f>
        <v>398.02500000000066</v>
      </c>
      <c r="BZ114" s="13">
        <f>BY114*VLOOKUP('Données projet'!$B$12,Paramètres!$A$1:$I$89,3,0)*VLOOKUP('Données projet'!$B$12,Paramètres!$A$1:$I$89,5,0)</f>
        <v>378.76059000000066</v>
      </c>
      <c r="CA114" s="13">
        <f t="shared" si="93"/>
        <v>87.457123344920589</v>
      </c>
      <c r="CB114" s="20">
        <f t="shared" si="64"/>
        <v>811.9958507424044</v>
      </c>
      <c r="CC114" s="58">
        <f t="shared" si="65"/>
        <v>1100.0731956602538</v>
      </c>
      <c r="CD114" s="58">
        <f ca="1">AVERAGE(OFFSET($CC$3,0,0,'Données projet'!$E$12+1,1))-AVERAGE(OFFSET($H$3,0,0,'Données projet'!$E$12+1,1))</f>
        <v>684.45757350513315</v>
      </c>
      <c r="CE114" s="58">
        <f t="shared" si="94"/>
        <v>301.78148341369194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30.301441583566067</v>
      </c>
      <c r="CL114" s="21">
        <f>EXP(-LN(2)/25)*CL113+(1-EXP(-LN(2)/25))/(LN(2)/25)*Calculateur!CG114*Calculateur!CI114*VLOOKUP('Données projet'!$B$12,Paramètres!$A$1:$I$89,3,0)*0.475*44/12</f>
        <v>23.408258297849081</v>
      </c>
      <c r="CM114" s="21">
        <f>EXP(-LN(2)/2)*CM113+(1-EXP(-LN(2)/2))/(LN(2)/2)*CG114*CJ114*VLOOKUP('Données projet'!$B$12,Paramètres!$A$1:$I$89,3,0)*0.475*44/12</f>
        <v>0.54172582684425352</v>
      </c>
      <c r="CN114" s="22">
        <f t="shared" si="66"/>
        <v>54.251425708259404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8" t="e">
        <f t="shared" si="68"/>
        <v>#N/A</v>
      </c>
      <c r="CY114" s="58" t="e">
        <f ca="1">AVERAGE(OFFSET($CX$3,0,0,'Données projet'!$E$13+1,1))-AVERAGE(OFFSET($H$3,0,0,'Données projet'!$E$13+1,1))</f>
        <v>#N/A</v>
      </c>
      <c r="CZ114" s="58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8" t="e">
        <f t="shared" si="71"/>
        <v>#N/A</v>
      </c>
      <c r="DT114" s="58" t="e">
        <f ca="1">AVERAGE(OFFSET($DS$3,0,0,'Données projet'!$E$14+1,1))-AVERAGE(OFFSET($H$3,0,0,'Données projet'!$E$14+1,1))</f>
        <v>#N/A</v>
      </c>
      <c r="DU114" s="58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8" t="e">
        <f t="shared" si="74"/>
        <v>#N/A</v>
      </c>
      <c r="EO114" s="58" t="e">
        <f ca="1">AVERAGE(OFFSET($EN$3,0,0,'Données projet'!$E$15+1,1))-AVERAGE(OFFSET($H$3,0,0,'Données projet'!$E$15+1,1))</f>
        <v>#N/A</v>
      </c>
      <c r="EP114" s="58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8" t="e">
        <f t="shared" si="77"/>
        <v>#N/A</v>
      </c>
      <c r="FJ114" s="58" t="e">
        <f ca="1">AVERAGE(OFFSET($FI$3,0,0,'Données projet'!$E$16+1,1))-AVERAGE(OFFSET($H$3,0,0,'Données projet'!$E$16+1,1))</f>
        <v>#N/A</v>
      </c>
      <c r="FK114" s="58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8" t="e">
        <f t="shared" si="80"/>
        <v>#N/A</v>
      </c>
      <c r="GE114" s="58" t="e">
        <f ca="1">AVERAGE(OFFSET($GD$3,0,0,'Données projet'!$E$17+1,1))-AVERAGE(OFFSET($H$3,0,0,'Données projet'!$E$17+1,1))</f>
        <v>#N/A</v>
      </c>
      <c r="GF114" s="58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68.566548613958929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8" t="e">
        <f t="shared" si="83"/>
        <v>#N/A</v>
      </c>
      <c r="GZ114" s="58" t="e">
        <f ca="1">AVERAGE(OFFSET($GY$3,0,0,'Données projet'!$E$18+1,1))-AVERAGE(OFFSET($H$3,0,0,'Données projet'!$E$18+1,1))</f>
        <v>#N/A</v>
      </c>
      <c r="HA114" s="58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2">
        <f>'Scénario référence'!$B$16*5+'Scénario référence'!$B$17*0+'Scénario référence'!$B$18*5</f>
        <v>2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7.333333333333333</v>
      </c>
      <c r="H115" s="66">
        <f t="shared" si="56"/>
        <v>227.33333333333334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8.8449999999999989</v>
      </c>
      <c r="N115" s="13">
        <f>IF('Données projet'!$A$36&gt;35,N114+M115-V114,IF(A115&lt;'Données projet'!$A$36,$K$205^A115,IF(A115='Données projet'!$A$36,'Données projet'!$B$36,N114+M115-V114)))</f>
        <v>406.87000000000069</v>
      </c>
      <c r="O115" s="13">
        <f>N115*VLOOKUP('Données projet'!$B$9,Paramètres!$A$1:$I$89,3,0)*VLOOKUP('Données projet'!$B$9,Paramètres!$A$1:$I$89,5,0)</f>
        <v>368.1359760000006</v>
      </c>
      <c r="P115" s="13">
        <f t="shared" si="87"/>
        <v>85.285846455183602</v>
      </c>
      <c r="Q115" s="20">
        <f t="shared" si="107"/>
        <v>789.70967410944593</v>
      </c>
      <c r="R115" s="58">
        <f t="shared" si="55"/>
        <v>1077.8781986756744</v>
      </c>
      <c r="S115" s="58">
        <f ca="1">AVERAGE(OFFSET($R$3,0,0,'Données projet'!$E$9+1,1))-AVERAGE(OFFSET($H$3,0,0,'Données projet'!$E$9+1,1))</f>
        <v>654.0179680178212</v>
      </c>
      <c r="T115" s="58">
        <f t="shared" si="88"/>
        <v>289.42065570013369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28.246236560289695</v>
      </c>
      <c r="AA115" s="21">
        <f>EXP(-LN(2)/25)*AA114+(1-EXP(-LN(2)/25))/(LN(2)/25)*Calculateur!V115*Calculateur!X115*VLOOKUP('Données projet'!$B$9,Paramètres!$A$1:$I$89,3,0)*0.475*44/12</f>
        <v>21.648412756312148</v>
      </c>
      <c r="AB115" s="21">
        <f>EXP(-LN(2)/2)*AB114+(1-EXP(-LN(2)/2))/(LN(2)/2)*V115*Y115*VLOOKUP('Données projet'!$B$9,Paramètres!$A$1:$I$89,3,0)*0.475*44/12</f>
        <v>0.3642190873920777</v>
      </c>
      <c r="AC115" s="22">
        <f t="shared" si="57"/>
        <v>50.258868403993922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8">
        <f t="shared" si="59"/>
        <v>288.16852456623519</v>
      </c>
      <c r="AN115" s="58">
        <f ca="1">AVERAGE(OFFSET($AM$3,0,0,'Données projet'!$E$10+1,1))-AVERAGE(OFFSET($H$3,0,0,'Données projet'!$E$10+1,1))</f>
        <v>447.44638185108147</v>
      </c>
      <c r="AO115" s="58">
        <f t="shared" si="90"/>
        <v>384.84260115068605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94.13260949522315</v>
      </c>
      <c r="AV115" s="21">
        <f>EXP(-LN(2)/25)*AV114+(1-EXP(-LN(2)/25))/(LN(2)/25)*Calculateur!AQ115*Calculateur!AS115*VLOOKUP('Données projet'!$B$10,Paramètres!$A$1:$I$89,3,0)*0.475*44/12</f>
        <v>23.947540675099035</v>
      </c>
      <c r="AW115" s="21">
        <f>EXP(-LN(2)/2)*AW114+(1-EXP(-LN(2)/2))/(LN(2)/2)*AQ115*AT115*VLOOKUP('Données projet'!$B$10,Paramètres!$A$1:$I$89,3,0)*0.475*44/12</f>
        <v>3.4839035153760942E-4</v>
      </c>
      <c r="AX115" s="21">
        <f t="shared" si="60"/>
        <v>118.08049856067372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412.56618000000077</v>
      </c>
      <c r="BF115" s="13">
        <f t="shared" si="91"/>
        <v>94.319660957344354</v>
      </c>
      <c r="BG115" s="20">
        <f t="shared" si="61"/>
        <v>882.82617300070933</v>
      </c>
      <c r="BH115" s="58">
        <f t="shared" si="62"/>
        <v>1170.9946975669377</v>
      </c>
      <c r="BI115" s="58">
        <f ca="1">AVERAGE(OFFSET($BH$3,0,0,'Données projet'!$E$11+1,1))-AVERAGE(OFFSET($H$3,0,0,'Données projet'!$E$11+1,1))</f>
        <v>724.99760740673071</v>
      </c>
      <c r="BJ115" s="58">
        <f t="shared" si="92"/>
        <v>318.24184272438208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31.655265110669479</v>
      </c>
      <c r="BQ115" s="21">
        <f>EXP(-LN(2)/25)*BQ114+(1-EXP(-LN(2)/25))/(LN(2)/25)*Calculateur!BL115*Calculateur!BN115*VLOOKUP('Données projet'!$B$11,Paramètres!$A$1:$I$89,3,0)*0.475*44/12</f>
        <v>24.261152226901544</v>
      </c>
      <c r="BR115" s="21">
        <f>EXP(-LN(2)/2)*BR114+(1-EXP(-LN(2)/2))/(LN(2)/2)*BL115*BO115*VLOOKUP('Données projet'!$B$11,Paramètres!$A$1:$I$89,3,0)*0.475*44/12</f>
        <v>0.40817656345663889</v>
      </c>
      <c r="BS115" s="22">
        <f t="shared" si="63"/>
        <v>56.324593901027662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8.8449999999999989</v>
      </c>
      <c r="BY115" s="12">
        <f>IF('Données projet'!$A$114&gt;35,BY114+BX115-CG114,IF(A115&lt;'Données projet'!$A$114,$BV$205^A115,IF(A115='Données projet'!$A$114,'Données projet'!$B$114,BY114+BX115-CG114)))</f>
        <v>406.87000000000069</v>
      </c>
      <c r="BZ115" s="13">
        <f>BY115*VLOOKUP('Données projet'!$B$12,Paramètres!$A$1:$I$89,3,0)*VLOOKUP('Données projet'!$B$12,Paramètres!$A$1:$I$89,5,0)</f>
        <v>387.17749200000065</v>
      </c>
      <c r="CA115" s="13">
        <f t="shared" si="93"/>
        <v>89.172189701437333</v>
      </c>
      <c r="CB115" s="20">
        <f t="shared" si="64"/>
        <v>829.64236229667119</v>
      </c>
      <c r="CC115" s="58">
        <f t="shared" si="65"/>
        <v>1117.8108868628997</v>
      </c>
      <c r="CD115" s="58">
        <f ca="1">AVERAGE(OFFSET($CC$3,0,0,'Données projet'!$E$12+1,1))-AVERAGE(OFFSET($H$3,0,0,'Données projet'!$E$12+1,1))</f>
        <v>684.45757350513315</v>
      </c>
      <c r="CE115" s="58">
        <f t="shared" si="94"/>
        <v>301.78148341369194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29.707248796166752</v>
      </c>
      <c r="CL115" s="21">
        <f>EXP(-LN(2)/25)*CL114+(1-EXP(-LN(2)/25))/(LN(2)/25)*Calculateur!CG115*Calculateur!CI115*VLOOKUP('Données projet'!$B$12,Paramètres!$A$1:$I$89,3,0)*0.475*44/12</f>
        <v>22.768158243707592</v>
      </c>
      <c r="CM115" s="21">
        <f>EXP(-LN(2)/2)*CM114+(1-EXP(-LN(2)/2))/(LN(2)/2)*CG115*CJ115*VLOOKUP('Données projet'!$B$12,Paramètres!$A$1:$I$89,3,0)*0.475*44/12</f>
        <v>0.38305800570546111</v>
      </c>
      <c r="CN115" s="22">
        <f t="shared" si="66"/>
        <v>52.858465045579806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8" t="e">
        <f t="shared" si="68"/>
        <v>#N/A</v>
      </c>
      <c r="CY115" s="58" t="e">
        <f ca="1">AVERAGE(OFFSET($CX$3,0,0,'Données projet'!$E$13+1,1))-AVERAGE(OFFSET($H$3,0,0,'Données projet'!$E$13+1,1))</f>
        <v>#N/A</v>
      </c>
      <c r="CZ115" s="58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8" t="e">
        <f t="shared" si="71"/>
        <v>#N/A</v>
      </c>
      <c r="DT115" s="58" t="e">
        <f ca="1">AVERAGE(OFFSET($DS$3,0,0,'Données projet'!$E$14+1,1))-AVERAGE(OFFSET($H$3,0,0,'Données projet'!$E$14+1,1))</f>
        <v>#N/A</v>
      </c>
      <c r="DU115" s="58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8" t="e">
        <f t="shared" si="74"/>
        <v>#N/A</v>
      </c>
      <c r="EO115" s="58" t="e">
        <f ca="1">AVERAGE(OFFSET($EN$3,0,0,'Données projet'!$E$15+1,1))-AVERAGE(OFFSET($H$3,0,0,'Données projet'!$E$15+1,1))</f>
        <v>#N/A</v>
      </c>
      <c r="EP115" s="58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8" t="e">
        <f t="shared" si="77"/>
        <v>#N/A</v>
      </c>
      <c r="FJ115" s="58" t="e">
        <f ca="1">AVERAGE(OFFSET($FI$3,0,0,'Données projet'!$E$16+1,1))-AVERAGE(OFFSET($H$3,0,0,'Données projet'!$E$16+1,1))</f>
        <v>#N/A</v>
      </c>
      <c r="FK115" s="58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8" t="e">
        <f t="shared" si="80"/>
        <v>#N/A</v>
      </c>
      <c r="GE115" s="58" t="e">
        <f ca="1">AVERAGE(OFFSET($GD$3,0,0,'Données projet'!$E$17+1,1))-AVERAGE(OFFSET($H$3,0,0,'Données projet'!$E$17+1,1))</f>
        <v>#N/A</v>
      </c>
      <c r="GF115" s="58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68.591415790789554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8" t="e">
        <f t="shared" si="83"/>
        <v>#N/A</v>
      </c>
      <c r="GZ115" s="58" t="e">
        <f ca="1">AVERAGE(OFFSET($GY$3,0,0,'Données projet'!$E$18+1,1))-AVERAGE(OFFSET($H$3,0,0,'Données projet'!$E$18+1,1))</f>
        <v>#N/A</v>
      </c>
      <c r="HA115" s="58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2">
        <f>'Scénario référence'!$B$16*5+'Scénario référence'!$B$17*0+'Scénario référence'!$B$18*5</f>
        <v>2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7.333333333333333</v>
      </c>
      <c r="H116" s="66">
        <f t="shared" si="56"/>
        <v>227.33333333333334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8.8449999999999989</v>
      </c>
      <c r="N116" s="13">
        <f>IF('Données projet'!$A$36&gt;35,N115+M116-V115,IF(A116&lt;'Données projet'!$A$36,$K$205^A116,IF(A116='Données projet'!$A$36,'Données projet'!$B$36,N115+M116-V115)))</f>
        <v>415.71500000000071</v>
      </c>
      <c r="O116" s="13">
        <f>N116*VLOOKUP('Données projet'!$B$9,Paramètres!$A$1:$I$89,3,0)*VLOOKUP('Données projet'!$B$9,Paramètres!$A$1:$I$89,5,0)</f>
        <v>376.13893200000064</v>
      </c>
      <c r="P116" s="13">
        <f t="shared" si="87"/>
        <v>86.922020183945492</v>
      </c>
      <c r="Q116" s="20">
        <f t="shared" si="107"/>
        <v>806.49782505370615</v>
      </c>
      <c r="R116" s="58">
        <f t="shared" si="55"/>
        <v>1094.7559475052612</v>
      </c>
      <c r="S116" s="58">
        <f ca="1">AVERAGE(OFFSET($R$3,0,0,'Données projet'!$E$9+1,1))-AVERAGE(OFFSET($H$3,0,0,'Données projet'!$E$9+1,1))</f>
        <v>654.0179680178212</v>
      </c>
      <c r="T116" s="58">
        <f t="shared" si="88"/>
        <v>289.42065570013369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27.692345089845542</v>
      </c>
      <c r="AA116" s="21">
        <f>EXP(-LN(2)/25)*AA115+(1-EXP(-LN(2)/25))/(LN(2)/25)*Calculateur!V116*Calculateur!X116*VLOOKUP('Données projet'!$B$9,Paramètres!$A$1:$I$89,3,0)*0.475*44/12</f>
        <v>21.056435771050243</v>
      </c>
      <c r="AB116" s="21">
        <f>EXP(-LN(2)/2)*AB115+(1-EXP(-LN(2)/2))/(LN(2)/2)*V116*Y116*VLOOKUP('Données projet'!$B$9,Paramètres!$A$1:$I$89,3,0)*0.475*44/12</f>
        <v>0.25754178653251392</v>
      </c>
      <c r="AC116" s="22">
        <f t="shared" si="57"/>
        <v>49.006322647428298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8">
        <f t="shared" si="59"/>
        <v>288.25812245156186</v>
      </c>
      <c r="AN116" s="58">
        <f ca="1">AVERAGE(OFFSET($AM$3,0,0,'Données projet'!$E$10+1,1))-AVERAGE(OFFSET($H$3,0,0,'Données projet'!$E$10+1,1))</f>
        <v>447.44638185108147</v>
      </c>
      <c r="AO116" s="58">
        <f t="shared" si="90"/>
        <v>384.84260115068605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92.28672643824433</v>
      </c>
      <c r="AV116" s="21">
        <f>EXP(-LN(2)/25)*AV115+(1-EXP(-LN(2)/25))/(LN(2)/25)*Calculateur!AQ116*Calculateur!AS116*VLOOKUP('Données projet'!$B$10,Paramètres!$A$1:$I$89,3,0)*0.475*44/12</f>
        <v>23.292693915992022</v>
      </c>
      <c r="AW116" s="21">
        <f>EXP(-LN(2)/2)*AW115+(1-EXP(-LN(2)/2))/(LN(2)/2)*AQ116*AT116*VLOOKUP('Données projet'!$B$10,Paramètres!$A$1:$I$89,3,0)*0.475*44/12</f>
        <v>2.4634918007220875E-4</v>
      </c>
      <c r="AX116" s="21">
        <f t="shared" si="60"/>
        <v>115.57966670341642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421.5350100000008</v>
      </c>
      <c r="BF116" s="13">
        <f t="shared" si="91"/>
        <v>96.129144685048502</v>
      </c>
      <c r="BG116" s="20">
        <f t="shared" si="61"/>
        <v>901.59840274312739</v>
      </c>
      <c r="BH116" s="58">
        <f t="shared" si="62"/>
        <v>1189.8565251946825</v>
      </c>
      <c r="BI116" s="58">
        <f ca="1">AVERAGE(OFFSET($BH$3,0,0,'Données projet'!$E$11+1,1))-AVERAGE(OFFSET($H$3,0,0,'Données projet'!$E$11+1,1))</f>
        <v>724.99760740673071</v>
      </c>
      <c r="BJ116" s="58">
        <f t="shared" si="92"/>
        <v>318.24184272438208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31.034524669654481</v>
      </c>
      <c r="BQ116" s="21">
        <f>EXP(-LN(2)/25)*BQ115+(1-EXP(-LN(2)/25))/(LN(2)/25)*Calculateur!BL116*Calculateur!BN116*VLOOKUP('Données projet'!$B$11,Paramètres!$A$1:$I$89,3,0)*0.475*44/12</f>
        <v>23.597729743418377</v>
      </c>
      <c r="BR116" s="21">
        <f>EXP(-LN(2)/2)*BR115+(1-EXP(-LN(2)/2))/(LN(2)/2)*BL116*BO116*VLOOKUP('Données projet'!$B$11,Paramètres!$A$1:$I$89,3,0)*0.475*44/12</f>
        <v>0.28862441594161048</v>
      </c>
      <c r="BS116" s="22">
        <f t="shared" si="63"/>
        <v>54.92087882901447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8.8449999999999989</v>
      </c>
      <c r="BY116" s="12">
        <f>IF('Données projet'!$A$114&gt;35,BY115+BX116-CG115,IF(A116&lt;'Données projet'!$A$114,$BV$205^A116,IF(A116='Données projet'!$A$114,'Données projet'!$B$114,BY115+BX116-CG115)))</f>
        <v>415.71500000000071</v>
      </c>
      <c r="BZ116" s="13">
        <f>BY116*VLOOKUP('Données projet'!$B$12,Paramètres!$A$1:$I$89,3,0)*VLOOKUP('Données projet'!$B$12,Paramètres!$A$1:$I$89,5,0)</f>
        <v>395.5943940000007</v>
      </c>
      <c r="CA116" s="13">
        <f t="shared" si="93"/>
        <v>90.882921319752683</v>
      </c>
      <c r="CB116" s="20">
        <f t="shared" si="64"/>
        <v>847.28132418190387</v>
      </c>
      <c r="CC116" s="58">
        <f t="shared" si="65"/>
        <v>1135.539446633459</v>
      </c>
      <c r="CD116" s="58">
        <f ca="1">AVERAGE(OFFSET($CC$3,0,0,'Données projet'!$E$12+1,1))-AVERAGE(OFFSET($H$3,0,0,'Données projet'!$E$12+1,1))</f>
        <v>684.45757350513315</v>
      </c>
      <c r="CE116" s="58">
        <f t="shared" si="94"/>
        <v>301.78148341369194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29.124707766906521</v>
      </c>
      <c r="CL116" s="21">
        <f>EXP(-LN(2)/25)*CL115+(1-EXP(-LN(2)/25))/(LN(2)/25)*Calculateur!CG116*Calculateur!CI116*VLOOKUP('Données projet'!$B$12,Paramètres!$A$1:$I$89,3,0)*0.475*44/12</f>
        <v>22.145561759208004</v>
      </c>
      <c r="CM116" s="21">
        <f>EXP(-LN(2)/2)*CM115+(1-EXP(-LN(2)/2))/(LN(2)/2)*CG116*CJ116*VLOOKUP('Données projet'!$B$12,Paramètres!$A$1:$I$89,3,0)*0.475*44/12</f>
        <v>0.27086291342212676</v>
      </c>
      <c r="CN116" s="22">
        <f t="shared" si="66"/>
        <v>51.541132439536653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8" t="e">
        <f t="shared" si="68"/>
        <v>#N/A</v>
      </c>
      <c r="CY116" s="58" t="e">
        <f ca="1">AVERAGE(OFFSET($CX$3,0,0,'Données projet'!$E$13+1,1))-AVERAGE(OFFSET($H$3,0,0,'Données projet'!$E$13+1,1))</f>
        <v>#N/A</v>
      </c>
      <c r="CZ116" s="58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8" t="e">
        <f t="shared" si="71"/>
        <v>#N/A</v>
      </c>
      <c r="DT116" s="58" t="e">
        <f ca="1">AVERAGE(OFFSET($DS$3,0,0,'Données projet'!$E$14+1,1))-AVERAGE(OFFSET($H$3,0,0,'Données projet'!$E$14+1,1))</f>
        <v>#N/A</v>
      </c>
      <c r="DU116" s="58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8" t="e">
        <f t="shared" si="74"/>
        <v>#N/A</v>
      </c>
      <c r="EO116" s="58" t="e">
        <f ca="1">AVERAGE(OFFSET($EN$3,0,0,'Données projet'!$E$15+1,1))-AVERAGE(OFFSET($H$3,0,0,'Données projet'!$E$15+1,1))</f>
        <v>#N/A</v>
      </c>
      <c r="EP116" s="58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8" t="e">
        <f t="shared" si="77"/>
        <v>#N/A</v>
      </c>
      <c r="FJ116" s="58" t="e">
        <f ca="1">AVERAGE(OFFSET($FI$3,0,0,'Données projet'!$E$16+1,1))-AVERAGE(OFFSET($H$3,0,0,'Données projet'!$E$16+1,1))</f>
        <v>#N/A</v>
      </c>
      <c r="FK116" s="58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8" t="e">
        <f t="shared" si="80"/>
        <v>#N/A</v>
      </c>
      <c r="GE116" s="58" t="e">
        <f ca="1">AVERAGE(OFFSET($GD$3,0,0,'Données projet'!$E$17+1,1))-AVERAGE(OFFSET($H$3,0,0,'Données projet'!$E$17+1,1))</f>
        <v>#N/A</v>
      </c>
      <c r="GF116" s="58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68.61585157769683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8" t="e">
        <f t="shared" si="83"/>
        <v>#N/A</v>
      </c>
      <c r="GZ116" s="58" t="e">
        <f ca="1">AVERAGE(OFFSET($GY$3,0,0,'Données projet'!$E$18+1,1))-AVERAGE(OFFSET($H$3,0,0,'Données projet'!$E$18+1,1))</f>
        <v>#N/A</v>
      </c>
      <c r="HA116" s="58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2">
        <f>'Scénario référence'!$B$16*5+'Scénario référence'!$B$17*0+'Scénario référence'!$B$18*5</f>
        <v>2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7.333333333333333</v>
      </c>
      <c r="H117" s="66">
        <f t="shared" si="56"/>
        <v>227.33333333333334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424.56</v>
      </c>
      <c r="L117" s="12">
        <f>VLOOKUP(A117,'Données projet'!$A$35:$I$55,9,0)</f>
        <v>8.8449999999999989</v>
      </c>
      <c r="M117" s="12">
        <f t="array" ref="M117">INDEX(L:L,MIN(IF(ISNUMBER(L117:L313),ROW(L117:L313),"")))</f>
        <v>8.8449999999999989</v>
      </c>
      <c r="N117" s="13">
        <f>IF('Données projet'!$A$36&gt;35,N116+M117-V116,IF(A117&lt;'Données projet'!$A$36,$K$205^A117,IF(A117='Données projet'!$A$36,'Données projet'!$B$36,N116+M117-V116)))</f>
        <v>424.56000000000074</v>
      </c>
      <c r="O117" s="13">
        <f>N117*VLOOKUP('Données projet'!$B$9,Paramètres!$A$1:$I$89,3,0)*VLOOKUP('Données projet'!$B$9,Paramètres!$A$1:$I$89,5,0)</f>
        <v>384.14188800000068</v>
      </c>
      <c r="P117" s="13">
        <f t="shared" si="87"/>
        <v>88.554146462646884</v>
      </c>
      <c r="Q117" s="20">
        <f t="shared" si="107"/>
        <v>823.27892668911102</v>
      </c>
      <c r="R117" s="58">
        <f t="shared" si="55"/>
        <v>1111.6250927029932</v>
      </c>
      <c r="S117" s="58">
        <f ca="1">AVERAGE(OFFSET($R$3,0,0,'Données projet'!$E$9+1,1))-AVERAGE(OFFSET($H$3,0,0,'Données projet'!$E$9+1,1))</f>
        <v>654.0179680178212</v>
      </c>
      <c r="T117" s="58">
        <f t="shared" si="88"/>
        <v>289.42065570013369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61.860000000000014</v>
      </c>
      <c r="W117" s="16">
        <f>IF(ISNA(VLOOKUP(A117,'Données projet'!$A$35:$I$55,5,0)),0%,VLOOKUP(A117,'Données projet'!$A$35:$I$55,5,0)*VLOOKUP('Données projet'!$B$9,Paramètres!$A$1:$I$89,7,0))</f>
        <v>0.15049999999999999</v>
      </c>
      <c r="X117" s="16">
        <f>IF(ISNA(VLOOKUP(A117,'Données projet'!$A$35:$I$55,6,0)),0%,VLOOKUP(A117,'Données projet'!$A$35:$I$55,6,0)*VLOOKUP('Données projet'!$B$9,Paramètres!$A$1:$I$89,7,0))</f>
        <v>8.6000000000000007E-2</v>
      </c>
      <c r="Y117" s="16">
        <f>IF(ISNA(VLOOKUP(A117,'Données projet'!$A$35:$I$55,7,0)),0%,VLOOKUP(A117,'Données projet'!$A$35:$I$55,7,0))</f>
        <v>0.1</v>
      </c>
      <c r="Z117" s="21">
        <f>EXP(-LN(2)/35)*Z116+(1-EXP(-LN(2)/35))/(LN(2)/35)*V117*W117*VLOOKUP('Données projet'!$B$9,Paramètres!$A$1:$I$89,3,0)*0.475*44/12</f>
        <v>36.461382647651561</v>
      </c>
      <c r="AA117" s="21">
        <f>EXP(-LN(2)/25)*AA116+(1-EXP(-LN(2)/25))/(LN(2)/25)*Calculateur!V117*Calculateur!X117*VLOOKUP('Données projet'!$B$9,Paramètres!$A$1:$I$89,3,0)*0.475*44/12</f>
        <v>25.780876368276925</v>
      </c>
      <c r="AB117" s="21">
        <f>EXP(-LN(2)/2)*AB116+(1-EXP(-LN(2)/2))/(LN(2)/2)*V117*Y117*VLOOKUP('Données projet'!$B$9,Paramètres!$A$1:$I$89,3,0)*0.475*44/12</f>
        <v>5.4631172440400739</v>
      </c>
      <c r="AC117" s="22">
        <f t="shared" si="57"/>
        <v>67.70537625996856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8">
        <f t="shared" si="59"/>
        <v>288.34616601388899</v>
      </c>
      <c r="AN117" s="58">
        <f ca="1">AVERAGE(OFFSET($AM$3,0,0,'Données projet'!$E$10+1,1))-AVERAGE(OFFSET($H$3,0,0,'Données projet'!$E$10+1,1))</f>
        <v>447.44638185108147</v>
      </c>
      <c r="AO117" s="58">
        <f t="shared" si="90"/>
        <v>384.84260115068605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90.47704002213537</v>
      </c>
      <c r="AV117" s="21">
        <f>EXP(-LN(2)/25)*AV116+(1-EXP(-LN(2)/25))/(LN(2)/25)*Calculateur!AQ117*Calculateur!AS117*VLOOKUP('Données projet'!$B$10,Paramètres!$A$1:$I$89,3,0)*0.475*44/12</f>
        <v>22.655753975949683</v>
      </c>
      <c r="AW117" s="21">
        <f>EXP(-LN(2)/2)*AW116+(1-EXP(-LN(2)/2))/(LN(2)/2)*AQ117*AT117*VLOOKUP('Données projet'!$B$10,Paramètres!$A$1:$I$89,3,0)*0.475*44/12</f>
        <v>1.7419517576880471E-4</v>
      </c>
      <c r="AX117" s="21">
        <f t="shared" si="60"/>
        <v>113.13296819326082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430.50384000000082</v>
      </c>
      <c r="BF117" s="13">
        <f t="shared" si="91"/>
        <v>97.934152240758081</v>
      </c>
      <c r="BG117" s="20">
        <f t="shared" si="61"/>
        <v>920.3628364859884</v>
      </c>
      <c r="BH117" s="58">
        <f t="shared" si="62"/>
        <v>1208.7090024998706</v>
      </c>
      <c r="BI117" s="58">
        <f ca="1">AVERAGE(OFFSET($BH$3,0,0,'Données projet'!$E$11+1,1))-AVERAGE(OFFSET($H$3,0,0,'Données projet'!$E$11+1,1))</f>
        <v>724.99760740673071</v>
      </c>
      <c r="BJ117" s="58">
        <f t="shared" si="92"/>
        <v>318.24184272438208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40.861894346506055</v>
      </c>
      <c r="BQ117" s="21">
        <f>EXP(-LN(2)/25)*BQ116+(1-EXP(-LN(2)/25))/(LN(2)/25)*Calculateur!BL117*Calculateur!BN117*VLOOKUP('Données projet'!$B$11,Paramètres!$A$1:$I$89,3,0)*0.475*44/12</f>
        <v>28.892361447206902</v>
      </c>
      <c r="BR117" s="21">
        <f>EXP(-LN(2)/2)*BR116+(1-EXP(-LN(2)/2))/(LN(2)/2)*BL117*BO117*VLOOKUP('Données projet'!$B$11,Paramètres!$A$1:$I$89,3,0)*0.475*44/12</f>
        <v>6.1224589803897382</v>
      </c>
      <c r="BS117" s="22">
        <f t="shared" si="63"/>
        <v>75.876714774102695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8.8449999999999989</v>
      </c>
      <c r="BX117" s="12">
        <f t="array" ref="BX117">INDEX(BW:BW,MIN(IF(ISNUMBER(BW117:BW313),ROW(BW117:BW313),"")))</f>
        <v>8.8449999999999989</v>
      </c>
      <c r="BY117" s="12">
        <f>IF('Données projet'!$A$114&gt;35,BY116+BX117-CG116,IF(A117&lt;'Données projet'!$A$114,$BV$205^A117,IF(A117='Données projet'!$A$114,'Données projet'!$B$114,BY116+BX117-CG116)))</f>
        <v>424.56000000000074</v>
      </c>
      <c r="BZ117" s="13">
        <f>BY117*VLOOKUP('Données projet'!$B$12,Paramètres!$A$1:$I$89,3,0)*VLOOKUP('Données projet'!$B$12,Paramètres!$A$1:$I$89,5,0)</f>
        <v>404.01129600000075</v>
      </c>
      <c r="CA117" s="13">
        <f t="shared" si="93"/>
        <v>92.589421052009357</v>
      </c>
      <c r="CB117" s="20">
        <f t="shared" si="64"/>
        <v>864.91291553225085</v>
      </c>
      <c r="CC117" s="58">
        <f t="shared" si="65"/>
        <v>1153.2590815461331</v>
      </c>
      <c r="CD117" s="58">
        <f ca="1">AVERAGE(OFFSET($CC$3,0,0,'Données projet'!$E$12+1,1))-AVERAGE(OFFSET($H$3,0,0,'Données projet'!$E$12+1,1))</f>
        <v>684.45757350513315</v>
      </c>
      <c r="CE117" s="58">
        <f t="shared" si="94"/>
        <v>301.78148341369194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61.860000000000014</v>
      </c>
      <c r="CH117" s="16">
        <f>IF(ISNA(VLOOKUP(A117,'Données projet'!$A$113:$I$133,5,0)),0%,VLOOKUP(A117,'Données projet'!$A$113:$I$133,5,0)*VLOOKUP('Données projet'!$B$12,Paramètres!$A$1:$I$89,7,0))</f>
        <v>0.15049999999999999</v>
      </c>
      <c r="CI117" s="16">
        <f>IF(ISNA(VLOOKUP(A117,'Données projet'!$A$113:$I$133,6,0)),0%,VLOOKUP(A117,'Données projet'!$A$113:$I$133,6,0)*VLOOKUP('Données projet'!$B$12,Paramètres!$A$1:$I$89,7,0))</f>
        <v>8.6000000000000007E-2</v>
      </c>
      <c r="CJ117" s="16">
        <f>IF(ISNA(VLOOKUP(A117,'Données projet'!$A$113:$I$133,7,0)),0%,VLOOKUP(A117,'Données projet'!$A$113:$I$133,7,0))</f>
        <v>0.1</v>
      </c>
      <c r="CK117" s="21">
        <f>EXP(-LN(2)/35)*CK116+(1-EXP(-LN(2)/35))/(LN(2)/35)*CG117*CH117*VLOOKUP('Données projet'!$B$12,Paramètres!$A$1:$I$89,3,0)*0.475*44/12</f>
        <v>38.347316232874924</v>
      </c>
      <c r="CL117" s="21">
        <f>EXP(-LN(2)/25)*CL116+(1-EXP(-LN(2)/25))/(LN(2)/25)*Calculateur!CG117*Calculateur!CI117*VLOOKUP('Données projet'!$B$12,Paramètres!$A$1:$I$89,3,0)*0.475*44/12</f>
        <v>27.114369973532618</v>
      </c>
      <c r="CM117" s="21">
        <f>EXP(-LN(2)/2)*CM116+(1-EXP(-LN(2)/2))/(LN(2)/2)*CG117*CJ117*VLOOKUP('Données projet'!$B$12,Paramètres!$A$1:$I$89,3,0)*0.475*44/12</f>
        <v>5.745692273904214</v>
      </c>
      <c r="CN117" s="22">
        <f t="shared" si="66"/>
        <v>71.207378480311746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8" t="e">
        <f t="shared" si="68"/>
        <v>#N/A</v>
      </c>
      <c r="CY117" s="58" t="e">
        <f ca="1">AVERAGE(OFFSET($CX$3,0,0,'Données projet'!$E$13+1,1))-AVERAGE(OFFSET($H$3,0,0,'Données projet'!$E$13+1,1))</f>
        <v>#N/A</v>
      </c>
      <c r="CZ117" s="58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8" t="e">
        <f t="shared" si="71"/>
        <v>#N/A</v>
      </c>
      <c r="DT117" s="58" t="e">
        <f ca="1">AVERAGE(OFFSET($DS$3,0,0,'Données projet'!$E$14+1,1))-AVERAGE(OFFSET($H$3,0,0,'Données projet'!$E$14+1,1))</f>
        <v>#N/A</v>
      </c>
      <c r="DU117" s="58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8" t="e">
        <f t="shared" si="74"/>
        <v>#N/A</v>
      </c>
      <c r="EO117" s="58" t="e">
        <f ca="1">AVERAGE(OFFSET($EN$3,0,0,'Données projet'!$E$15+1,1))-AVERAGE(OFFSET($H$3,0,0,'Données projet'!$E$15+1,1))</f>
        <v>#N/A</v>
      </c>
      <c r="EP117" s="58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8" t="e">
        <f t="shared" si="77"/>
        <v>#N/A</v>
      </c>
      <c r="FJ117" s="58" t="e">
        <f ca="1">AVERAGE(OFFSET($FI$3,0,0,'Données projet'!$E$16+1,1))-AVERAGE(OFFSET($H$3,0,0,'Données projet'!$E$16+1,1))</f>
        <v>#N/A</v>
      </c>
      <c r="FK117" s="58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8" t="e">
        <f t="shared" si="80"/>
        <v>#N/A</v>
      </c>
      <c r="GE117" s="58" t="e">
        <f ca="1">AVERAGE(OFFSET($GD$3,0,0,'Données projet'!$E$17+1,1))-AVERAGE(OFFSET($H$3,0,0,'Données projet'!$E$17+1,1))</f>
        <v>#N/A</v>
      </c>
      <c r="GF117" s="58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68.639863458331504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8" t="e">
        <f t="shared" si="83"/>
        <v>#N/A</v>
      </c>
      <c r="GZ117" s="58" t="e">
        <f ca="1">AVERAGE(OFFSET($GY$3,0,0,'Données projet'!$E$18+1,1))-AVERAGE(OFFSET($H$3,0,0,'Données projet'!$E$18+1,1))</f>
        <v>#N/A</v>
      </c>
      <c r="HA117" s="58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2">
        <f>'Scénario référence'!$B$16*5+'Scénario référence'!$B$17*0+'Scénario référence'!$B$18*5</f>
        <v>2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7.333333333333333</v>
      </c>
      <c r="H118" s="66">
        <f t="shared" si="56"/>
        <v>227.33333333333334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8.9160000000000021</v>
      </c>
      <c r="N118" s="13">
        <f>IF('Données projet'!$A$36&gt;35,N117+M118-V117,IF(A118&lt;'Données projet'!$A$36,$K$205^A118,IF(A118='Données projet'!$A$36,'Données projet'!$B$36,N117+M118-V117)))</f>
        <v>371.61600000000072</v>
      </c>
      <c r="O118" s="13">
        <f>N118*VLOOKUP('Données projet'!$B$9,Paramètres!$A$1:$I$89,3,0)*VLOOKUP('Données projet'!$B$9,Paramètres!$A$1:$I$89,5,0)</f>
        <v>336.23815680000064</v>
      </c>
      <c r="P118" s="13">
        <f t="shared" si="87"/>
        <v>78.722223243612518</v>
      </c>
      <c r="Q118" s="20">
        <f t="shared" si="107"/>
        <v>722.72266190929292</v>
      </c>
      <c r="R118" s="58">
        <f t="shared" si="55"/>
        <v>1011.1553441265319</v>
      </c>
      <c r="S118" s="58">
        <f ca="1">AVERAGE(OFFSET($R$3,0,0,'Données projet'!$E$9+1,1))-AVERAGE(OFFSET($H$3,0,0,'Données projet'!$E$9+1,1))</f>
        <v>654.0179680178212</v>
      </c>
      <c r="T118" s="58">
        <f t="shared" si="88"/>
        <v>289.42065570013369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35.746397173178586</v>
      </c>
      <c r="AA118" s="21">
        <f>EXP(-LN(2)/25)*AA117+(1-EXP(-LN(2)/25))/(LN(2)/25)*Calculateur!V118*Calculateur!X118*VLOOKUP('Données projet'!$B$9,Paramètres!$A$1:$I$89,3,0)*0.475*44/12</f>
        <v>25.075896948229026</v>
      </c>
      <c r="AB118" s="21">
        <f>EXP(-LN(2)/2)*AB117+(1-EXP(-LN(2)/2))/(LN(2)/2)*V118*Y118*VLOOKUP('Données projet'!$B$9,Paramètres!$A$1:$I$89,3,0)*0.475*44/12</f>
        <v>3.8630072496778993</v>
      </c>
      <c r="AC118" s="22">
        <f t="shared" si="57"/>
        <v>64.685301371085501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8">
        <f t="shared" si="59"/>
        <v>288.43268221724571</v>
      </c>
      <c r="AN118" s="58">
        <f ca="1">AVERAGE(OFFSET($AM$3,0,0,'Données projet'!$E$10+1,1))-AVERAGE(OFFSET($H$3,0,0,'Données projet'!$E$10+1,1))</f>
        <v>447.44638185108147</v>
      </c>
      <c r="AO118" s="58">
        <f t="shared" si="90"/>
        <v>384.84260115068605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88.702840452846587</v>
      </c>
      <c r="AV118" s="21">
        <f>EXP(-LN(2)/25)*AV117+(1-EXP(-LN(2)/25))/(LN(2)/25)*Calculateur!AQ118*Calculateur!AS118*VLOOKUP('Données projet'!$B$10,Paramètres!$A$1:$I$89,3,0)*0.475*44/12</f>
        <v>22.036231192063017</v>
      </c>
      <c r="AW118" s="21">
        <f>EXP(-LN(2)/2)*AW117+(1-EXP(-LN(2)/2))/(LN(2)/2)*AQ118*AT118*VLOOKUP('Données projet'!$B$10,Paramètres!$A$1:$I$89,3,0)*0.475*44/12</f>
        <v>1.2317459003610438E-4</v>
      </c>
      <c r="AX118" s="21">
        <f t="shared" si="60"/>
        <v>110.73919481949963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376.81862400000074</v>
      </c>
      <c r="BF118" s="13">
        <f t="shared" si="91"/>
        <v>87.06079278989921</v>
      </c>
      <c r="BG118" s="20">
        <f t="shared" si="61"/>
        <v>807.92331757574232</v>
      </c>
      <c r="BH118" s="58">
        <f t="shared" si="62"/>
        <v>1096.3559997929813</v>
      </c>
      <c r="BI118" s="58">
        <f ca="1">AVERAGE(OFFSET($BH$3,0,0,'Données projet'!$E$11+1,1))-AVERAGE(OFFSET($H$3,0,0,'Données projet'!$E$11+1,1))</f>
        <v>724.99760740673071</v>
      </c>
      <c r="BJ118" s="58">
        <f t="shared" si="92"/>
        <v>318.24184272438208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40.060617521665655</v>
      </c>
      <c r="BQ118" s="21">
        <f>EXP(-LN(2)/25)*BQ117+(1-EXP(-LN(2)/25))/(LN(2)/25)*Calculateur!BL118*Calculateur!BN118*VLOOKUP('Données projet'!$B$11,Paramètres!$A$1:$I$89,3,0)*0.475*44/12</f>
        <v>28.102298304049775</v>
      </c>
      <c r="BR118" s="21">
        <f>EXP(-LN(2)/2)*BR117+(1-EXP(-LN(2)/2))/(LN(2)/2)*BL118*BO118*VLOOKUP('Données projet'!$B$11,Paramètres!$A$1:$I$89,3,0)*0.475*44/12</f>
        <v>4.3292322625700601</v>
      </c>
      <c r="BS118" s="22">
        <f t="shared" si="63"/>
        <v>72.492148088285489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8.9160000000000021</v>
      </c>
      <c r="BY118" s="12">
        <f>IF('Données projet'!$A$114&gt;35,BY117+BX118-CG117,IF(A118&lt;'Données projet'!$A$114,$BV$205^A118,IF(A118='Données projet'!$A$114,'Données projet'!$B$114,BY117+BX118-CG117)))</f>
        <v>371.61600000000072</v>
      </c>
      <c r="BZ118" s="13">
        <f>BY118*VLOOKUP('Données projet'!$B$12,Paramètres!$A$1:$I$89,3,0)*VLOOKUP('Données projet'!$B$12,Paramètres!$A$1:$I$89,5,0)</f>
        <v>353.62978560000073</v>
      </c>
      <c r="CA118" s="13">
        <f t="shared" si="93"/>
        <v>82.309472398648566</v>
      </c>
      <c r="CB118" s="20">
        <f t="shared" si="64"/>
        <v>759.26087434764747</v>
      </c>
      <c r="CC118" s="58">
        <f t="shared" si="65"/>
        <v>1047.6935565648864</v>
      </c>
      <c r="CD118" s="58">
        <f ca="1">AVERAGE(OFFSET($CC$3,0,0,'Données projet'!$E$12+1,1))-AVERAGE(OFFSET($H$3,0,0,'Données projet'!$E$12+1,1))</f>
        <v>684.45757350513315</v>
      </c>
      <c r="CE118" s="58">
        <f t="shared" si="94"/>
        <v>301.78148341369194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37.595348751101625</v>
      </c>
      <c r="CL118" s="21">
        <f>EXP(-LN(2)/25)*CL117+(1-EXP(-LN(2)/25))/(LN(2)/25)*Calculateur!CG118*Calculateur!CI118*VLOOKUP('Données projet'!$B$12,Paramètres!$A$1:$I$89,3,0)*0.475*44/12</f>
        <v>26.372926100723621</v>
      </c>
      <c r="CM118" s="21">
        <f>EXP(-LN(2)/2)*CM117+(1-EXP(-LN(2)/2))/(LN(2)/2)*CG118*CJ118*VLOOKUP('Données projet'!$B$12,Paramètres!$A$1:$I$89,3,0)*0.475*44/12</f>
        <v>4.0628179694888242</v>
      </c>
      <c r="CN118" s="22">
        <f t="shared" si="66"/>
        <v>68.031092821314061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8" t="e">
        <f t="shared" si="68"/>
        <v>#N/A</v>
      </c>
      <c r="CY118" s="58" t="e">
        <f ca="1">AVERAGE(OFFSET($CX$3,0,0,'Données projet'!$E$13+1,1))-AVERAGE(OFFSET($H$3,0,0,'Données projet'!$E$13+1,1))</f>
        <v>#N/A</v>
      </c>
      <c r="CZ118" s="58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8" t="e">
        <f t="shared" si="71"/>
        <v>#N/A</v>
      </c>
      <c r="DT118" s="58" t="e">
        <f ca="1">AVERAGE(OFFSET($DS$3,0,0,'Données projet'!$E$14+1,1))-AVERAGE(OFFSET($H$3,0,0,'Données projet'!$E$14+1,1))</f>
        <v>#N/A</v>
      </c>
      <c r="DU118" s="58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8" t="e">
        <f t="shared" si="74"/>
        <v>#N/A</v>
      </c>
      <c r="EO118" s="58" t="e">
        <f ca="1">AVERAGE(OFFSET($EN$3,0,0,'Données projet'!$E$15+1,1))-AVERAGE(OFFSET($H$3,0,0,'Données projet'!$E$15+1,1))</f>
        <v>#N/A</v>
      </c>
      <c r="EP118" s="58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8" t="e">
        <f t="shared" si="77"/>
        <v>#N/A</v>
      </c>
      <c r="FJ118" s="58" t="e">
        <f ca="1">AVERAGE(OFFSET($FI$3,0,0,'Données projet'!$E$16+1,1))-AVERAGE(OFFSET($H$3,0,0,'Données projet'!$E$16+1,1))</f>
        <v>#N/A</v>
      </c>
      <c r="FK118" s="58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8" t="e">
        <f t="shared" si="80"/>
        <v>#N/A</v>
      </c>
      <c r="GE118" s="58" t="e">
        <f ca="1">AVERAGE(OFFSET($GD$3,0,0,'Données projet'!$E$17+1,1))-AVERAGE(OFFSET($H$3,0,0,'Données projet'!$E$17+1,1))</f>
        <v>#N/A</v>
      </c>
      <c r="GF118" s="58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68.663458786519698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8" t="e">
        <f t="shared" si="83"/>
        <v>#N/A</v>
      </c>
      <c r="GZ118" s="58" t="e">
        <f ca="1">AVERAGE(OFFSET($GY$3,0,0,'Données projet'!$E$18+1,1))-AVERAGE(OFFSET($H$3,0,0,'Données projet'!$E$18+1,1))</f>
        <v>#N/A</v>
      </c>
      <c r="HA118" s="58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2">
        <f>'Scénario référence'!$B$16*5+'Scénario référence'!$B$17*0+'Scénario référence'!$B$18*5</f>
        <v>2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7.333333333333333</v>
      </c>
      <c r="H119" s="66">
        <f t="shared" si="56"/>
        <v>227.33333333333334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8.9160000000000021</v>
      </c>
      <c r="N119" s="13">
        <f>IF('Données projet'!$A$36&gt;35,N118+M119-V118,IF(A119&lt;'Données projet'!$A$36,$K$205^A119,IF(A119='Données projet'!$A$36,'Données projet'!$B$36,N118+M119-V118)))</f>
        <v>380.53200000000072</v>
      </c>
      <c r="O119" s="13">
        <f>N119*VLOOKUP('Données projet'!$B$9,Paramètres!$A$1:$I$89,3,0)*VLOOKUP('Données projet'!$B$9,Paramètres!$A$1:$I$89,5,0)</f>
        <v>344.30535360000061</v>
      </c>
      <c r="P119" s="13">
        <f t="shared" si="87"/>
        <v>80.388807253544201</v>
      </c>
      <c r="Q119" s="20">
        <f t="shared" si="107"/>
        <v>739.67566348659057</v>
      </c>
      <c r="R119" s="58">
        <f t="shared" si="55"/>
        <v>1028.1933610444792</v>
      </c>
      <c r="S119" s="58">
        <f ca="1">AVERAGE(OFFSET($R$3,0,0,'Données projet'!$E$9+1,1))-AVERAGE(OFFSET($H$3,0,0,'Données projet'!$E$9+1,1))</f>
        <v>654.0179680178212</v>
      </c>
      <c r="T119" s="58">
        <f t="shared" si="88"/>
        <v>289.42065570013369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35.045432127761948</v>
      </c>
      <c r="AA119" s="21">
        <f>EXP(-LN(2)/25)*AA118+(1-EXP(-LN(2)/25))/(LN(2)/25)*Calculateur!V119*Calculateur!X119*VLOOKUP('Données projet'!$B$9,Paramètres!$A$1:$I$89,3,0)*0.475*44/12</f>
        <v>24.390195227495596</v>
      </c>
      <c r="AB119" s="21">
        <f>EXP(-LN(2)/2)*AB118+(1-EXP(-LN(2)/2))/(LN(2)/2)*V119*Y119*VLOOKUP('Données projet'!$B$9,Paramètres!$A$1:$I$89,3,0)*0.475*44/12</f>
        <v>2.7315586220200374</v>
      </c>
      <c r="AC119" s="22">
        <f t="shared" si="57"/>
        <v>62.167185977277583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8">
        <f t="shared" si="59"/>
        <v>288.51769755789542</v>
      </c>
      <c r="AN119" s="58">
        <f ca="1">AVERAGE(OFFSET($AM$3,0,0,'Données projet'!$E$10+1,1))-AVERAGE(OFFSET($H$3,0,0,'Données projet'!$E$10+1,1))</f>
        <v>447.44638185108147</v>
      </c>
      <c r="AO119" s="58">
        <f t="shared" si="90"/>
        <v>384.84260115068605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86.963431854956681</v>
      </c>
      <c r="AV119" s="21">
        <f>EXP(-LN(2)/25)*AV118+(1-EXP(-LN(2)/25))/(LN(2)/25)*Calculateur!AQ119*Calculateur!AS119*VLOOKUP('Données projet'!$B$10,Paramètres!$A$1:$I$89,3,0)*0.475*44/12</f>
        <v>21.433649291281021</v>
      </c>
      <c r="AW119" s="21">
        <f>EXP(-LN(2)/2)*AW118+(1-EXP(-LN(2)/2))/(LN(2)/2)*AQ119*AT119*VLOOKUP('Données projet'!$B$10,Paramètres!$A$1:$I$89,3,0)*0.475*44/12</f>
        <v>8.7097587884402356E-5</v>
      </c>
      <c r="AX119" s="21">
        <f t="shared" si="60"/>
        <v>108.39716824382558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385.85944800000078</v>
      </c>
      <c r="BF119" s="13">
        <f t="shared" si="91"/>
        <v>88.903907976148645</v>
      </c>
      <c r="BG119" s="20">
        <f t="shared" si="61"/>
        <v>826.87951165846027</v>
      </c>
      <c r="BH119" s="58">
        <f t="shared" si="62"/>
        <v>1115.397209216349</v>
      </c>
      <c r="BI119" s="58">
        <f ca="1">AVERAGE(OFFSET($BH$3,0,0,'Données projet'!$E$11+1,1))-AVERAGE(OFFSET($H$3,0,0,'Données projet'!$E$11+1,1))</f>
        <v>724.99760740673071</v>
      </c>
      <c r="BJ119" s="58">
        <f t="shared" si="92"/>
        <v>318.24184272438208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39.275053246629767</v>
      </c>
      <c r="BQ119" s="21">
        <f>EXP(-LN(2)/25)*BQ118+(1-EXP(-LN(2)/25))/(LN(2)/25)*Calculateur!BL119*Calculateur!BN119*VLOOKUP('Données projet'!$B$11,Paramètres!$A$1:$I$89,3,0)*0.475*44/12</f>
        <v>27.333839479089896</v>
      </c>
      <c r="BR119" s="21">
        <f>EXP(-LN(2)/2)*BR118+(1-EXP(-LN(2)/2))/(LN(2)/2)*BL119*BO119*VLOOKUP('Données projet'!$B$11,Paramètres!$A$1:$I$89,3,0)*0.475*44/12</f>
        <v>3.0612294901948696</v>
      </c>
      <c r="BS119" s="22">
        <f t="shared" si="63"/>
        <v>69.670122215914546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8.9160000000000021</v>
      </c>
      <c r="BY119" s="12">
        <f>IF('Données projet'!$A$114&gt;35,BY118+BX119-CG118,IF(A119&lt;'Données projet'!$A$114,$BV$205^A119,IF(A119='Données projet'!$A$114,'Données projet'!$B$114,BY118+BX119-CG118)))</f>
        <v>380.53200000000072</v>
      </c>
      <c r="BZ119" s="13">
        <f>BY119*VLOOKUP('Données projet'!$B$12,Paramètres!$A$1:$I$89,3,0)*VLOOKUP('Données projet'!$B$12,Paramètres!$A$1:$I$89,5,0)</f>
        <v>362.11425120000069</v>
      </c>
      <c r="CA119" s="13">
        <f t="shared" si="93"/>
        <v>84.052000047302485</v>
      </c>
      <c r="CB119" s="20">
        <f t="shared" si="64"/>
        <v>777.07288758905304</v>
      </c>
      <c r="CC119" s="58">
        <f t="shared" si="65"/>
        <v>1065.5905851469415</v>
      </c>
      <c r="CD119" s="58">
        <f ca="1">AVERAGE(OFFSET($CC$3,0,0,'Données projet'!$E$12+1,1))-AVERAGE(OFFSET($H$3,0,0,'Données projet'!$E$12+1,1))</f>
        <v>684.45757350513315</v>
      </c>
      <c r="CE119" s="58">
        <f t="shared" si="94"/>
        <v>301.78148341369194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36.858126892991024</v>
      </c>
      <c r="CL119" s="21">
        <f>EXP(-LN(2)/25)*CL118+(1-EXP(-LN(2)/25))/(LN(2)/25)*Calculateur!CG119*Calculateur!CI119*VLOOKUP('Données projet'!$B$12,Paramètres!$A$1:$I$89,3,0)*0.475*44/12</f>
        <v>25.651757049607426</v>
      </c>
      <c r="CM119" s="21">
        <f>EXP(-LN(2)/2)*CM118+(1-EXP(-LN(2)/2))/(LN(2)/2)*CG119*CJ119*VLOOKUP('Données projet'!$B$12,Paramètres!$A$1:$I$89,3,0)*0.475*44/12</f>
        <v>2.8728461369521074</v>
      </c>
      <c r="CN119" s="22">
        <f t="shared" si="66"/>
        <v>65.382730079550555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8" t="e">
        <f t="shared" si="68"/>
        <v>#N/A</v>
      </c>
      <c r="CY119" s="58" t="e">
        <f ca="1">AVERAGE(OFFSET($CX$3,0,0,'Données projet'!$E$13+1,1))-AVERAGE(OFFSET($H$3,0,0,'Données projet'!$E$13+1,1))</f>
        <v>#N/A</v>
      </c>
      <c r="CZ119" s="58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8" t="e">
        <f t="shared" si="71"/>
        <v>#N/A</v>
      </c>
      <c r="DT119" s="58" t="e">
        <f ca="1">AVERAGE(OFFSET($DS$3,0,0,'Données projet'!$E$14+1,1))-AVERAGE(OFFSET($H$3,0,0,'Données projet'!$E$14+1,1))</f>
        <v>#N/A</v>
      </c>
      <c r="DU119" s="58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8" t="e">
        <f t="shared" si="74"/>
        <v>#N/A</v>
      </c>
      <c r="EO119" s="58" t="e">
        <f ca="1">AVERAGE(OFFSET($EN$3,0,0,'Données projet'!$E$15+1,1))-AVERAGE(OFFSET($H$3,0,0,'Données projet'!$E$15+1,1))</f>
        <v>#N/A</v>
      </c>
      <c r="EP119" s="58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8" t="e">
        <f t="shared" si="77"/>
        <v>#N/A</v>
      </c>
      <c r="FJ119" s="58" t="e">
        <f ca="1">AVERAGE(OFFSET($FI$3,0,0,'Données projet'!$E$16+1,1))-AVERAGE(OFFSET($H$3,0,0,'Données projet'!$E$16+1,1))</f>
        <v>#N/A</v>
      </c>
      <c r="FK119" s="58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8" t="e">
        <f t="shared" si="80"/>
        <v>#N/A</v>
      </c>
      <c r="GE119" s="58" t="e">
        <f ca="1">AVERAGE(OFFSET($GD$3,0,0,'Données projet'!$E$17+1,1))-AVERAGE(OFFSET($H$3,0,0,'Données projet'!$E$17+1,1))</f>
        <v>#N/A</v>
      </c>
      <c r="GF119" s="58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68.686644788515068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8" t="e">
        <f t="shared" si="83"/>
        <v>#N/A</v>
      </c>
      <c r="GZ119" s="58" t="e">
        <f ca="1">AVERAGE(OFFSET($GY$3,0,0,'Données projet'!$E$18+1,1))-AVERAGE(OFFSET($H$3,0,0,'Données projet'!$E$18+1,1))</f>
        <v>#N/A</v>
      </c>
      <c r="HA119" s="58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2">
        <f>'Scénario référence'!$B$16*5+'Scénario référence'!$B$17*0+'Scénario référence'!$B$18*5</f>
        <v>2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7.333333333333333</v>
      </c>
      <c r="H120" s="66">
        <f t="shared" si="56"/>
        <v>227.33333333333334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8.9160000000000021</v>
      </c>
      <c r="N120" s="13">
        <f>IF('Données projet'!$A$36&gt;35,N119+M120-V119,IF(A120&lt;'Données projet'!$A$36,$K$205^A120,IF(A120='Données projet'!$A$36,'Données projet'!$B$36,N119+M120-V119)))</f>
        <v>389.44800000000072</v>
      </c>
      <c r="O120" s="13">
        <f>N120*VLOOKUP('Données projet'!$B$9,Paramètres!$A$1:$I$89,3,0)*VLOOKUP('Données projet'!$B$9,Paramètres!$A$1:$I$89,5,0)</f>
        <v>352.37255040000065</v>
      </c>
      <c r="P120" s="13">
        <f t="shared" si="87"/>
        <v>82.050851753476593</v>
      </c>
      <c r="Q120" s="20">
        <f t="shared" si="107"/>
        <v>756.62075875063954</v>
      </c>
      <c r="R120" s="58">
        <f t="shared" si="55"/>
        <v>1045.2219968230834</v>
      </c>
      <c r="S120" s="58">
        <f ca="1">AVERAGE(OFFSET($R$3,0,0,'Données projet'!$E$9+1,1))-AVERAGE(OFFSET($H$3,0,0,'Données projet'!$E$9+1,1))</f>
        <v>654.0179680178212</v>
      </c>
      <c r="T120" s="58">
        <f t="shared" si="88"/>
        <v>289.42065570013369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34.358212579339472</v>
      </c>
      <c r="AA120" s="21">
        <f>EXP(-LN(2)/25)*AA119+(1-EXP(-LN(2)/25))/(LN(2)/25)*Calculateur!V120*Calculateur!X120*VLOOKUP('Données projet'!$B$9,Paramètres!$A$1:$I$89,3,0)*0.475*44/12</f>
        <v>23.723244056375105</v>
      </c>
      <c r="AB120" s="21">
        <f>EXP(-LN(2)/2)*AB119+(1-EXP(-LN(2)/2))/(LN(2)/2)*V120*Y120*VLOOKUP('Données projet'!$B$9,Paramètres!$A$1:$I$89,3,0)*0.475*44/12</f>
        <v>1.9315036248389501</v>
      </c>
      <c r="AC120" s="22">
        <f t="shared" si="57"/>
        <v>60.012960260553527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8">
        <f t="shared" si="59"/>
        <v>288.60123807245071</v>
      </c>
      <c r="AN120" s="58">
        <f ca="1">AVERAGE(OFFSET($AM$3,0,0,'Données projet'!$E$10+1,1))-AVERAGE(OFFSET($H$3,0,0,'Données projet'!$E$10+1,1))</f>
        <v>447.44638185108147</v>
      </c>
      <c r="AO120" s="58">
        <f t="shared" si="90"/>
        <v>384.84260115068605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85.2581319987369</v>
      </c>
      <c r="AV120" s="21">
        <f>EXP(-LN(2)/25)*AV119+(1-EXP(-LN(2)/25))/(LN(2)/25)*Calculateur!AQ120*Calculateur!AS120*VLOOKUP('Données projet'!$B$10,Paramètres!$A$1:$I$89,3,0)*0.475*44/12</f>
        <v>20.847545024264313</v>
      </c>
      <c r="AW120" s="21">
        <f>EXP(-LN(2)/2)*AW119+(1-EXP(-LN(2)/2))/(LN(2)/2)*AQ120*AT120*VLOOKUP('Données projet'!$B$10,Paramètres!$A$1:$I$89,3,0)*0.475*44/12</f>
        <v>6.1587295018052188E-5</v>
      </c>
      <c r="AX120" s="21">
        <f t="shared" si="60"/>
        <v>106.10573861029624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394.90027200000077</v>
      </c>
      <c r="BF120" s="13">
        <f t="shared" si="91"/>
        <v>90.742002809527918</v>
      </c>
      <c r="BG120" s="20">
        <f t="shared" si="61"/>
        <v>845.82696195992901</v>
      </c>
      <c r="BH120" s="58">
        <f t="shared" si="62"/>
        <v>1134.4282000323728</v>
      </c>
      <c r="BI120" s="58">
        <f ca="1">AVERAGE(OFFSET($BH$3,0,0,'Données projet'!$E$11+1,1))-AVERAGE(OFFSET($H$3,0,0,'Données projet'!$E$11+1,1))</f>
        <v>724.99760740673071</v>
      </c>
      <c r="BJ120" s="58">
        <f t="shared" si="92"/>
        <v>318.24184272438208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38.504893407880438</v>
      </c>
      <c r="BQ120" s="21">
        <f>EXP(-LN(2)/25)*BQ119+(1-EXP(-LN(2)/25))/(LN(2)/25)*Calculateur!BL120*Calculateur!BN120*VLOOKUP('Données projet'!$B$11,Paramètres!$A$1:$I$89,3,0)*0.475*44/12</f>
        <v>26.586394201110036</v>
      </c>
      <c r="BR120" s="21">
        <f>EXP(-LN(2)/2)*BR119+(1-EXP(-LN(2)/2))/(LN(2)/2)*BL120*BO120*VLOOKUP('Données projet'!$B$11,Paramètres!$A$1:$I$89,3,0)*0.475*44/12</f>
        <v>2.1646161312850301</v>
      </c>
      <c r="BS120" s="22">
        <f t="shared" si="63"/>
        <v>67.2559037402755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8.9160000000000021</v>
      </c>
      <c r="BY120" s="12">
        <f>IF('Données projet'!$A$114&gt;35,BY119+BX120-CG119,IF(A120&lt;'Données projet'!$A$114,$BV$205^A120,IF(A120='Données projet'!$A$114,'Données projet'!$B$114,BY119+BX120-CG119)))</f>
        <v>389.44800000000072</v>
      </c>
      <c r="BZ120" s="13">
        <f>BY120*VLOOKUP('Données projet'!$B$12,Paramètres!$A$1:$I$89,3,0)*VLOOKUP('Données projet'!$B$12,Paramètres!$A$1:$I$89,5,0)</f>
        <v>370.59871680000072</v>
      </c>
      <c r="CA120" s="13">
        <f t="shared" si="93"/>
        <v>85.78978132755384</v>
      </c>
      <c r="CB120" s="20">
        <f t="shared" si="64"/>
        <v>794.87663423882407</v>
      </c>
      <c r="CC120" s="58">
        <f t="shared" si="65"/>
        <v>1083.4778723112679</v>
      </c>
      <c r="CD120" s="58">
        <f ca="1">AVERAGE(OFFSET($CC$3,0,0,'Données projet'!$E$12+1,1))-AVERAGE(OFFSET($H$3,0,0,'Données projet'!$E$12+1,1))</f>
        <v>684.45757350513315</v>
      </c>
      <c r="CE120" s="58">
        <f t="shared" si="94"/>
        <v>301.78148341369194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36.135361505857034</v>
      </c>
      <c r="CL120" s="21">
        <f>EXP(-LN(2)/25)*CL119+(1-EXP(-LN(2)/25))/(LN(2)/25)*Calculateur!CG120*Calculateur!CI120*VLOOKUP('Données projet'!$B$12,Paramètres!$A$1:$I$89,3,0)*0.475*44/12</f>
        <v>24.950308404118637</v>
      </c>
      <c r="CM120" s="21">
        <f>EXP(-LN(2)/2)*CM119+(1-EXP(-LN(2)/2))/(LN(2)/2)*CG120*CJ120*VLOOKUP('Données projet'!$B$12,Paramètres!$A$1:$I$89,3,0)*0.475*44/12</f>
        <v>2.0314089847444121</v>
      </c>
      <c r="CN120" s="22">
        <f t="shared" si="66"/>
        <v>63.11707889472008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8" t="e">
        <f t="shared" si="68"/>
        <v>#N/A</v>
      </c>
      <c r="CY120" s="58" t="e">
        <f ca="1">AVERAGE(OFFSET($CX$3,0,0,'Données projet'!$E$13+1,1))-AVERAGE(OFFSET($H$3,0,0,'Données projet'!$E$13+1,1))</f>
        <v>#N/A</v>
      </c>
      <c r="CZ120" s="58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8" t="e">
        <f t="shared" si="71"/>
        <v>#N/A</v>
      </c>
      <c r="DT120" s="58" t="e">
        <f ca="1">AVERAGE(OFFSET($DS$3,0,0,'Données projet'!$E$14+1,1))-AVERAGE(OFFSET($H$3,0,0,'Données projet'!$E$14+1,1))</f>
        <v>#N/A</v>
      </c>
      <c r="DU120" s="58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8" t="e">
        <f t="shared" si="74"/>
        <v>#N/A</v>
      </c>
      <c r="EO120" s="58" t="e">
        <f ca="1">AVERAGE(OFFSET($EN$3,0,0,'Données projet'!$E$15+1,1))-AVERAGE(OFFSET($H$3,0,0,'Données projet'!$E$15+1,1))</f>
        <v>#N/A</v>
      </c>
      <c r="EP120" s="58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8" t="e">
        <f t="shared" si="77"/>
        <v>#N/A</v>
      </c>
      <c r="FJ120" s="58" t="e">
        <f ca="1">AVERAGE(OFFSET($FI$3,0,0,'Données projet'!$E$16+1,1))-AVERAGE(OFFSET($H$3,0,0,'Données projet'!$E$16+1,1))</f>
        <v>#N/A</v>
      </c>
      <c r="FK120" s="58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8" t="e">
        <f t="shared" si="80"/>
        <v>#N/A</v>
      </c>
      <c r="GE120" s="58" t="e">
        <f ca="1">AVERAGE(OFFSET($GD$3,0,0,'Données projet'!$E$17+1,1))-AVERAGE(OFFSET($H$3,0,0,'Données projet'!$E$17+1,1))</f>
        <v>#N/A</v>
      </c>
      <c r="GF120" s="58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68.709428565211965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8" t="e">
        <f t="shared" si="83"/>
        <v>#N/A</v>
      </c>
      <c r="GZ120" s="58" t="e">
        <f ca="1">AVERAGE(OFFSET($GY$3,0,0,'Données projet'!$E$18+1,1))-AVERAGE(OFFSET($H$3,0,0,'Données projet'!$E$18+1,1))</f>
        <v>#N/A</v>
      </c>
      <c r="HA120" s="58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2">
        <f>'Scénario référence'!$B$16*5+'Scénario référence'!$B$17*0+'Scénario référence'!$B$18*5</f>
        <v>2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7.333333333333333</v>
      </c>
      <c r="H121" s="66">
        <f t="shared" si="56"/>
        <v>227.33333333333334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8.9160000000000021</v>
      </c>
      <c r="N121" s="13">
        <f>IF('Données projet'!$A$36&gt;35,N120+M121-V120,IF(A121&lt;'Données projet'!$A$36,$K$205^A121,IF(A121='Données projet'!$A$36,'Données projet'!$B$36,N120+M121-V120)))</f>
        <v>398.36400000000071</v>
      </c>
      <c r="O121" s="13">
        <f>N121*VLOOKUP('Données projet'!$B$9,Paramètres!$A$1:$I$89,3,0)*VLOOKUP('Données projet'!$B$9,Paramètres!$A$1:$I$89,5,0)</f>
        <v>360.43974720000062</v>
      </c>
      <c r="P121" s="13">
        <f t="shared" si="87"/>
        <v>83.708472633827739</v>
      </c>
      <c r="Q121" s="20">
        <f t="shared" si="107"/>
        <v>773.55814954391769</v>
      </c>
      <c r="R121" s="58">
        <f t="shared" si="55"/>
        <v>1062.2414788897579</v>
      </c>
      <c r="S121" s="58">
        <f ca="1">AVERAGE(OFFSET($R$3,0,0,'Données projet'!$E$9+1,1))-AVERAGE(OFFSET($H$3,0,0,'Données projet'!$E$9+1,1))</f>
        <v>654.0179680178212</v>
      </c>
      <c r="T121" s="58">
        <f t="shared" si="88"/>
        <v>289.42065570013369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33.684468987099024</v>
      </c>
      <c r="AA121" s="21">
        <f>EXP(-LN(2)/25)*AA120+(1-EXP(-LN(2)/25))/(LN(2)/25)*Calculateur!V121*Calculateur!X121*VLOOKUP('Données projet'!$B$9,Paramètres!$A$1:$I$89,3,0)*0.475*44/12</f>
        <v>23.074530700102343</v>
      </c>
      <c r="AB121" s="21">
        <f>EXP(-LN(2)/2)*AB120+(1-EXP(-LN(2)/2))/(LN(2)/2)*V121*Y121*VLOOKUP('Données projet'!$B$9,Paramètres!$A$1:$I$89,3,0)*0.475*44/12</f>
        <v>1.3657793110100189</v>
      </c>
      <c r="AC121" s="22">
        <f t="shared" si="57"/>
        <v>58.124778998211383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8">
        <f t="shared" si="59"/>
        <v>288.68332934584697</v>
      </c>
      <c r="AN121" s="58">
        <f ca="1">AVERAGE(OFFSET($AM$3,0,0,'Données projet'!$E$10+1,1))-AVERAGE(OFFSET($H$3,0,0,'Données projet'!$E$10+1,1))</f>
        <v>447.44638185108147</v>
      </c>
      <c r="AO121" s="58">
        <f t="shared" si="90"/>
        <v>384.84260115068605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83.586272032567379</v>
      </c>
      <c r="AV121" s="21">
        <f>EXP(-LN(2)/25)*AV120+(1-EXP(-LN(2)/25))/(LN(2)/25)*Calculateur!AQ121*Calculateur!AS121*VLOOKUP('Données projet'!$B$10,Paramètres!$A$1:$I$89,3,0)*0.475*44/12</f>
        <v>20.277467809251061</v>
      </c>
      <c r="AW121" s="21">
        <f>EXP(-LN(2)/2)*AW120+(1-EXP(-LN(2)/2))/(LN(2)/2)*AQ121*AT121*VLOOKUP('Données projet'!$B$10,Paramètres!$A$1:$I$89,3,0)*0.475*44/12</f>
        <v>4.3548793942201178E-5</v>
      </c>
      <c r="AX121" s="21">
        <f t="shared" si="60"/>
        <v>103.86378339061238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403.9410960000007</v>
      </c>
      <c r="BF121" s="13">
        <f t="shared" si="91"/>
        <v>92.575205456026652</v>
      </c>
      <c r="BG121" s="20">
        <f t="shared" si="61"/>
        <v>864.76589170258092</v>
      </c>
      <c r="BH121" s="58">
        <f t="shared" si="62"/>
        <v>1153.4492210484211</v>
      </c>
      <c r="BI121" s="58">
        <f ca="1">AVERAGE(OFFSET($BH$3,0,0,'Données projet'!$E$11+1,1))-AVERAGE(OFFSET($H$3,0,0,'Données projet'!$E$11+1,1))</f>
        <v>724.99760740673071</v>
      </c>
      <c r="BJ121" s="58">
        <f t="shared" si="92"/>
        <v>318.24184272438208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37.749835933817863</v>
      </c>
      <c r="BQ121" s="21">
        <f>EXP(-LN(2)/25)*BQ120+(1-EXP(-LN(2)/25))/(LN(2)/25)*Calculateur!BL121*Calculateur!BN121*VLOOKUP('Données projet'!$B$11,Paramètres!$A$1:$I$89,3,0)*0.475*44/12</f>
        <v>25.859387853562975</v>
      </c>
      <c r="BR121" s="21">
        <f>EXP(-LN(2)/2)*BR120+(1-EXP(-LN(2)/2))/(LN(2)/2)*BL121*BO121*VLOOKUP('Données projet'!$B$11,Paramètres!$A$1:$I$89,3,0)*0.475*44/12</f>
        <v>1.5306147450974348</v>
      </c>
      <c r="BS121" s="22">
        <f t="shared" si="63"/>
        <v>65.139838532478279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8.9160000000000021</v>
      </c>
      <c r="BY121" s="12">
        <f>IF('Données projet'!$A$114&gt;35,BY120+BX121-CG120,IF(A121&lt;'Données projet'!$A$114,$BV$205^A121,IF(A121='Données projet'!$A$114,'Données projet'!$B$114,BY120+BX121-CG120)))</f>
        <v>398.36400000000071</v>
      </c>
      <c r="BZ121" s="13">
        <f>BY121*VLOOKUP('Données projet'!$B$12,Paramètres!$A$1:$I$89,3,0)*VLOOKUP('Données projet'!$B$12,Paramètres!$A$1:$I$89,5,0)</f>
        <v>379.08318240000068</v>
      </c>
      <c r="CA121" s="13">
        <f t="shared" si="93"/>
        <v>87.522937410766346</v>
      </c>
      <c r="CB121" s="20">
        <f t="shared" si="64"/>
        <v>812.67232533708591</v>
      </c>
      <c r="CC121" s="58">
        <f t="shared" si="65"/>
        <v>1101.3556546829261</v>
      </c>
      <c r="CD121" s="58">
        <f ca="1">AVERAGE(OFFSET($CC$3,0,0,'Données projet'!$E$12+1,1))-AVERAGE(OFFSET($H$3,0,0,'Données projet'!$E$12+1,1))</f>
        <v>684.45757350513315</v>
      </c>
      <c r="CE121" s="58">
        <f t="shared" si="94"/>
        <v>301.78148341369194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35.426769107121387</v>
      </c>
      <c r="CL121" s="21">
        <f>EXP(-LN(2)/25)*CL120+(1-EXP(-LN(2)/25))/(LN(2)/25)*Calculateur!CG121*Calculateur!CI121*VLOOKUP('Données projet'!$B$12,Paramètres!$A$1:$I$89,3,0)*0.475*44/12</f>
        <v>24.26804090872832</v>
      </c>
      <c r="CM121" s="21">
        <f>EXP(-LN(2)/2)*CM120+(1-EXP(-LN(2)/2))/(LN(2)/2)*CG121*CJ121*VLOOKUP('Données projet'!$B$12,Paramètres!$A$1:$I$89,3,0)*0.475*44/12</f>
        <v>1.4364230684760537</v>
      </c>
      <c r="CN121" s="22">
        <f t="shared" si="66"/>
        <v>61.131233084325764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8" t="e">
        <f t="shared" si="68"/>
        <v>#N/A</v>
      </c>
      <c r="CY121" s="58" t="e">
        <f ca="1">AVERAGE(OFFSET($CX$3,0,0,'Données projet'!$E$13+1,1))-AVERAGE(OFFSET($H$3,0,0,'Données projet'!$E$13+1,1))</f>
        <v>#N/A</v>
      </c>
      <c r="CZ121" s="58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8" t="e">
        <f t="shared" si="71"/>
        <v>#N/A</v>
      </c>
      <c r="DT121" s="58" t="e">
        <f ca="1">AVERAGE(OFFSET($DS$3,0,0,'Données projet'!$E$14+1,1))-AVERAGE(OFFSET($H$3,0,0,'Données projet'!$E$14+1,1))</f>
        <v>#N/A</v>
      </c>
      <c r="DU121" s="58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8" t="e">
        <f t="shared" si="74"/>
        <v>#N/A</v>
      </c>
      <c r="EO121" s="58" t="e">
        <f ca="1">AVERAGE(OFFSET($EN$3,0,0,'Données projet'!$E$15+1,1))-AVERAGE(OFFSET($H$3,0,0,'Données projet'!$E$15+1,1))</f>
        <v>#N/A</v>
      </c>
      <c r="EP121" s="58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8" t="e">
        <f t="shared" si="77"/>
        <v>#N/A</v>
      </c>
      <c r="FJ121" s="58" t="e">
        <f ca="1">AVERAGE(OFFSET($FI$3,0,0,'Données projet'!$E$16+1,1))-AVERAGE(OFFSET($H$3,0,0,'Données projet'!$E$16+1,1))</f>
        <v>#N/A</v>
      </c>
      <c r="FK121" s="58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8" t="e">
        <f t="shared" si="80"/>
        <v>#N/A</v>
      </c>
      <c r="GE121" s="58" t="e">
        <f ca="1">AVERAGE(OFFSET($GD$3,0,0,'Données projet'!$E$17+1,1))-AVERAGE(OFFSET($H$3,0,0,'Données projet'!$E$17+1,1))</f>
        <v>#N/A</v>
      </c>
      <c r="GF121" s="58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68.73181709432005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8" t="e">
        <f t="shared" si="83"/>
        <v>#N/A</v>
      </c>
      <c r="GZ121" s="58" t="e">
        <f ca="1">AVERAGE(OFFSET($GY$3,0,0,'Données projet'!$E$18+1,1))-AVERAGE(OFFSET($H$3,0,0,'Données projet'!$E$18+1,1))</f>
        <v>#N/A</v>
      </c>
      <c r="HA121" s="58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2">
        <f>'Scénario référence'!$B$16*5+'Scénario référence'!$B$17*0+'Scénario référence'!$B$18*5</f>
        <v>2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7.333333333333333</v>
      </c>
      <c r="H122" s="66">
        <f t="shared" si="56"/>
        <v>227.33333333333334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8.9160000000000021</v>
      </c>
      <c r="N122" s="13">
        <f>IF('Données projet'!$A$36&gt;35,N121+M122-V121,IF(A122&lt;'Données projet'!$A$36,$K$205^A122,IF(A122='Données projet'!$A$36,'Données projet'!$B$36,N121+M122-V121)))</f>
        <v>407.28000000000071</v>
      </c>
      <c r="O122" s="13">
        <f>N122*VLOOKUP('Données projet'!$B$9,Paramètres!$A$1:$I$89,3,0)*VLOOKUP('Données projet'!$B$9,Paramètres!$A$1:$I$89,5,0)</f>
        <v>368.5069440000006</v>
      </c>
      <c r="P122" s="13">
        <f t="shared" si="87"/>
        <v>85.361780301252097</v>
      </c>
      <c r="Q122" s="20">
        <f t="shared" si="107"/>
        <v>790.48802815801503</v>
      </c>
      <c r="R122" s="58">
        <f t="shared" si="55"/>
        <v>1079.2520246771867</v>
      </c>
      <c r="S122" s="58">
        <f ca="1">AVERAGE(OFFSET($R$3,0,0,'Données projet'!$E$9+1,1))-AVERAGE(OFFSET($H$3,0,0,'Données projet'!$E$9+1,1))</f>
        <v>654.0179680178212</v>
      </c>
      <c r="T122" s="58">
        <f t="shared" si="88"/>
        <v>289.42065570013369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33.023937095759393</v>
      </c>
      <c r="AA122" s="21">
        <f>EXP(-LN(2)/25)*AA121+(1-EXP(-LN(2)/25))/(LN(2)/25)*Calculateur!V122*Calculateur!X122*VLOOKUP('Données projet'!$B$9,Paramètres!$A$1:$I$89,3,0)*0.475*44/12</f>
        <v>22.443556444671213</v>
      </c>
      <c r="AB122" s="21">
        <f>EXP(-LN(2)/2)*AB121+(1-EXP(-LN(2)/2))/(LN(2)/2)*V122*Y122*VLOOKUP('Données projet'!$B$9,Paramètres!$A$1:$I$89,3,0)*0.475*44/12</f>
        <v>0.96575181241947516</v>
      </c>
      <c r="AC122" s="22">
        <f t="shared" si="57"/>
        <v>56.433245352850086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8">
        <f t="shared" si="59"/>
        <v>288.76399651917848</v>
      </c>
      <c r="AN122" s="58">
        <f ca="1">AVERAGE(OFFSET($AM$3,0,0,'Données projet'!$E$10+1,1))-AVERAGE(OFFSET($H$3,0,0,'Données projet'!$E$10+1,1))</f>
        <v>447.44638185108147</v>
      </c>
      <c r="AO122" s="58">
        <f t="shared" si="90"/>
        <v>384.84260115068605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81.94719622060056</v>
      </c>
      <c r="AV122" s="21">
        <f>EXP(-LN(2)/25)*AV121+(1-EXP(-LN(2)/25))/(LN(2)/25)*Calculateur!AQ122*Calculateur!AS122*VLOOKUP('Données projet'!$B$10,Paramètres!$A$1:$I$89,3,0)*0.475*44/12</f>
        <v>19.722979385661404</v>
      </c>
      <c r="AW122" s="21">
        <f>EXP(-LN(2)/2)*AW121+(1-EXP(-LN(2)/2))/(LN(2)/2)*AQ122*AT122*VLOOKUP('Données projet'!$B$10,Paramètres!$A$1:$I$89,3,0)*0.475*44/12</f>
        <v>3.0793647509026094E-5</v>
      </c>
      <c r="AX122" s="21">
        <f t="shared" si="60"/>
        <v>101.67020639990947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412.98192000000074</v>
      </c>
      <c r="BF122" s="13">
        <f t="shared" si="91"/>
        <v>94.403638017009513</v>
      </c>
      <c r="BG122" s="20">
        <f t="shared" si="61"/>
        <v>883.69651354629275</v>
      </c>
      <c r="BH122" s="58">
        <f t="shared" si="62"/>
        <v>1172.4605100654644</v>
      </c>
      <c r="BI122" s="58">
        <f ca="1">AVERAGE(OFFSET($BH$3,0,0,'Données projet'!$E$11+1,1))-AVERAGE(OFFSET($H$3,0,0,'Données projet'!$E$11+1,1))</f>
        <v>724.99760740673071</v>
      </c>
      <c r="BJ122" s="58">
        <f t="shared" si="92"/>
        <v>318.24184272438208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37.009584676282074</v>
      </c>
      <c r="BQ122" s="21">
        <f>EXP(-LN(2)/25)*BQ121+(1-EXP(-LN(2)/25))/(LN(2)/25)*Calculateur!BL122*Calculateur!BN122*VLOOKUP('Données projet'!$B$11,Paramètres!$A$1:$I$89,3,0)*0.475*44/12</f>
        <v>25.152261532821189</v>
      </c>
      <c r="BR122" s="21">
        <f>EXP(-LN(2)/2)*BR121+(1-EXP(-LN(2)/2))/(LN(2)/2)*BL122*BO122*VLOOKUP('Données projet'!$B$11,Paramètres!$A$1:$I$89,3,0)*0.475*44/12</f>
        <v>1.082308065642515</v>
      </c>
      <c r="BS122" s="22">
        <f t="shared" si="63"/>
        <v>63.244154274745775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8.9160000000000021</v>
      </c>
      <c r="BY122" s="12">
        <f>IF('Données projet'!$A$114&gt;35,BY121+BX122-CG121,IF(A122&lt;'Données projet'!$A$114,$BV$205^A122,IF(A122='Données projet'!$A$114,'Données projet'!$B$114,BY121+BX122-CG121)))</f>
        <v>407.28000000000071</v>
      </c>
      <c r="BZ122" s="13">
        <f>BY122*VLOOKUP('Données projet'!$B$12,Paramètres!$A$1:$I$89,3,0)*VLOOKUP('Données projet'!$B$12,Paramètres!$A$1:$I$89,5,0)</f>
        <v>387.56764800000064</v>
      </c>
      <c r="CA122" s="13">
        <f t="shared" si="93"/>
        <v>89.251583734654062</v>
      </c>
      <c r="CB122" s="20">
        <f t="shared" si="64"/>
        <v>830.46016193785681</v>
      </c>
      <c r="CC122" s="58">
        <f t="shared" si="65"/>
        <v>1119.2241584570284</v>
      </c>
      <c r="CD122" s="58">
        <f ca="1">AVERAGE(OFFSET($CC$3,0,0,'Données projet'!$E$12+1,1))-AVERAGE(OFFSET($H$3,0,0,'Données projet'!$E$12+1,1))</f>
        <v>684.45757350513315</v>
      </c>
      <c r="CE122" s="58">
        <f t="shared" si="94"/>
        <v>301.78148341369194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34.732071773126258</v>
      </c>
      <c r="CL122" s="21">
        <f>EXP(-LN(2)/25)*CL121+(1-EXP(-LN(2)/25))/(LN(2)/25)*Calculateur!CG122*Calculateur!CI122*VLOOKUP('Données projet'!$B$12,Paramètres!$A$1:$I$89,3,0)*0.475*44/12</f>
        <v>23.604430053878339</v>
      </c>
      <c r="CM122" s="21">
        <f>EXP(-LN(2)/2)*CM121+(1-EXP(-LN(2)/2))/(LN(2)/2)*CG122*CJ122*VLOOKUP('Données projet'!$B$12,Paramètres!$A$1:$I$89,3,0)*0.475*44/12</f>
        <v>1.0157044923722061</v>
      </c>
      <c r="CN122" s="22">
        <f t="shared" si="66"/>
        <v>59.352206319376805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8" t="e">
        <f t="shared" si="68"/>
        <v>#N/A</v>
      </c>
      <c r="CY122" s="58" t="e">
        <f ca="1">AVERAGE(OFFSET($CX$3,0,0,'Données projet'!$E$13+1,1))-AVERAGE(OFFSET($H$3,0,0,'Données projet'!$E$13+1,1))</f>
        <v>#N/A</v>
      </c>
      <c r="CZ122" s="58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8" t="e">
        <f t="shared" si="71"/>
        <v>#N/A</v>
      </c>
      <c r="DT122" s="58" t="e">
        <f ca="1">AVERAGE(OFFSET($DS$3,0,0,'Données projet'!$E$14+1,1))-AVERAGE(OFFSET($H$3,0,0,'Données projet'!$E$14+1,1))</f>
        <v>#N/A</v>
      </c>
      <c r="DU122" s="58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8" t="e">
        <f t="shared" si="74"/>
        <v>#N/A</v>
      </c>
      <c r="EO122" s="58" t="e">
        <f ca="1">AVERAGE(OFFSET($EN$3,0,0,'Données projet'!$E$15+1,1))-AVERAGE(OFFSET($H$3,0,0,'Données projet'!$E$15+1,1))</f>
        <v>#N/A</v>
      </c>
      <c r="EP122" s="58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8" t="e">
        <f t="shared" si="77"/>
        <v>#N/A</v>
      </c>
      <c r="FJ122" s="58" t="e">
        <f ca="1">AVERAGE(OFFSET($FI$3,0,0,'Données projet'!$E$16+1,1))-AVERAGE(OFFSET($H$3,0,0,'Données projet'!$E$16+1,1))</f>
        <v>#N/A</v>
      </c>
      <c r="FK122" s="58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8" t="e">
        <f t="shared" si="80"/>
        <v>#N/A</v>
      </c>
      <c r="GE122" s="58" t="e">
        <f ca="1">AVERAGE(OFFSET($GD$3,0,0,'Données projet'!$E$17+1,1))-AVERAGE(OFFSET($H$3,0,0,'Données projet'!$E$17+1,1))</f>
        <v>#N/A</v>
      </c>
      <c r="GF122" s="58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68.753817232501362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8" t="e">
        <f t="shared" si="83"/>
        <v>#N/A</v>
      </c>
      <c r="GZ122" s="58" t="e">
        <f ca="1">AVERAGE(OFFSET($GY$3,0,0,'Données projet'!$E$18+1,1))-AVERAGE(OFFSET($H$3,0,0,'Données projet'!$E$18+1,1))</f>
        <v>#N/A</v>
      </c>
      <c r="HA122" s="58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2">
        <f>'Scénario référence'!$B$16*5+'Scénario référence'!$B$17*0+'Scénario référence'!$B$18*5</f>
        <v>2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7.333333333333333</v>
      </c>
      <c r="H123" s="66">
        <f t="shared" si="56"/>
        <v>227.33333333333334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8.9160000000000021</v>
      </c>
      <c r="N123" s="13">
        <f>IF('Données projet'!$A$36&gt;35,N122+M123-V122,IF(A123&lt;'Données projet'!$A$36,$K$205^A123,IF(A123='Données projet'!$A$36,'Données projet'!$B$36,N122+M123-V122)))</f>
        <v>416.19600000000071</v>
      </c>
      <c r="O123" s="13">
        <f>N123*VLOOKUP('Données projet'!$B$9,Paramètres!$A$1:$I$89,3,0)*VLOOKUP('Données projet'!$B$9,Paramètres!$A$1:$I$89,5,0)</f>
        <v>376.57414080000063</v>
      </c>
      <c r="P123" s="13">
        <f t="shared" si="87"/>
        <v>87.010880052402811</v>
      </c>
      <c r="Q123" s="20">
        <f t="shared" si="107"/>
        <v>807.41057798460258</v>
      </c>
      <c r="R123" s="58">
        <f t="shared" si="55"/>
        <v>1096.2538422819932</v>
      </c>
      <c r="S123" s="58">
        <f ca="1">AVERAGE(OFFSET($R$3,0,0,'Données projet'!$E$9+1,1))-AVERAGE(OFFSET($H$3,0,0,'Données projet'!$E$9+1,1))</f>
        <v>654.0179680178212</v>
      </c>
      <c r="T123" s="58">
        <f t="shared" si="88"/>
        <v>289.42065570013369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32.37635783192426</v>
      </c>
      <c r="AA123" s="21">
        <f>EXP(-LN(2)/25)*AA122+(1-EXP(-LN(2)/25))/(LN(2)/25)*Calculateur!V123*Calculateur!X123*VLOOKUP('Données projet'!$B$9,Paramètres!$A$1:$I$89,3,0)*0.475*44/12</f>
        <v>21.829836213436341</v>
      </c>
      <c r="AB123" s="21">
        <f>EXP(-LN(2)/2)*AB122+(1-EXP(-LN(2)/2))/(LN(2)/2)*V123*Y123*VLOOKUP('Données projet'!$B$9,Paramètres!$A$1:$I$89,3,0)*0.475*44/12</f>
        <v>0.68288965550500957</v>
      </c>
      <c r="AC123" s="22">
        <f t="shared" si="57"/>
        <v>54.889083700865612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8">
        <f t="shared" si="59"/>
        <v>288.84326429739747</v>
      </c>
      <c r="AN123" s="58">
        <f ca="1">AVERAGE(OFFSET($AM$3,0,0,'Données projet'!$E$10+1,1))-AVERAGE(OFFSET($H$3,0,0,'Données projet'!$E$10+1,1))</f>
        <v>447.44638185108147</v>
      </c>
      <c r="AO123" s="58">
        <f t="shared" si="90"/>
        <v>384.84260115068605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80.340261685568876</v>
      </c>
      <c r="AV123" s="21">
        <f>EXP(-LN(2)/25)*AV122+(1-EXP(-LN(2)/25))/(LN(2)/25)*Calculateur!AQ123*Calculateur!AS123*VLOOKUP('Données projet'!$B$10,Paramètres!$A$1:$I$89,3,0)*0.475*44/12</f>
        <v>19.183653477174083</v>
      </c>
      <c r="AW123" s="21">
        <f>EXP(-LN(2)/2)*AW122+(1-EXP(-LN(2)/2))/(LN(2)/2)*AQ123*AT123*VLOOKUP('Données projet'!$B$10,Paramètres!$A$1:$I$89,3,0)*0.475*44/12</f>
        <v>2.1774396971100589E-5</v>
      </c>
      <c r="AX123" s="21">
        <f t="shared" si="60"/>
        <v>99.523936937139922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422.02274400000073</v>
      </c>
      <c r="BF123" s="13">
        <f t="shared" si="91"/>
        <v>96.227416942568027</v>
      </c>
      <c r="BG123" s="20">
        <f t="shared" si="61"/>
        <v>902.61903030830717</v>
      </c>
      <c r="BH123" s="58">
        <f t="shared" si="62"/>
        <v>1191.4622946056979</v>
      </c>
      <c r="BI123" s="58">
        <f ca="1">AVERAGE(OFFSET($BH$3,0,0,'Données projet'!$E$11+1,1))-AVERAGE(OFFSET($H$3,0,0,'Données projet'!$E$11+1,1))</f>
        <v>724.99760740673071</v>
      </c>
      <c r="BJ123" s="58">
        <f t="shared" si="92"/>
        <v>318.24184272438208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36.283849294397875</v>
      </c>
      <c r="BQ123" s="21">
        <f>EXP(-LN(2)/25)*BQ122+(1-EXP(-LN(2)/25))/(LN(2)/25)*Calculateur!BL123*Calculateur!BN123*VLOOKUP('Données projet'!$B$11,Paramètres!$A$1:$I$89,3,0)*0.475*44/12</f>
        <v>24.464471618506245</v>
      </c>
      <c r="BR123" s="21">
        <f>EXP(-LN(2)/2)*BR122+(1-EXP(-LN(2)/2))/(LN(2)/2)*BL123*BO123*VLOOKUP('Données projet'!$B$11,Paramètres!$A$1:$I$89,3,0)*0.475*44/12</f>
        <v>0.76530737254871739</v>
      </c>
      <c r="BS123" s="22">
        <f t="shared" si="63"/>
        <v>61.513628285452839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8.9160000000000021</v>
      </c>
      <c r="BY123" s="12">
        <f>IF('Données projet'!$A$114&gt;35,BY122+BX123-CG122,IF(A123&lt;'Données projet'!$A$114,$BV$205^A123,IF(A123='Données projet'!$A$114,'Données projet'!$B$114,BY122+BX123-CG122)))</f>
        <v>416.19600000000071</v>
      </c>
      <c r="BZ123" s="13">
        <f>BY123*VLOOKUP('Données projet'!$B$12,Paramètres!$A$1:$I$89,3,0)*VLOOKUP('Données projet'!$B$12,Paramètres!$A$1:$I$89,5,0)</f>
        <v>396.05211360000067</v>
      </c>
      <c r="CA123" s="13">
        <f t="shared" si="93"/>
        <v>90.975830394074606</v>
      </c>
      <c r="CB123" s="20">
        <f t="shared" si="64"/>
        <v>848.24033578968101</v>
      </c>
      <c r="CC123" s="58">
        <f t="shared" si="65"/>
        <v>1137.0836000870718</v>
      </c>
      <c r="CD123" s="58">
        <f ca="1">AVERAGE(OFFSET($CC$3,0,0,'Données projet'!$E$12+1,1))-AVERAGE(OFFSET($H$3,0,0,'Données projet'!$E$12+1,1))</f>
        <v>684.45757350513315</v>
      </c>
      <c r="CE123" s="58">
        <f t="shared" si="94"/>
        <v>301.78148341369194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34.050997030127242</v>
      </c>
      <c r="CL123" s="21">
        <f>EXP(-LN(2)/25)*CL122+(1-EXP(-LN(2)/25))/(LN(2)/25)*Calculateur!CG123*Calculateur!CI123*VLOOKUP('Données projet'!$B$12,Paramètres!$A$1:$I$89,3,0)*0.475*44/12</f>
        <v>22.958965672752008</v>
      </c>
      <c r="CM123" s="21">
        <f>EXP(-LN(2)/2)*CM122+(1-EXP(-LN(2)/2))/(LN(2)/2)*CG123*CJ123*VLOOKUP('Données projet'!$B$12,Paramètres!$A$1:$I$89,3,0)*0.475*44/12</f>
        <v>0.71821153423802686</v>
      </c>
      <c r="CN123" s="22">
        <f t="shared" si="66"/>
        <v>57.72817423711728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8" t="e">
        <f t="shared" si="68"/>
        <v>#N/A</v>
      </c>
      <c r="CY123" s="58" t="e">
        <f ca="1">AVERAGE(OFFSET($CX$3,0,0,'Données projet'!$E$13+1,1))-AVERAGE(OFFSET($H$3,0,0,'Données projet'!$E$13+1,1))</f>
        <v>#N/A</v>
      </c>
      <c r="CZ123" s="58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8" t="e">
        <f t="shared" si="71"/>
        <v>#N/A</v>
      </c>
      <c r="DT123" s="58" t="e">
        <f ca="1">AVERAGE(OFFSET($DS$3,0,0,'Données projet'!$E$14+1,1))-AVERAGE(OFFSET($H$3,0,0,'Données projet'!$E$14+1,1))</f>
        <v>#N/A</v>
      </c>
      <c r="DU123" s="58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8" t="e">
        <f t="shared" si="74"/>
        <v>#N/A</v>
      </c>
      <c r="EO123" s="58" t="e">
        <f ca="1">AVERAGE(OFFSET($EN$3,0,0,'Données projet'!$E$15+1,1))-AVERAGE(OFFSET($H$3,0,0,'Données projet'!$E$15+1,1))</f>
        <v>#N/A</v>
      </c>
      <c r="EP123" s="58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8" t="e">
        <f t="shared" si="77"/>
        <v>#N/A</v>
      </c>
      <c r="FJ123" s="58" t="e">
        <f ca="1">AVERAGE(OFFSET($FI$3,0,0,'Données projet'!$E$16+1,1))-AVERAGE(OFFSET($H$3,0,0,'Données projet'!$E$16+1,1))</f>
        <v>#N/A</v>
      </c>
      <c r="FK123" s="58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8" t="e">
        <f t="shared" si="80"/>
        <v>#N/A</v>
      </c>
      <c r="GE123" s="58" t="e">
        <f ca="1">AVERAGE(OFFSET($GD$3,0,0,'Données projet'!$E$17+1,1))-AVERAGE(OFFSET($H$3,0,0,'Données projet'!$E$17+1,1))</f>
        <v>#N/A</v>
      </c>
      <c r="GF123" s="58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68.775435717470174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8" t="e">
        <f t="shared" si="83"/>
        <v>#N/A</v>
      </c>
      <c r="GZ123" s="58" t="e">
        <f ca="1">AVERAGE(OFFSET($GY$3,0,0,'Données projet'!$E$18+1,1))-AVERAGE(OFFSET($H$3,0,0,'Données projet'!$E$18+1,1))</f>
        <v>#N/A</v>
      </c>
      <c r="HA123" s="58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2">
        <f>'Scénario référence'!$B$16*5+'Scénario référence'!$B$17*0+'Scénario référence'!$B$18*5</f>
        <v>2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7.333333333333333</v>
      </c>
      <c r="H124" s="66">
        <f t="shared" si="56"/>
        <v>227.33333333333334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8.9160000000000021</v>
      </c>
      <c r="N124" s="13">
        <f>IF('Données projet'!$A$36&gt;35,N123+M124-V123,IF(A124&lt;'Données projet'!$A$36,$K$205^A124,IF(A124='Données projet'!$A$36,'Données projet'!$B$36,N123+M124-V123)))</f>
        <v>425.11200000000071</v>
      </c>
      <c r="O124" s="13">
        <f>N124*VLOOKUP('Données projet'!$B$9,Paramètres!$A$1:$I$89,3,0)*VLOOKUP('Données projet'!$B$9,Paramètres!$A$1:$I$89,5,0)</f>
        <v>384.64133760000061</v>
      </c>
      <c r="P124" s="13">
        <f t="shared" si="87"/>
        <v>88.65587241476193</v>
      </c>
      <c r="Q124" s="20">
        <f t="shared" si="107"/>
        <v>824.32597410904464</v>
      </c>
      <c r="R124" s="58">
        <f t="shared" si="55"/>
        <v>1113.2471310659184</v>
      </c>
      <c r="S124" s="58">
        <f ca="1">AVERAGE(OFFSET($R$3,0,0,'Données projet'!$E$9+1,1))-AVERAGE(OFFSET($H$3,0,0,'Données projet'!$E$9+1,1))</f>
        <v>654.0179680178212</v>
      </c>
      <c r="T124" s="58">
        <f t="shared" si="88"/>
        <v>289.42065570013369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31.741477202468587</v>
      </c>
      <c r="AA124" s="21">
        <f>EXP(-LN(2)/25)*AA123+(1-EXP(-LN(2)/25))/(LN(2)/25)*Calculateur!V124*Calculateur!X124*VLOOKUP('Données projet'!$B$9,Paramètres!$A$1:$I$89,3,0)*0.475*44/12</f>
        <v>21.232898194198729</v>
      </c>
      <c r="AB124" s="21">
        <f>EXP(-LN(2)/2)*AB123+(1-EXP(-LN(2)/2))/(LN(2)/2)*V124*Y124*VLOOKUP('Données projet'!$B$9,Paramètres!$A$1:$I$89,3,0)*0.475*44/12</f>
        <v>0.48287590620973764</v>
      </c>
      <c r="AC124" s="22">
        <f t="shared" si="57"/>
        <v>53.457251302877047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8">
        <f t="shared" si="59"/>
        <v>288.92115695688057</v>
      </c>
      <c r="AN124" s="58">
        <f ca="1">AVERAGE(OFFSET($AM$3,0,0,'Données projet'!$E$10+1,1))-AVERAGE(OFFSET($H$3,0,0,'Données projet'!$E$10+1,1))</f>
        <v>447.44638185108147</v>
      </c>
      <c r="AO124" s="58">
        <f t="shared" si="90"/>
        <v>384.84260115068605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78.764838156635875</v>
      </c>
      <c r="AV124" s="21">
        <f>EXP(-LN(2)/25)*AV123+(1-EXP(-LN(2)/25))/(LN(2)/25)*Calculateur!AQ124*Calculateur!AS124*VLOOKUP('Données projet'!$B$10,Paramètres!$A$1:$I$89,3,0)*0.475*44/12</f>
        <v>18.659075464016265</v>
      </c>
      <c r="AW124" s="21">
        <f>EXP(-LN(2)/2)*AW123+(1-EXP(-LN(2)/2))/(LN(2)/2)*AQ124*AT124*VLOOKUP('Données projet'!$B$10,Paramètres!$A$1:$I$89,3,0)*0.475*44/12</f>
        <v>1.5396823754513047E-5</v>
      </c>
      <c r="AX124" s="21">
        <f t="shared" si="60"/>
        <v>97.423929017475899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431.06356800000077</v>
      </c>
      <c r="BF124" s="13">
        <f t="shared" si="91"/>
        <v>98.046653408452883</v>
      </c>
      <c r="BG124" s="20">
        <f t="shared" si="61"/>
        <v>921.53363561972344</v>
      </c>
      <c r="BH124" s="58">
        <f t="shared" si="62"/>
        <v>1210.4547925765971</v>
      </c>
      <c r="BI124" s="58">
        <f ca="1">AVERAGE(OFFSET($BH$3,0,0,'Données projet'!$E$11+1,1))-AVERAGE(OFFSET($H$3,0,0,'Données projet'!$E$11+1,1))</f>
        <v>724.99760740673071</v>
      </c>
      <c r="BJ124" s="58">
        <f t="shared" si="92"/>
        <v>318.24184272438208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35.57234514069755</v>
      </c>
      <c r="BQ124" s="21">
        <f>EXP(-LN(2)/25)*BQ123+(1-EXP(-LN(2)/25))/(LN(2)/25)*Calculateur!BL124*Calculateur!BN124*VLOOKUP('Données projet'!$B$11,Paramètres!$A$1:$I$89,3,0)*0.475*44/12</f>
        <v>23.795489355567543</v>
      </c>
      <c r="BR124" s="21">
        <f>EXP(-LN(2)/2)*BR123+(1-EXP(-LN(2)/2))/(LN(2)/2)*BL124*BO124*VLOOKUP('Données projet'!$B$11,Paramètres!$A$1:$I$89,3,0)*0.475*44/12</f>
        <v>0.54115403282125751</v>
      </c>
      <c r="BS124" s="22">
        <f t="shared" si="63"/>
        <v>59.908988529086351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8.9160000000000021</v>
      </c>
      <c r="BY124" s="12">
        <f>IF('Données projet'!$A$114&gt;35,BY123+BX124-CG123,IF(A124&lt;'Données projet'!$A$114,$BV$205^A124,IF(A124='Données projet'!$A$114,'Données projet'!$B$114,BY123+BX124-CG123)))</f>
        <v>425.11200000000071</v>
      </c>
      <c r="BZ124" s="13">
        <f>BY124*VLOOKUP('Données projet'!$B$12,Paramètres!$A$1:$I$89,3,0)*VLOOKUP('Données projet'!$B$12,Paramètres!$A$1:$I$89,5,0)</f>
        <v>404.53657920000069</v>
      </c>
      <c r="CA124" s="13">
        <f t="shared" si="93"/>
        <v>92.695782497390908</v>
      </c>
      <c r="CB124" s="20">
        <f t="shared" si="64"/>
        <v>866.01302995629032</v>
      </c>
      <c r="CC124" s="58">
        <f t="shared" si="65"/>
        <v>1154.934186913164</v>
      </c>
      <c r="CD124" s="58">
        <f ca="1">AVERAGE(OFFSET($CC$3,0,0,'Données projet'!$E$12+1,1))-AVERAGE(OFFSET($H$3,0,0,'Données projet'!$E$12+1,1))</f>
        <v>684.45757350513315</v>
      </c>
      <c r="CE124" s="58">
        <f t="shared" si="94"/>
        <v>301.78148341369194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33.383277747423861</v>
      </c>
      <c r="CL124" s="21">
        <f>EXP(-LN(2)/25)*CL123+(1-EXP(-LN(2)/25))/(LN(2)/25)*Calculateur!CG124*Calculateur!CI124*VLOOKUP('Données projet'!$B$12,Paramètres!$A$1:$I$89,3,0)*0.475*44/12</f>
        <v>22.331151549071073</v>
      </c>
      <c r="CM124" s="21">
        <f>EXP(-LN(2)/2)*CM123+(1-EXP(-LN(2)/2))/(LN(2)/2)*CG124*CJ124*VLOOKUP('Données projet'!$B$12,Paramètres!$A$1:$I$89,3,0)*0.475*44/12</f>
        <v>0.50785224618610303</v>
      </c>
      <c r="CN124" s="22">
        <f t="shared" si="66"/>
        <v>56.222281542681039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8" t="e">
        <f t="shared" si="68"/>
        <v>#N/A</v>
      </c>
      <c r="CY124" s="58" t="e">
        <f ca="1">AVERAGE(OFFSET($CX$3,0,0,'Données projet'!$E$13+1,1))-AVERAGE(OFFSET($H$3,0,0,'Données projet'!$E$13+1,1))</f>
        <v>#N/A</v>
      </c>
      <c r="CZ124" s="58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8" t="e">
        <f t="shared" si="71"/>
        <v>#N/A</v>
      </c>
      <c r="DT124" s="58" t="e">
        <f ca="1">AVERAGE(OFFSET($DS$3,0,0,'Données projet'!$E$14+1,1))-AVERAGE(OFFSET($H$3,0,0,'Données projet'!$E$14+1,1))</f>
        <v>#N/A</v>
      </c>
      <c r="DU124" s="58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8" t="e">
        <f t="shared" si="74"/>
        <v>#N/A</v>
      </c>
      <c r="EO124" s="58" t="e">
        <f ca="1">AVERAGE(OFFSET($EN$3,0,0,'Données projet'!$E$15+1,1))-AVERAGE(OFFSET($H$3,0,0,'Données projet'!$E$15+1,1))</f>
        <v>#N/A</v>
      </c>
      <c r="EP124" s="58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8" t="e">
        <f t="shared" si="77"/>
        <v>#N/A</v>
      </c>
      <c r="FJ124" s="58" t="e">
        <f ca="1">AVERAGE(OFFSET($FI$3,0,0,'Données projet'!$E$16+1,1))-AVERAGE(OFFSET($H$3,0,0,'Données projet'!$E$16+1,1))</f>
        <v>#N/A</v>
      </c>
      <c r="FK124" s="58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8" t="e">
        <f t="shared" si="80"/>
        <v>#N/A</v>
      </c>
      <c r="GE124" s="58" t="e">
        <f ca="1">AVERAGE(OFFSET($GD$3,0,0,'Données projet'!$E$17+1,1))-AVERAGE(OFFSET($H$3,0,0,'Données projet'!$E$17+1,1))</f>
        <v>#N/A</v>
      </c>
      <c r="GF124" s="58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68.796679170056478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8" t="e">
        <f t="shared" si="83"/>
        <v>#N/A</v>
      </c>
      <c r="GZ124" s="58" t="e">
        <f ca="1">AVERAGE(OFFSET($GY$3,0,0,'Données projet'!$E$18+1,1))-AVERAGE(OFFSET($H$3,0,0,'Données projet'!$E$18+1,1))</f>
        <v>#N/A</v>
      </c>
      <c r="HA124" s="58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2">
        <f>'Scénario référence'!$B$16*5+'Scénario référence'!$B$17*0+'Scénario référence'!$B$18*5</f>
        <v>2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7.333333333333333</v>
      </c>
      <c r="H125" s="66">
        <f t="shared" si="56"/>
        <v>227.33333333333334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8.9160000000000021</v>
      </c>
      <c r="N125" s="13">
        <f>IF('Données projet'!$A$36&gt;35,N124+M125-V124,IF(A125&lt;'Données projet'!$A$36,$K$205^A125,IF(A125='Données projet'!$A$36,'Données projet'!$B$36,N124+M125-V124)))</f>
        <v>434.0280000000007</v>
      </c>
      <c r="O125" s="13">
        <f>N125*VLOOKUP('Données projet'!$B$9,Paramètres!$A$1:$I$89,3,0)*VLOOKUP('Données projet'!$B$9,Paramètres!$A$1:$I$89,5,0)</f>
        <v>392.70853440000059</v>
      </c>
      <c r="P125" s="13">
        <f t="shared" si="87"/>
        <v>90.296853458070288</v>
      </c>
      <c r="Q125" s="20">
        <f t="shared" si="107"/>
        <v>841.23438385280679</v>
      </c>
      <c r="R125" s="58">
        <f t="shared" si="55"/>
        <v>1130.2320822056636</v>
      </c>
      <c r="S125" s="58">
        <f ca="1">AVERAGE(OFFSET($R$3,0,0,'Données projet'!$E$9+1,1))-AVERAGE(OFFSET($H$3,0,0,'Données projet'!$E$9+1,1))</f>
        <v>654.0179680178212</v>
      </c>
      <c r="T125" s="58">
        <f t="shared" si="88"/>
        <v>289.42065570013369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31.11904619491759</v>
      </c>
      <c r="AA125" s="21">
        <f>EXP(-LN(2)/25)*AA124+(1-EXP(-LN(2)/25))/(LN(2)/25)*Calculateur!V125*Calculateur!X125*VLOOKUP('Données projet'!$B$9,Paramètres!$A$1:$I$89,3,0)*0.475*44/12</f>
        <v>20.652283476488776</v>
      </c>
      <c r="AB125" s="21">
        <f>EXP(-LN(2)/2)*AB124+(1-EXP(-LN(2)/2))/(LN(2)/2)*V125*Y125*VLOOKUP('Données projet'!$B$9,Paramètres!$A$1:$I$89,3,0)*0.475*44/12</f>
        <v>0.34144482775250484</v>
      </c>
      <c r="AC125" s="22">
        <f t="shared" si="57"/>
        <v>52.112774499158867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8">
        <f t="shared" si="59"/>
        <v>288.99769835286355</v>
      </c>
      <c r="AN125" s="58">
        <f ca="1">AVERAGE(OFFSET($AM$3,0,0,'Données projet'!$E$10+1,1))-AVERAGE(OFFSET($H$3,0,0,'Données projet'!$E$10+1,1))</f>
        <v>447.44638185108147</v>
      </c>
      <c r="AO125" s="58">
        <f t="shared" si="90"/>
        <v>384.84260115068605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77.220307722191791</v>
      </c>
      <c r="AV125" s="21">
        <f>EXP(-LN(2)/25)*AV124+(1-EXP(-LN(2)/25))/(LN(2)/25)*Calculateur!AQ125*Calculateur!AS125*VLOOKUP('Données projet'!$B$10,Paramètres!$A$1:$I$89,3,0)*0.475*44/12</f>
        <v>18.148842064214609</v>
      </c>
      <c r="AW125" s="21">
        <f>EXP(-LN(2)/2)*AW124+(1-EXP(-LN(2)/2))/(LN(2)/2)*AQ125*AT125*VLOOKUP('Données projet'!$B$10,Paramètres!$A$1:$I$89,3,0)*0.475*44/12</f>
        <v>1.0887198485550294E-5</v>
      </c>
      <c r="AX125" s="21">
        <f t="shared" si="60"/>
        <v>95.369160673604881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440.1043920000007</v>
      </c>
      <c r="BF125" s="13">
        <f t="shared" si="91"/>
        <v>99.861453660492415</v>
      </c>
      <c r="BG125" s="20">
        <f t="shared" si="61"/>
        <v>940.44051452535894</v>
      </c>
      <c r="BH125" s="58">
        <f t="shared" si="62"/>
        <v>1229.4382128782156</v>
      </c>
      <c r="BI125" s="58">
        <f ca="1">AVERAGE(OFFSET($BH$3,0,0,'Données projet'!$E$11+1,1))-AVERAGE(OFFSET($H$3,0,0,'Données projet'!$E$11+1,1))</f>
        <v>724.99760740673071</v>
      </c>
      <c r="BJ125" s="58">
        <f t="shared" si="92"/>
        <v>318.24184272438208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34.874793149476609</v>
      </c>
      <c r="BQ125" s="21">
        <f>EXP(-LN(2)/25)*BQ124+(1-EXP(-LN(2)/25))/(LN(2)/25)*Calculateur!BL125*Calculateur!BN125*VLOOKUP('Données projet'!$B$11,Paramètres!$A$1:$I$89,3,0)*0.475*44/12</f>
        <v>23.144800447789148</v>
      </c>
      <c r="BR125" s="21">
        <f>EXP(-LN(2)/2)*BR124+(1-EXP(-LN(2)/2))/(LN(2)/2)*BL125*BO125*VLOOKUP('Données projet'!$B$11,Paramètres!$A$1:$I$89,3,0)*0.475*44/12</f>
        <v>0.3826536862743587</v>
      </c>
      <c r="BS125" s="22">
        <f t="shared" si="63"/>
        <v>58.402247283540113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8.9160000000000021</v>
      </c>
      <c r="BY125" s="12">
        <f>IF('Données projet'!$A$114&gt;35,BY124+BX125-CG124,IF(A125&lt;'Données projet'!$A$114,$BV$205^A125,IF(A125='Données projet'!$A$114,'Données projet'!$B$114,BY124+BX125-CG124)))</f>
        <v>434.0280000000007</v>
      </c>
      <c r="BZ125" s="13">
        <f>BY125*VLOOKUP('Données projet'!$B$12,Paramètres!$A$1:$I$89,3,0)*VLOOKUP('Données projet'!$B$12,Paramètres!$A$1:$I$89,5,0)</f>
        <v>413.02104480000071</v>
      </c>
      <c r="CA125" s="13">
        <f t="shared" si="93"/>
        <v>94.411540492092271</v>
      </c>
      <c r="CB125" s="20">
        <f t="shared" si="64"/>
        <v>883.77841938372865</v>
      </c>
      <c r="CC125" s="58">
        <f t="shared" si="65"/>
        <v>1172.7761177365853</v>
      </c>
      <c r="CD125" s="58">
        <f ca="1">AVERAGE(OFFSET($CC$3,0,0,'Données projet'!$E$12+1,1))-AVERAGE(OFFSET($H$3,0,0,'Données projet'!$E$12+1,1))</f>
        <v>684.45757350513315</v>
      </c>
      <c r="CE125" s="58">
        <f t="shared" si="94"/>
        <v>301.78148341369194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32.728652032585742</v>
      </c>
      <c r="CL125" s="21">
        <f>EXP(-LN(2)/25)*CL124+(1-EXP(-LN(2)/25))/(LN(2)/25)*Calculateur!CG125*Calculateur!CI125*VLOOKUP('Données projet'!$B$12,Paramètres!$A$1:$I$89,3,0)*0.475*44/12</f>
        <v>21.720505035617503</v>
      </c>
      <c r="CM125" s="21">
        <f>EXP(-LN(2)/2)*CM124+(1-EXP(-LN(2)/2))/(LN(2)/2)*CG125*CJ125*VLOOKUP('Données projet'!$B$12,Paramètres!$A$1:$I$89,3,0)*0.475*44/12</f>
        <v>0.35910576711901343</v>
      </c>
      <c r="CN125" s="22">
        <f t="shared" si="66"/>
        <v>54.80826283532226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8" t="e">
        <f t="shared" si="68"/>
        <v>#N/A</v>
      </c>
      <c r="CY125" s="58" t="e">
        <f ca="1">AVERAGE(OFFSET($CX$3,0,0,'Données projet'!$E$13+1,1))-AVERAGE(OFFSET($H$3,0,0,'Données projet'!$E$13+1,1))</f>
        <v>#N/A</v>
      </c>
      <c r="CZ125" s="58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8" t="e">
        <f t="shared" si="71"/>
        <v>#N/A</v>
      </c>
      <c r="DT125" s="58" t="e">
        <f ca="1">AVERAGE(OFFSET($DS$3,0,0,'Données projet'!$E$14+1,1))-AVERAGE(OFFSET($H$3,0,0,'Données projet'!$E$14+1,1))</f>
        <v>#N/A</v>
      </c>
      <c r="DU125" s="58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8" t="e">
        <f t="shared" si="74"/>
        <v>#N/A</v>
      </c>
      <c r="EO125" s="58" t="e">
        <f ca="1">AVERAGE(OFFSET($EN$3,0,0,'Données projet'!$E$15+1,1))-AVERAGE(OFFSET($H$3,0,0,'Données projet'!$E$15+1,1))</f>
        <v>#N/A</v>
      </c>
      <c r="EP125" s="58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8" t="e">
        <f t="shared" si="77"/>
        <v>#N/A</v>
      </c>
      <c r="FJ125" s="58" t="e">
        <f ca="1">AVERAGE(OFFSET($FI$3,0,0,'Données projet'!$E$16+1,1))-AVERAGE(OFFSET($H$3,0,0,'Données projet'!$E$16+1,1))</f>
        <v>#N/A</v>
      </c>
      <c r="FK125" s="58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8" t="e">
        <f t="shared" si="80"/>
        <v>#N/A</v>
      </c>
      <c r="GE125" s="58" t="e">
        <f ca="1">AVERAGE(OFFSET($GD$3,0,0,'Données projet'!$E$17+1,1))-AVERAGE(OFFSET($H$3,0,0,'Données projet'!$E$17+1,1))</f>
        <v>#N/A</v>
      </c>
      <c r="GF125" s="58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68.81755409623365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8" t="e">
        <f t="shared" si="83"/>
        <v>#N/A</v>
      </c>
      <c r="GZ125" s="58" t="e">
        <f ca="1">AVERAGE(OFFSET($GY$3,0,0,'Données projet'!$E$18+1,1))-AVERAGE(OFFSET($H$3,0,0,'Données projet'!$E$18+1,1))</f>
        <v>#N/A</v>
      </c>
      <c r="HA125" s="58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2">
        <f>'Scénario référence'!$B$16*5+'Scénario référence'!$B$17*0+'Scénario référence'!$B$18*5</f>
        <v>2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7.333333333333333</v>
      </c>
      <c r="H126" s="66">
        <f t="shared" si="56"/>
        <v>227.33333333333334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8.9160000000000021</v>
      </c>
      <c r="N126" s="13">
        <f>IF('Données projet'!$A$36&gt;35,N125+M126-V125,IF(A126&lt;'Données projet'!$A$36,$K$205^A126,IF(A126='Données projet'!$A$36,'Données projet'!$B$36,N125+M126-V125)))</f>
        <v>442.9440000000007</v>
      </c>
      <c r="O126" s="13">
        <f>N126*VLOOKUP('Données projet'!$B$9,Paramètres!$A$1:$I$89,3,0)*VLOOKUP('Données projet'!$B$9,Paramètres!$A$1:$I$89,5,0)</f>
        <v>400.77573120000062</v>
      </c>
      <c r="P126" s="13">
        <f t="shared" si="87"/>
        <v>91.933915079444887</v>
      </c>
      <c r="Q126" s="20">
        <f t="shared" si="107"/>
        <v>858.13596727003414</v>
      </c>
      <c r="R126" s="58">
        <f t="shared" si="55"/>
        <v>1147.2088791967744</v>
      </c>
      <c r="S126" s="58">
        <f ca="1">AVERAGE(OFFSET($R$3,0,0,'Données projet'!$E$9+1,1))-AVERAGE(OFFSET($H$3,0,0,'Données projet'!$E$9+1,1))</f>
        <v>654.0179680178212</v>
      </c>
      <c r="T126" s="58">
        <f t="shared" si="88"/>
        <v>289.42065570013369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30.508820679779241</v>
      </c>
      <c r="AA126" s="21">
        <f>EXP(-LN(2)/25)*AA125+(1-EXP(-LN(2)/25))/(LN(2)/25)*Calculateur!V126*Calculateur!X126*VLOOKUP('Données projet'!$B$9,Paramètres!$A$1:$I$89,3,0)*0.475*44/12</f>
        <v>20.087545698767805</v>
      </c>
      <c r="AB126" s="21">
        <f>EXP(-LN(2)/2)*AB125+(1-EXP(-LN(2)/2))/(LN(2)/2)*V126*Y126*VLOOKUP('Données projet'!$B$9,Paramètres!$A$1:$I$89,3,0)*0.475*44/12</f>
        <v>0.24143795310486887</v>
      </c>
      <c r="AC126" s="22">
        <f t="shared" si="57"/>
        <v>50.837804331651917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8">
        <f t="shared" si="59"/>
        <v>289.07291192674711</v>
      </c>
      <c r="AN126" s="58">
        <f ca="1">AVERAGE(OFFSET($AM$3,0,0,'Données projet'!$E$10+1,1))-AVERAGE(OFFSET($H$3,0,0,'Données projet'!$E$10+1,1))</f>
        <v>447.44638185108147</v>
      </c>
      <c r="AO126" s="58">
        <f t="shared" si="90"/>
        <v>384.84260115068605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75.706064587496613</v>
      </c>
      <c r="AV126" s="21">
        <f>EXP(-LN(2)/25)*AV125+(1-EXP(-LN(2)/25))/(LN(2)/25)*Calculateur!AQ126*Calculateur!AS126*VLOOKUP('Données projet'!$B$10,Paramètres!$A$1:$I$89,3,0)*0.475*44/12</f>
        <v>17.652561023562537</v>
      </c>
      <c r="AW126" s="21">
        <f>EXP(-LN(2)/2)*AW125+(1-EXP(-LN(2)/2))/(LN(2)/2)*AQ126*AT126*VLOOKUP('Données projet'!$B$10,Paramètres!$A$1:$I$89,3,0)*0.475*44/12</f>
        <v>7.6984118772565236E-6</v>
      </c>
      <c r="AX126" s="21">
        <f t="shared" si="60"/>
        <v>93.358633309471031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449.1452160000008</v>
      </c>
      <c r="BF126" s="13">
        <f t="shared" si="91"/>
        <v>101.67191932991005</v>
      </c>
      <c r="BG126" s="20">
        <f t="shared" si="61"/>
        <v>959.33984403292789</v>
      </c>
      <c r="BH126" s="58">
        <f t="shared" si="62"/>
        <v>1248.4127559596682</v>
      </c>
      <c r="BI126" s="58">
        <f ca="1">AVERAGE(OFFSET($BH$3,0,0,'Données projet'!$E$11+1,1))-AVERAGE(OFFSET($H$3,0,0,'Données projet'!$E$11+1,1))</f>
        <v>724.99760740673071</v>
      </c>
      <c r="BJ126" s="58">
        <f t="shared" si="92"/>
        <v>318.24184272438208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34.190919727338809</v>
      </c>
      <c r="BQ126" s="21">
        <f>EXP(-LN(2)/25)*BQ125+(1-EXP(-LN(2)/25))/(LN(2)/25)*Calculateur!BL126*Calculateur!BN126*VLOOKUP('Données projet'!$B$11,Paramètres!$A$1:$I$89,3,0)*0.475*44/12</f>
        <v>22.511904662412196</v>
      </c>
      <c r="BR126" s="21">
        <f>EXP(-LN(2)/2)*BR125+(1-EXP(-LN(2)/2))/(LN(2)/2)*BL126*BO126*VLOOKUP('Données projet'!$B$11,Paramètres!$A$1:$I$89,3,0)*0.475*44/12</f>
        <v>0.27057701641062876</v>
      </c>
      <c r="BS126" s="22">
        <f t="shared" si="63"/>
        <v>56.973401406161628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8.9160000000000021</v>
      </c>
      <c r="BY126" s="12">
        <f>IF('Données projet'!$A$114&gt;35,BY125+BX126-CG125,IF(A126&lt;'Données projet'!$A$114,$BV$205^A126,IF(A126='Données projet'!$A$114,'Données projet'!$B$114,BY125+BX126-CG125)))</f>
        <v>442.9440000000007</v>
      </c>
      <c r="BZ126" s="13">
        <f>BY126*VLOOKUP('Données projet'!$B$12,Paramètres!$A$1:$I$89,3,0)*VLOOKUP('Données projet'!$B$12,Paramètres!$A$1:$I$89,5,0)</f>
        <v>421.50551040000067</v>
      </c>
      <c r="CA126" s="13">
        <f t="shared" si="93"/>
        <v>96.123200462904308</v>
      </c>
      <c r="CB126" s="20">
        <f t="shared" si="64"/>
        <v>901.53667141955941</v>
      </c>
      <c r="CC126" s="58">
        <f t="shared" si="65"/>
        <v>1190.6095833462996</v>
      </c>
      <c r="CD126" s="58">
        <f ca="1">AVERAGE(OFFSET($CC$3,0,0,'Données projet'!$E$12+1,1))-AVERAGE(OFFSET($H$3,0,0,'Données projet'!$E$12+1,1))</f>
        <v>684.45757350513315</v>
      </c>
      <c r="CE126" s="58">
        <f t="shared" si="94"/>
        <v>301.78148341369194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32.086863128733341</v>
      </c>
      <c r="CL126" s="21">
        <f>EXP(-LN(2)/25)*CL125+(1-EXP(-LN(2)/25))/(LN(2)/25)*Calculateur!CG126*Calculateur!CI126*VLOOKUP('Données projet'!$B$12,Paramètres!$A$1:$I$89,3,0)*0.475*44/12</f>
        <v>21.126556683186827</v>
      </c>
      <c r="CM126" s="21">
        <f>EXP(-LN(2)/2)*CM125+(1-EXP(-LN(2)/2))/(LN(2)/2)*CG126*CJ126*VLOOKUP('Données projet'!$B$12,Paramètres!$A$1:$I$89,3,0)*0.475*44/12</f>
        <v>0.25392612309305151</v>
      </c>
      <c r="CN126" s="22">
        <f t="shared" si="66"/>
        <v>53.467345935013221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8" t="e">
        <f t="shared" si="68"/>
        <v>#N/A</v>
      </c>
      <c r="CY126" s="58" t="e">
        <f ca="1">AVERAGE(OFFSET($CX$3,0,0,'Données projet'!$E$13+1,1))-AVERAGE(OFFSET($H$3,0,0,'Données projet'!$E$13+1,1))</f>
        <v>#N/A</v>
      </c>
      <c r="CZ126" s="58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8" t="e">
        <f t="shared" si="71"/>
        <v>#N/A</v>
      </c>
      <c r="DT126" s="58" t="e">
        <f ca="1">AVERAGE(OFFSET($DS$3,0,0,'Données projet'!$E$14+1,1))-AVERAGE(OFFSET($H$3,0,0,'Données projet'!$E$14+1,1))</f>
        <v>#N/A</v>
      </c>
      <c r="DU126" s="58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8" t="e">
        <f t="shared" si="74"/>
        <v>#N/A</v>
      </c>
      <c r="EO126" s="58" t="e">
        <f ca="1">AVERAGE(OFFSET($EN$3,0,0,'Données projet'!$E$15+1,1))-AVERAGE(OFFSET($H$3,0,0,'Données projet'!$E$15+1,1))</f>
        <v>#N/A</v>
      </c>
      <c r="EP126" s="58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8" t="e">
        <f t="shared" si="77"/>
        <v>#N/A</v>
      </c>
      <c r="FJ126" s="58" t="e">
        <f ca="1">AVERAGE(OFFSET($FI$3,0,0,'Données projet'!$E$16+1,1))-AVERAGE(OFFSET($H$3,0,0,'Données projet'!$E$16+1,1))</f>
        <v>#N/A</v>
      </c>
      <c r="FK126" s="58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8" t="e">
        <f t="shared" si="80"/>
        <v>#N/A</v>
      </c>
      <c r="GE126" s="58" t="e">
        <f ca="1">AVERAGE(OFFSET($GD$3,0,0,'Données projet'!$E$17+1,1))-AVERAGE(OFFSET($H$3,0,0,'Données projet'!$E$17+1,1))</f>
        <v>#N/A</v>
      </c>
      <c r="GF126" s="58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68.838066889110991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8" t="e">
        <f t="shared" si="83"/>
        <v>#N/A</v>
      </c>
      <c r="GZ126" s="58" t="e">
        <f ca="1">AVERAGE(OFFSET($GY$3,0,0,'Données projet'!$E$18+1,1))-AVERAGE(OFFSET($H$3,0,0,'Données projet'!$E$18+1,1))</f>
        <v>#N/A</v>
      </c>
      <c r="HA126" s="58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2">
        <f>'Scénario référence'!$B$16*5+'Scénario référence'!$B$17*0+'Scénario référence'!$B$18*5</f>
        <v>2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7.333333333333333</v>
      </c>
      <c r="H127" s="66">
        <f t="shared" si="56"/>
        <v>227.33333333333334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451.86</v>
      </c>
      <c r="L127" s="12">
        <f>VLOOKUP(A127,'Données projet'!$A$35:$I$55,9,0)</f>
        <v>8.9160000000000021</v>
      </c>
      <c r="M127" s="12">
        <f t="array" ref="M127">INDEX(L:L,MIN(IF(ISNUMBER(L127:L323),ROW(L127:L323),"")))</f>
        <v>8.9160000000000021</v>
      </c>
      <c r="N127" s="13">
        <f>IF('Données projet'!$A$36&gt;35,N126+M127-V126,IF(A127&lt;'Données projet'!$A$36,$K$205^A127,IF(A127='Données projet'!$A$36,'Données projet'!$B$36,N126+M127-V126)))</f>
        <v>451.8600000000007</v>
      </c>
      <c r="O127" s="13">
        <f>N127*VLOOKUP('Données projet'!$B$9,Paramètres!$A$1:$I$89,3,0)*VLOOKUP('Données projet'!$B$9,Paramètres!$A$1:$I$89,5,0)</f>
        <v>408.84292800000065</v>
      </c>
      <c r="P127" s="13">
        <f t="shared" si="87"/>
        <v>93.567145264891295</v>
      </c>
      <c r="Q127" s="20">
        <f t="shared" si="107"/>
        <v>875.03087760302014</v>
      </c>
      <c r="R127" s="58">
        <f t="shared" si="55"/>
        <v>1164.1776983162895</v>
      </c>
      <c r="S127" s="58">
        <f ca="1">AVERAGE(OFFSET($R$3,0,0,'Données projet'!$E$9+1,1))-AVERAGE(OFFSET($H$3,0,0,'Données projet'!$E$9+1,1))</f>
        <v>654.0179680178212</v>
      </c>
      <c r="T127" s="58">
        <f t="shared" si="88"/>
        <v>289.42065570013369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57.81</v>
      </c>
      <c r="W127" s="16">
        <f>IF(ISNA(VLOOKUP(A127,'Données projet'!$A$35:$I$55,5,0)),0%,VLOOKUP(A127,'Données projet'!$A$35:$I$55,5,0)*VLOOKUP('Données projet'!$B$9,Paramètres!$A$1:$I$89,7,0))</f>
        <v>0.15049999999999999</v>
      </c>
      <c r="X127" s="16">
        <f>IF(ISNA(VLOOKUP(A127,'Données projet'!$A$35:$I$55,6,0)),0%,VLOOKUP(A127,'Données projet'!$A$35:$I$55,6,0)*VLOOKUP('Données projet'!$B$9,Paramètres!$A$1:$I$89,7,0))</f>
        <v>8.6000000000000007E-2</v>
      </c>
      <c r="Y127" s="16">
        <f>IF(ISNA(VLOOKUP(A127,'Données projet'!$A$35:$I$55,7,0)),0%,VLOOKUP(A127,'Données projet'!$A$35:$I$55,7,0))</f>
        <v>0.1</v>
      </c>
      <c r="Z127" s="21">
        <f>EXP(-LN(2)/35)*Z126+(1-EXP(-LN(2)/35))/(LN(2)/35)*V127*W127*VLOOKUP('Données projet'!$B$9,Paramètres!$A$1:$I$89,3,0)*0.475*44/12</f>
        <v>38.612963922572</v>
      </c>
      <c r="AA127" s="21">
        <f>EXP(-LN(2)/25)*AA126+(1-EXP(-LN(2)/25))/(LN(2)/25)*Calculateur!V127*Calculateur!X127*VLOOKUP('Données projet'!$B$9,Paramètres!$A$1:$I$89,3,0)*0.475*44/12</f>
        <v>24.491472381184234</v>
      </c>
      <c r="AB127" s="21">
        <f>EXP(-LN(2)/2)*AB126+(1-EXP(-LN(2)/2))/(LN(2)/2)*V127*Y127*VLOOKUP('Données projet'!$B$9,Paramètres!$A$1:$I$89,3,0)*0.475*44/12</f>
        <v>5.1059803375246293</v>
      </c>
      <c r="AC127" s="22">
        <f t="shared" si="57"/>
        <v>68.210416641280858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8">
        <f t="shared" si="59"/>
        <v>289.14682071327616</v>
      </c>
      <c r="AN127" s="58">
        <f ca="1">AVERAGE(OFFSET($AM$3,0,0,'Données projet'!$E$10+1,1))-AVERAGE(OFFSET($H$3,0,0,'Données projet'!$E$10+1,1))</f>
        <v>447.44638185108147</v>
      </c>
      <c r="AO127" s="58">
        <f t="shared" si="90"/>
        <v>384.84260115068605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74.221514837075688</v>
      </c>
      <c r="AV127" s="21">
        <f>EXP(-LN(2)/25)*AV126+(1-EXP(-LN(2)/25))/(LN(2)/25)*Calculateur!AQ127*Calculateur!AS127*VLOOKUP('Données projet'!$B$10,Paramètres!$A$1:$I$89,3,0)*0.475*44/12</f>
        <v>17.169850814065381</v>
      </c>
      <c r="AW127" s="21">
        <f>EXP(-LN(2)/2)*AW126+(1-EXP(-LN(2)/2))/(LN(2)/2)*AQ127*AT127*VLOOKUP('Données projet'!$B$10,Paramètres!$A$1:$I$89,3,0)*0.475*44/12</f>
        <v>5.4435992427751472E-6</v>
      </c>
      <c r="AX127" s="21">
        <f t="shared" si="60"/>
        <v>91.391371094740322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458.18604000000073</v>
      </c>
      <c r="BF127" s="13">
        <f t="shared" si="91"/>
        <v>103.47814772253736</v>
      </c>
      <c r="BG127" s="20">
        <f t="shared" si="61"/>
        <v>978.23179361675386</v>
      </c>
      <c r="BH127" s="58">
        <f t="shared" si="62"/>
        <v>1267.3786143300231</v>
      </c>
      <c r="BI127" s="58">
        <f ca="1">AVERAGE(OFFSET($BH$3,0,0,'Données projet'!$E$11+1,1))-AVERAGE(OFFSET($H$3,0,0,'Données projet'!$E$11+1,1))</f>
        <v>724.99760740673071</v>
      </c>
      <c r="BJ127" s="58">
        <f t="shared" si="92"/>
        <v>318.24184272438208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43.273149223572069</v>
      </c>
      <c r="BQ127" s="21">
        <f>EXP(-LN(2)/25)*BQ126+(1-EXP(-LN(2)/25))/(LN(2)/25)*Calculateur!BL127*Calculateur!BN127*VLOOKUP('Données projet'!$B$11,Paramètres!$A$1:$I$89,3,0)*0.475*44/12</f>
        <v>27.447339737534058</v>
      </c>
      <c r="BR127" s="21">
        <f>EXP(-LN(2)/2)*BR126+(1-EXP(-LN(2)/2))/(LN(2)/2)*BL127*BO127*VLOOKUP('Données projet'!$B$11,Paramètres!$A$1:$I$89,3,0)*0.475*44/12</f>
        <v>5.7222193437776019</v>
      </c>
      <c r="BS127" s="22">
        <f t="shared" si="63"/>
        <v>76.442708304883723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8.9160000000000021</v>
      </c>
      <c r="BX127" s="12">
        <f t="array" ref="BX127">INDEX(BW:BW,MIN(IF(ISNUMBER(BW127:BW323),ROW(BW127:BW323),"")))</f>
        <v>8.9160000000000021</v>
      </c>
      <c r="BY127" s="12">
        <f>IF('Données projet'!$A$114&gt;35,BY126+BX127-CG126,IF(A127&lt;'Données projet'!$A$114,$BV$205^A127,IF(A127='Données projet'!$A$114,'Données projet'!$B$114,BY126+BX127-CG126)))</f>
        <v>451.8600000000007</v>
      </c>
      <c r="BZ127" s="13">
        <f>BY127*VLOOKUP('Données projet'!$B$12,Paramètres!$A$1:$I$89,3,0)*VLOOKUP('Données projet'!$B$12,Paramètres!$A$1:$I$89,5,0)</f>
        <v>429.98997600000069</v>
      </c>
      <c r="CA127" s="13">
        <f t="shared" si="93"/>
        <v>97.830854405217835</v>
      </c>
      <c r="CB127" s="20">
        <f t="shared" si="64"/>
        <v>919.28794628908884</v>
      </c>
      <c r="CC127" s="58">
        <f t="shared" si="65"/>
        <v>1208.4347670023581</v>
      </c>
      <c r="CD127" s="58">
        <f ca="1">AVERAGE(OFFSET($CC$3,0,0,'Données projet'!$E$12+1,1))-AVERAGE(OFFSET($H$3,0,0,'Données projet'!$E$12+1,1))</f>
        <v>684.45757350513315</v>
      </c>
      <c r="CE127" s="58">
        <f t="shared" si="94"/>
        <v>301.78148341369194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57.81</v>
      </c>
      <c r="CH127" s="16">
        <f>IF(ISNA(VLOOKUP(A127,'Données projet'!$A$113:$I$133,5,0)),0%,VLOOKUP(A127,'Données projet'!$A$113:$I$133,5,0)*VLOOKUP('Données projet'!$B$12,Paramètres!$A$1:$I$89,7,0))</f>
        <v>0.15049999999999999</v>
      </c>
      <c r="CI127" s="16">
        <f>IF(ISNA(VLOOKUP(A127,'Données projet'!$A$113:$I$133,6,0)),0%,VLOOKUP(A127,'Données projet'!$A$113:$I$133,6,0)*VLOOKUP('Données projet'!$B$12,Paramètres!$A$1:$I$89,7,0))</f>
        <v>8.6000000000000007E-2</v>
      </c>
      <c r="CJ127" s="16">
        <f>IF(ISNA(VLOOKUP(A127,'Données projet'!$A$113:$I$133,7,0)),0%,VLOOKUP(A127,'Données projet'!$A$113:$I$133,7,0))</f>
        <v>0.1</v>
      </c>
      <c r="CK127" s="21">
        <f>EXP(-LN(2)/35)*CK126+(1-EXP(-LN(2)/35))/(LN(2)/35)*CG127*CH127*VLOOKUP('Données projet'!$B$12,Paramètres!$A$1:$I$89,3,0)*0.475*44/12</f>
        <v>40.610186194429176</v>
      </c>
      <c r="CL127" s="21">
        <f>EXP(-LN(2)/25)*CL126+(1-EXP(-LN(2)/25))/(LN(2)/25)*Calculateur!CG127*Calculateur!CI127*VLOOKUP('Données projet'!$B$12,Paramètres!$A$1:$I$89,3,0)*0.475*44/12</f>
        <v>25.758272676762729</v>
      </c>
      <c r="CM127" s="21">
        <f>EXP(-LN(2)/2)*CM126+(1-EXP(-LN(2)/2))/(LN(2)/2)*CG127*CJ127*VLOOKUP('Données projet'!$B$12,Paramètres!$A$1:$I$89,3,0)*0.475*44/12</f>
        <v>5.3700827687759034</v>
      </c>
      <c r="CN127" s="22">
        <f t="shared" si="66"/>
        <v>71.738541639967806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8" t="e">
        <f t="shared" si="68"/>
        <v>#N/A</v>
      </c>
      <c r="CY127" s="58" t="e">
        <f ca="1">AVERAGE(OFFSET($CX$3,0,0,'Données projet'!$E$13+1,1))-AVERAGE(OFFSET($H$3,0,0,'Données projet'!$E$13+1,1))</f>
        <v>#N/A</v>
      </c>
      <c r="CZ127" s="58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8" t="e">
        <f t="shared" si="71"/>
        <v>#N/A</v>
      </c>
      <c r="DT127" s="58" t="e">
        <f ca="1">AVERAGE(OFFSET($DS$3,0,0,'Données projet'!$E$14+1,1))-AVERAGE(OFFSET($H$3,0,0,'Données projet'!$E$14+1,1))</f>
        <v>#N/A</v>
      </c>
      <c r="DU127" s="58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8" t="e">
        <f t="shared" si="74"/>
        <v>#N/A</v>
      </c>
      <c r="EO127" s="58" t="e">
        <f ca="1">AVERAGE(OFFSET($EN$3,0,0,'Données projet'!$E$15+1,1))-AVERAGE(OFFSET($H$3,0,0,'Données projet'!$E$15+1,1))</f>
        <v>#N/A</v>
      </c>
      <c r="EP127" s="58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8" t="e">
        <f t="shared" si="77"/>
        <v>#N/A</v>
      </c>
      <c r="FJ127" s="58" t="e">
        <f ca="1">AVERAGE(OFFSET($FI$3,0,0,'Données projet'!$E$16+1,1))-AVERAGE(OFFSET($H$3,0,0,'Données projet'!$E$16+1,1))</f>
        <v>#N/A</v>
      </c>
      <c r="FK127" s="58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8" t="e">
        <f t="shared" si="80"/>
        <v>#N/A</v>
      </c>
      <c r="GE127" s="58" t="e">
        <f ca="1">AVERAGE(OFFSET($GD$3,0,0,'Données projet'!$E$17+1,1))-AVERAGE(OFFSET($H$3,0,0,'Données projet'!$E$17+1,1))</f>
        <v>#N/A</v>
      </c>
      <c r="GF127" s="58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68.858223830891632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8" t="e">
        <f t="shared" si="83"/>
        <v>#N/A</v>
      </c>
      <c r="GZ127" s="58" t="e">
        <f ca="1">AVERAGE(OFFSET($GY$3,0,0,'Données projet'!$E$18+1,1))-AVERAGE(OFFSET($H$3,0,0,'Données projet'!$E$18+1,1))</f>
        <v>#N/A</v>
      </c>
      <c r="HA127" s="58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2">
        <f>'Scénario référence'!$B$16*5+'Scénario référence'!$B$17*0+'Scénario référence'!$B$18*5</f>
        <v>2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7.333333333333333</v>
      </c>
      <c r="H128" s="66">
        <f t="shared" si="56"/>
        <v>227.33333333333334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9.0229999999999961</v>
      </c>
      <c r="N128" s="13">
        <f>IF('Données projet'!$A$36&gt;35,N127+M128-V127,IF(A128&lt;'Données projet'!$A$36,$K$205^A128,IF(A128='Données projet'!$A$36,'Données projet'!$B$36,N127+M128-V127)))</f>
        <v>403.07300000000072</v>
      </c>
      <c r="O128" s="13">
        <f>N128*VLOOKUP('Données projet'!$B$9,Paramètres!$A$1:$I$89,3,0)*VLOOKUP('Données projet'!$B$9,Paramètres!$A$1:$I$89,5,0)</f>
        <v>364.70045040000065</v>
      </c>
      <c r="P128" s="13">
        <f t="shared" si="87"/>
        <v>84.582200429685614</v>
      </c>
      <c r="Q128" s="20">
        <f t="shared" si="107"/>
        <v>782.50061686170341</v>
      </c>
      <c r="R128" s="58">
        <f t="shared" si="55"/>
        <v>1071.7200642092907</v>
      </c>
      <c r="S128" s="58">
        <f ca="1">AVERAGE(OFFSET($R$3,0,0,'Données projet'!$E$9+1,1))-AVERAGE(OFFSET($H$3,0,0,'Données projet'!$E$9+1,1))</f>
        <v>654.0179680178212</v>
      </c>
      <c r="T128" s="58">
        <f t="shared" si="88"/>
        <v>289.42065570013369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37.855787251632833</v>
      </c>
      <c r="AA128" s="21">
        <f>EXP(-LN(2)/25)*AA127+(1-EXP(-LN(2)/25))/(LN(2)/25)*Calculateur!V128*Calculateur!X128*VLOOKUP('Données projet'!$B$9,Paramètres!$A$1:$I$89,3,0)*0.475*44/12</f>
        <v>23.821751780970196</v>
      </c>
      <c r="AB128" s="21">
        <f>EXP(-LN(2)/2)*AB127+(1-EXP(-LN(2)/2))/(LN(2)/2)*V128*Y128*VLOOKUP('Données projet'!$B$9,Paramètres!$A$1:$I$89,3,0)*0.475*44/12</f>
        <v>3.6104733212688425</v>
      </c>
      <c r="AC128" s="22">
        <f t="shared" si="57"/>
        <v>65.288012353871878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8">
        <f t="shared" si="59"/>
        <v>289.21944734759421</v>
      </c>
      <c r="AN128" s="58">
        <f ca="1">AVERAGE(OFFSET($AM$3,0,0,'Données projet'!$E$10+1,1))-AVERAGE(OFFSET($H$3,0,0,'Données projet'!$E$10+1,1))</f>
        <v>447.44638185108147</v>
      </c>
      <c r="AO128" s="58">
        <f t="shared" si="90"/>
        <v>384.84260115068605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72.766076201774581</v>
      </c>
      <c r="AV128" s="21">
        <f>EXP(-LN(2)/25)*AV127+(1-EXP(-LN(2)/25))/(LN(2)/25)*Calculateur!AQ128*Calculateur!AS128*VLOOKUP('Données projet'!$B$10,Paramètres!$A$1:$I$89,3,0)*0.475*44/12</f>
        <v>16.700340340631552</v>
      </c>
      <c r="AW128" s="21">
        <f>EXP(-LN(2)/2)*AW127+(1-EXP(-LN(2)/2))/(LN(2)/2)*AQ128*AT128*VLOOKUP('Données projet'!$B$10,Paramètres!$A$1:$I$89,3,0)*0.475*44/12</f>
        <v>3.8492059386282618E-6</v>
      </c>
      <c r="AX128" s="21">
        <f t="shared" si="60"/>
        <v>89.466420391612075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408.71602200000075</v>
      </c>
      <c r="BF128" s="13">
        <f t="shared" si="91"/>
        <v>93.541481959099485</v>
      </c>
      <c r="BG128" s="20">
        <f t="shared" si="61"/>
        <v>874.76515272876622</v>
      </c>
      <c r="BH128" s="58">
        <f t="shared" si="62"/>
        <v>1163.9846000763537</v>
      </c>
      <c r="BI128" s="58">
        <f ca="1">AVERAGE(OFFSET($BH$3,0,0,'Données projet'!$E$11+1,1))-AVERAGE(OFFSET($H$3,0,0,'Données projet'!$E$11+1,1))</f>
        <v>724.99760740673071</v>
      </c>
      <c r="BJ128" s="58">
        <f t="shared" si="92"/>
        <v>318.24184272438208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42.424589161312653</v>
      </c>
      <c r="BQ128" s="21">
        <f>EXP(-LN(2)/25)*BQ127+(1-EXP(-LN(2)/25))/(LN(2)/25)*Calculateur!BL128*Calculateur!BN128*VLOOKUP('Données projet'!$B$11,Paramètres!$A$1:$I$89,3,0)*0.475*44/12</f>
        <v>26.696790789018323</v>
      </c>
      <c r="BR128" s="21">
        <f>EXP(-LN(2)/2)*BR127+(1-EXP(-LN(2)/2))/(LN(2)/2)*BL128*BO128*VLOOKUP('Données projet'!$B$11,Paramètres!$A$1:$I$89,3,0)*0.475*44/12</f>
        <v>4.0462201014219783</v>
      </c>
      <c r="BS128" s="22">
        <f t="shared" si="63"/>
        <v>73.167600051752956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9.0229999999999961</v>
      </c>
      <c r="BY128" s="12">
        <f>IF('Données projet'!$A$114&gt;35,BY127+BX128-CG127,IF(A128&lt;'Données projet'!$A$114,$BV$205^A128,IF(A128='Données projet'!$A$114,'Données projet'!$B$114,BY127+BX128-CG127)))</f>
        <v>403.07300000000072</v>
      </c>
      <c r="BZ128" s="13">
        <f>BY128*VLOOKUP('Données projet'!$B$12,Paramètres!$A$1:$I$89,3,0)*VLOOKUP('Données projet'!$B$12,Paramètres!$A$1:$I$89,5,0)</f>
        <v>383.56426680000067</v>
      </c>
      <c r="CA128" s="13">
        <f t="shared" si="93"/>
        <v>88.436479622024081</v>
      </c>
      <c r="CB128" s="20">
        <f t="shared" si="64"/>
        <v>822.06796668502648</v>
      </c>
      <c r="CC128" s="58">
        <f t="shared" si="65"/>
        <v>1111.2874140326139</v>
      </c>
      <c r="CD128" s="58">
        <f ca="1">AVERAGE(OFFSET($CC$3,0,0,'Données projet'!$E$12+1,1))-AVERAGE(OFFSET($H$3,0,0,'Données projet'!$E$12+1,1))</f>
        <v>684.45757350513315</v>
      </c>
      <c r="CE128" s="58">
        <f t="shared" si="94"/>
        <v>301.78148341369194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39.813845212924186</v>
      </c>
      <c r="CL128" s="21">
        <f>EXP(-LN(2)/25)*CL127+(1-EXP(-LN(2)/25))/(LN(2)/25)*Calculateur!CG128*Calculateur!CI128*VLOOKUP('Données projet'!$B$12,Paramètres!$A$1:$I$89,3,0)*0.475*44/12</f>
        <v>25.053911355847962</v>
      </c>
      <c r="CM128" s="21">
        <f>EXP(-LN(2)/2)*CM127+(1-EXP(-LN(2)/2))/(LN(2)/2)*CG128*CJ128*VLOOKUP('Données projet'!$B$12,Paramètres!$A$1:$I$89,3,0)*0.475*44/12</f>
        <v>3.7972219413344721</v>
      </c>
      <c r="CN128" s="22">
        <f t="shared" si="66"/>
        <v>68.664978510106621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8" t="e">
        <f t="shared" si="68"/>
        <v>#N/A</v>
      </c>
      <c r="CY128" s="58" t="e">
        <f ca="1">AVERAGE(OFFSET($CX$3,0,0,'Données projet'!$E$13+1,1))-AVERAGE(OFFSET($H$3,0,0,'Données projet'!$E$13+1,1))</f>
        <v>#N/A</v>
      </c>
      <c r="CZ128" s="58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8" t="e">
        <f t="shared" si="71"/>
        <v>#N/A</v>
      </c>
      <c r="DT128" s="58" t="e">
        <f ca="1">AVERAGE(OFFSET($DS$3,0,0,'Données projet'!$E$14+1,1))-AVERAGE(OFFSET($H$3,0,0,'Données projet'!$E$14+1,1))</f>
        <v>#N/A</v>
      </c>
      <c r="DU128" s="58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8" t="e">
        <f t="shared" si="74"/>
        <v>#N/A</v>
      </c>
      <c r="EO128" s="58" t="e">
        <f ca="1">AVERAGE(OFFSET($EN$3,0,0,'Données projet'!$E$15+1,1))-AVERAGE(OFFSET($H$3,0,0,'Données projet'!$E$15+1,1))</f>
        <v>#N/A</v>
      </c>
      <c r="EP128" s="58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8" t="e">
        <f t="shared" si="77"/>
        <v>#N/A</v>
      </c>
      <c r="FJ128" s="58" t="e">
        <f ca="1">AVERAGE(OFFSET($FI$3,0,0,'Données projet'!$E$16+1,1))-AVERAGE(OFFSET($H$3,0,0,'Données projet'!$E$16+1,1))</f>
        <v>#N/A</v>
      </c>
      <c r="FK128" s="58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8" t="e">
        <f t="shared" si="80"/>
        <v>#N/A</v>
      </c>
      <c r="GE128" s="58" t="e">
        <f ca="1">AVERAGE(OFFSET($GD$3,0,0,'Données projet'!$E$17+1,1))-AVERAGE(OFFSET($H$3,0,0,'Données projet'!$E$17+1,1))</f>
        <v>#N/A</v>
      </c>
      <c r="GF128" s="58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68.878031094796569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8" t="e">
        <f t="shared" si="83"/>
        <v>#N/A</v>
      </c>
      <c r="GZ128" s="58" t="e">
        <f ca="1">AVERAGE(OFFSET($GY$3,0,0,'Données projet'!$E$18+1,1))-AVERAGE(OFFSET($H$3,0,0,'Données projet'!$E$18+1,1))</f>
        <v>#N/A</v>
      </c>
      <c r="HA128" s="58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2">
        <f>'Scénario référence'!$B$16*5+'Scénario référence'!$B$17*0+'Scénario référence'!$B$18*5</f>
        <v>2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7.333333333333333</v>
      </c>
      <c r="H129" s="66">
        <f t="shared" si="56"/>
        <v>227.33333333333334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9.0229999999999961</v>
      </c>
      <c r="N129" s="13">
        <f>IF('Données projet'!$A$36&gt;35,N128+M129-V128,IF(A129&lt;'Données projet'!$A$36,$K$205^A129,IF(A129='Données projet'!$A$36,'Données projet'!$B$36,N128+M129-V128)))</f>
        <v>412.09600000000069</v>
      </c>
      <c r="O129" s="13">
        <f>N129*VLOOKUP('Données projet'!$B$9,Paramètres!$A$1:$I$89,3,0)*VLOOKUP('Données projet'!$B$9,Paramètres!$A$1:$I$89,5,0)</f>
        <v>372.86446080000059</v>
      </c>
      <c r="P129" s="13">
        <f t="shared" si="87"/>
        <v>86.253061792690659</v>
      </c>
      <c r="Q129" s="20">
        <f t="shared" si="107"/>
        <v>799.62968518227046</v>
      </c>
      <c r="R129" s="58">
        <f t="shared" si="55"/>
        <v>1088.9204992544394</v>
      </c>
      <c r="S129" s="58">
        <f ca="1">AVERAGE(OFFSET($R$3,0,0,'Données projet'!$E$9+1,1))-AVERAGE(OFFSET($H$3,0,0,'Données projet'!$E$9+1,1))</f>
        <v>654.0179680178212</v>
      </c>
      <c r="T129" s="58">
        <f t="shared" si="88"/>
        <v>289.42065570013369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37.113458353378611</v>
      </c>
      <c r="AA129" s="21">
        <f>EXP(-LN(2)/25)*AA128+(1-EXP(-LN(2)/25))/(LN(2)/25)*Calculateur!V129*Calculateur!X129*VLOOKUP('Données projet'!$B$9,Paramètres!$A$1:$I$89,3,0)*0.475*44/12</f>
        <v>23.170344725788084</v>
      </c>
      <c r="AB129" s="21">
        <f>EXP(-LN(2)/2)*AB128+(1-EXP(-LN(2)/2))/(LN(2)/2)*V129*Y129*VLOOKUP('Données projet'!$B$9,Paramètres!$A$1:$I$89,3,0)*0.475*44/12</f>
        <v>2.5529901687623151</v>
      </c>
      <c r="AC129" s="22">
        <f t="shared" si="57"/>
        <v>62.836793247929009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8">
        <f t="shared" si="59"/>
        <v>289.29081407217569</v>
      </c>
      <c r="AN129" s="58">
        <f ca="1">AVERAGE(OFFSET($AM$3,0,0,'Données projet'!$E$10+1,1))-AVERAGE(OFFSET($H$3,0,0,'Données projet'!$E$10+1,1))</f>
        <v>447.44638185108147</v>
      </c>
      <c r="AO129" s="58">
        <f t="shared" si="90"/>
        <v>384.84260115068605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71.339177830381814</v>
      </c>
      <c r="AV129" s="21">
        <f>EXP(-LN(2)/25)*AV128+(1-EXP(-LN(2)/25))/(LN(2)/25)*Calculateur!AQ129*Calculateur!AS129*VLOOKUP('Données projet'!$B$10,Paramètres!$A$1:$I$89,3,0)*0.475*44/12</f>
        <v>16.243668655784251</v>
      </c>
      <c r="AW129" s="21">
        <f>EXP(-LN(2)/2)*AW128+(1-EXP(-LN(2)/2))/(LN(2)/2)*AQ129*AT129*VLOOKUP('Données projet'!$B$10,Paramètres!$A$1:$I$89,3,0)*0.475*44/12</f>
        <v>2.7217996213875736E-6</v>
      </c>
      <c r="AX129" s="21">
        <f t="shared" si="60"/>
        <v>87.58284920796568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417.86534400000068</v>
      </c>
      <c r="BF129" s="13">
        <f t="shared" si="91"/>
        <v>95.389327572593899</v>
      </c>
      <c r="BG129" s="20">
        <f t="shared" si="61"/>
        <v>893.91855298893552</v>
      </c>
      <c r="BH129" s="58">
        <f t="shared" si="62"/>
        <v>1183.2093670611043</v>
      </c>
      <c r="BI129" s="58">
        <f ca="1">AVERAGE(OFFSET($BH$3,0,0,'Données projet'!$E$11+1,1))-AVERAGE(OFFSET($H$3,0,0,'Données projet'!$E$11+1,1))</f>
        <v>724.99760740673071</v>
      </c>
      <c r="BJ129" s="58">
        <f t="shared" si="92"/>
        <v>318.24184272438208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41.592668844303617</v>
      </c>
      <c r="BQ129" s="21">
        <f>EXP(-LN(2)/25)*BQ128+(1-EXP(-LN(2)/25))/(LN(2)/25)*Calculateur!BL129*Calculateur!BN129*VLOOKUP('Données projet'!$B$11,Paramètres!$A$1:$I$89,3,0)*0.475*44/12</f>
        <v>25.966765640969406</v>
      </c>
      <c r="BR129" s="21">
        <f>EXP(-LN(2)/2)*BR128+(1-EXP(-LN(2)/2))/(LN(2)/2)*BL129*BO129*VLOOKUP('Données projet'!$B$11,Paramètres!$A$1:$I$89,3,0)*0.475*44/12</f>
        <v>2.8611096718888009</v>
      </c>
      <c r="BS129" s="22">
        <f t="shared" si="63"/>
        <v>70.420544157161814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9.0229999999999961</v>
      </c>
      <c r="BY129" s="12">
        <f>IF('Données projet'!$A$114&gt;35,BY128+BX129-CG128,IF(A129&lt;'Données projet'!$A$114,$BV$205^A129,IF(A129='Données projet'!$A$114,'Données projet'!$B$114,BY128+BX129-CG128)))</f>
        <v>412.09600000000069</v>
      </c>
      <c r="BZ129" s="13">
        <f>BY129*VLOOKUP('Données projet'!$B$12,Paramètres!$A$1:$I$89,3,0)*VLOOKUP('Données projet'!$B$12,Paramètres!$A$1:$I$89,5,0)</f>
        <v>392.15055360000065</v>
      </c>
      <c r="CA129" s="13">
        <f t="shared" si="93"/>
        <v>90.183479536071829</v>
      </c>
      <c r="CB129" s="20">
        <f t="shared" si="64"/>
        <v>840.06510771199294</v>
      </c>
      <c r="CC129" s="58">
        <f t="shared" si="65"/>
        <v>1129.3559217841619</v>
      </c>
      <c r="CD129" s="58">
        <f ca="1">AVERAGE(OFFSET($CC$3,0,0,'Données projet'!$E$12+1,1))-AVERAGE(OFFSET($H$3,0,0,'Données projet'!$E$12+1,1))</f>
        <v>684.45757350513315</v>
      </c>
      <c r="CE129" s="58">
        <f t="shared" si="94"/>
        <v>301.78148341369194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39.033119992346471</v>
      </c>
      <c r="CL129" s="21">
        <f>EXP(-LN(2)/25)*CL128+(1-EXP(-LN(2)/25))/(LN(2)/25)*Calculateur!CG129*Calculateur!CI129*VLOOKUP('Données projet'!$B$12,Paramètres!$A$1:$I$89,3,0)*0.475*44/12</f>
        <v>24.368810832294361</v>
      </c>
      <c r="CM129" s="21">
        <f>EXP(-LN(2)/2)*CM128+(1-EXP(-LN(2)/2))/(LN(2)/2)*CG129*CJ129*VLOOKUP('Données projet'!$B$12,Paramètres!$A$1:$I$89,3,0)*0.475*44/12</f>
        <v>2.6850413843879521</v>
      </c>
      <c r="CN129" s="22">
        <f t="shared" si="66"/>
        <v>66.086972209028787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8" t="e">
        <f t="shared" si="68"/>
        <v>#N/A</v>
      </c>
      <c r="CY129" s="58" t="e">
        <f ca="1">AVERAGE(OFFSET($CX$3,0,0,'Données projet'!$E$13+1,1))-AVERAGE(OFFSET($H$3,0,0,'Données projet'!$E$13+1,1))</f>
        <v>#N/A</v>
      </c>
      <c r="CZ129" s="58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8" t="e">
        <f t="shared" si="71"/>
        <v>#N/A</v>
      </c>
      <c r="DT129" s="58" t="e">
        <f ca="1">AVERAGE(OFFSET($DS$3,0,0,'Données projet'!$E$14+1,1))-AVERAGE(OFFSET($H$3,0,0,'Données projet'!$E$14+1,1))</f>
        <v>#N/A</v>
      </c>
      <c r="DU129" s="58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8" t="e">
        <f t="shared" si="74"/>
        <v>#N/A</v>
      </c>
      <c r="EO129" s="58" t="e">
        <f ca="1">AVERAGE(OFFSET($EN$3,0,0,'Données projet'!$E$15+1,1))-AVERAGE(OFFSET($H$3,0,0,'Données projet'!$E$15+1,1))</f>
        <v>#N/A</v>
      </c>
      <c r="EP129" s="58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8" t="e">
        <f t="shared" si="77"/>
        <v>#N/A</v>
      </c>
      <c r="FJ129" s="58" t="e">
        <f ca="1">AVERAGE(OFFSET($FI$3,0,0,'Données projet'!$E$16+1,1))-AVERAGE(OFFSET($H$3,0,0,'Données projet'!$E$16+1,1))</f>
        <v>#N/A</v>
      </c>
      <c r="FK129" s="58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8" t="e">
        <f t="shared" si="80"/>
        <v>#N/A</v>
      </c>
      <c r="GE129" s="58" t="e">
        <f ca="1">AVERAGE(OFFSET($GD$3,0,0,'Données projet'!$E$17+1,1))-AVERAGE(OFFSET($H$3,0,0,'Données projet'!$E$17+1,1))</f>
        <v>#N/A</v>
      </c>
      <c r="GF129" s="58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68.897494746955147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8" t="e">
        <f t="shared" si="83"/>
        <v>#N/A</v>
      </c>
      <c r="GZ129" s="58" t="e">
        <f ca="1">AVERAGE(OFFSET($GY$3,0,0,'Données projet'!$E$18+1,1))-AVERAGE(OFFSET($H$3,0,0,'Données projet'!$E$18+1,1))</f>
        <v>#N/A</v>
      </c>
      <c r="HA129" s="58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2">
        <f>'Scénario référence'!$B$16*5+'Scénario référence'!$B$17*0+'Scénario référence'!$B$18*5</f>
        <v>2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7.333333333333333</v>
      </c>
      <c r="H130" s="66">
        <f t="shared" si="56"/>
        <v>227.33333333333334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9.0229999999999961</v>
      </c>
      <c r="N130" s="13">
        <f>IF('Données projet'!$A$36&gt;35,N129+M130-V129,IF(A130&lt;'Données projet'!$A$36,$K$205^A130,IF(A130='Données projet'!$A$36,'Données projet'!$B$36,N129+M130-V129)))</f>
        <v>421.11900000000071</v>
      </c>
      <c r="O130" s="13">
        <f>N130*VLOOKUP('Données projet'!$B$9,Paramètres!$A$1:$I$89,3,0)*VLOOKUP('Données projet'!$B$9,Paramètres!$A$1:$I$89,5,0)</f>
        <v>381.02847120000064</v>
      </c>
      <c r="P130" s="13">
        <f t="shared" si="87"/>
        <v>87.919669823283783</v>
      </c>
      <c r="Q130" s="20">
        <f t="shared" si="107"/>
        <v>816.75134561555353</v>
      </c>
      <c r="R130" s="58">
        <f t="shared" si="55"/>
        <v>1106.1122883591845</v>
      </c>
      <c r="S130" s="58">
        <f ca="1">AVERAGE(OFFSET($R$3,0,0,'Données projet'!$E$9+1,1))-AVERAGE(OFFSET($H$3,0,0,'Données projet'!$E$9+1,1))</f>
        <v>654.0179680178212</v>
      </c>
      <c r="T130" s="58">
        <f t="shared" si="88"/>
        <v>289.42065570013369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36.385686072043235</v>
      </c>
      <c r="AA130" s="21">
        <f>EXP(-LN(2)/25)*AA129+(1-EXP(-LN(2)/25))/(LN(2)/25)*Calculateur!V130*Calculateur!X130*VLOOKUP('Données projet'!$B$9,Paramètres!$A$1:$I$89,3,0)*0.475*44/12</f>
        <v>22.536750430785936</v>
      </c>
      <c r="AB130" s="21">
        <f>EXP(-LN(2)/2)*AB129+(1-EXP(-LN(2)/2))/(LN(2)/2)*V130*Y130*VLOOKUP('Données projet'!$B$9,Paramètres!$A$1:$I$89,3,0)*0.475*44/12</f>
        <v>1.8052366606344215</v>
      </c>
      <c r="AC130" s="22">
        <f t="shared" si="57"/>
        <v>60.727673163463592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8">
        <f t="shared" si="59"/>
        <v>289.36094274363774</v>
      </c>
      <c r="AN130" s="58">
        <f ca="1">AVERAGE(OFFSET($AM$3,0,0,'Données projet'!$E$10+1,1))-AVERAGE(OFFSET($H$3,0,0,'Données projet'!$E$10+1,1))</f>
        <v>447.44638185108147</v>
      </c>
      <c r="AO130" s="58">
        <f t="shared" si="90"/>
        <v>384.84260115068605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69.940260065729987</v>
      </c>
      <c r="AV130" s="21">
        <f>EXP(-LN(2)/25)*AV129+(1-EXP(-LN(2)/25))/(LN(2)/25)*Calculateur!AQ130*Calculateur!AS130*VLOOKUP('Données projet'!$B$10,Paramètres!$A$1:$I$89,3,0)*0.475*44/12</f>
        <v>15.799484682174421</v>
      </c>
      <c r="AW130" s="21">
        <f>EXP(-LN(2)/2)*AW129+(1-EXP(-LN(2)/2))/(LN(2)/2)*AQ130*AT130*VLOOKUP('Données projet'!$B$10,Paramètres!$A$1:$I$89,3,0)*0.475*44/12</f>
        <v>1.9246029693141309E-6</v>
      </c>
      <c r="AX130" s="21">
        <f t="shared" si="60"/>
        <v>85.73974667250738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427.01466600000072</v>
      </c>
      <c r="BF130" s="13">
        <f t="shared" si="91"/>
        <v>97.232469323868258</v>
      </c>
      <c r="BG130" s="20">
        <f t="shared" si="61"/>
        <v>913.06376068907173</v>
      </c>
      <c r="BH130" s="58">
        <f t="shared" si="62"/>
        <v>1202.4247034327027</v>
      </c>
      <c r="BI130" s="58">
        <f ca="1">AVERAGE(OFFSET($BH$3,0,0,'Données projet'!$E$11+1,1))-AVERAGE(OFFSET($H$3,0,0,'Données projet'!$E$11+1,1))</f>
        <v>724.99760740673071</v>
      </c>
      <c r="BJ130" s="58">
        <f t="shared" si="92"/>
        <v>318.24184272438208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40.777061977289833</v>
      </c>
      <c r="BQ130" s="21">
        <f>EXP(-LN(2)/25)*BQ129+(1-EXP(-LN(2)/25))/(LN(2)/25)*Calculateur!BL130*Calculateur!BN130*VLOOKUP('Données projet'!$B$11,Paramètres!$A$1:$I$89,3,0)*0.475*44/12</f>
        <v>25.25670306898424</v>
      </c>
      <c r="BR130" s="21">
        <f>EXP(-LN(2)/2)*BR129+(1-EXP(-LN(2)/2))/(LN(2)/2)*BL130*BO130*VLOOKUP('Données projet'!$B$11,Paramètres!$A$1:$I$89,3,0)*0.475*44/12</f>
        <v>2.0231100507109891</v>
      </c>
      <c r="BS130" s="22">
        <f t="shared" si="63"/>
        <v>68.056875096985053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9.0229999999999961</v>
      </c>
      <c r="BY130" s="12">
        <f>IF('Données projet'!$A$114&gt;35,BY129+BX130-CG129,IF(A130&lt;'Données projet'!$A$114,$BV$205^A130,IF(A130='Données projet'!$A$114,'Données projet'!$B$114,BY129+BX130-CG129)))</f>
        <v>421.11900000000071</v>
      </c>
      <c r="BZ130" s="13">
        <f>BY130*VLOOKUP('Données projet'!$B$12,Paramètres!$A$1:$I$89,3,0)*VLOOKUP('Données projet'!$B$12,Paramètres!$A$1:$I$89,5,0)</f>
        <v>400.73684040000069</v>
      </c>
      <c r="CA130" s="13">
        <f t="shared" si="93"/>
        <v>91.92603229997124</v>
      </c>
      <c r="CB130" s="20">
        <f t="shared" si="64"/>
        <v>858.05450328578445</v>
      </c>
      <c r="CC130" s="58">
        <f t="shared" si="65"/>
        <v>1147.4154460294153</v>
      </c>
      <c r="CD130" s="58">
        <f ca="1">AVERAGE(OFFSET($CC$3,0,0,'Données projet'!$E$12+1,1))-AVERAGE(OFFSET($H$3,0,0,'Données projet'!$E$12+1,1))</f>
        <v>684.45757350513315</v>
      </c>
      <c r="CE130" s="58">
        <f t="shared" si="94"/>
        <v>301.78148341369194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38.267704317148919</v>
      </c>
      <c r="CL130" s="21">
        <f>EXP(-LN(2)/25)*CL129+(1-EXP(-LN(2)/25))/(LN(2)/25)*Calculateur!CG130*Calculateur!CI130*VLOOKUP('Données projet'!$B$12,Paramètres!$A$1:$I$89,3,0)*0.475*44/12</f>
        <v>23.702444418585205</v>
      </c>
      <c r="CM130" s="21">
        <f>EXP(-LN(2)/2)*CM129+(1-EXP(-LN(2)/2))/(LN(2)/2)*CG130*CJ130*VLOOKUP('Données projet'!$B$12,Paramètres!$A$1:$I$89,3,0)*0.475*44/12</f>
        <v>1.8986109706672365</v>
      </c>
      <c r="CN130" s="22">
        <f t="shared" si="66"/>
        <v>63.868759706401363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8" t="e">
        <f t="shared" si="68"/>
        <v>#N/A</v>
      </c>
      <c r="CY130" s="58" t="e">
        <f ca="1">AVERAGE(OFFSET($CX$3,0,0,'Données projet'!$E$13+1,1))-AVERAGE(OFFSET($H$3,0,0,'Données projet'!$E$13+1,1))</f>
        <v>#N/A</v>
      </c>
      <c r="CZ130" s="58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8" t="e">
        <f t="shared" si="71"/>
        <v>#N/A</v>
      </c>
      <c r="DT130" s="58" t="e">
        <f ca="1">AVERAGE(OFFSET($DS$3,0,0,'Données projet'!$E$14+1,1))-AVERAGE(OFFSET($H$3,0,0,'Données projet'!$E$14+1,1))</f>
        <v>#N/A</v>
      </c>
      <c r="DU130" s="58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8" t="e">
        <f t="shared" si="74"/>
        <v>#N/A</v>
      </c>
      <c r="EO130" s="58" t="e">
        <f ca="1">AVERAGE(OFFSET($EN$3,0,0,'Données projet'!$E$15+1,1))-AVERAGE(OFFSET($H$3,0,0,'Données projet'!$E$15+1,1))</f>
        <v>#N/A</v>
      </c>
      <c r="EP130" s="58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8" t="e">
        <f t="shared" si="77"/>
        <v>#N/A</v>
      </c>
      <c r="FJ130" s="58" t="e">
        <f ca="1">AVERAGE(OFFSET($FI$3,0,0,'Données projet'!$E$16+1,1))-AVERAGE(OFFSET($H$3,0,0,'Données projet'!$E$16+1,1))</f>
        <v>#N/A</v>
      </c>
      <c r="FK130" s="58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8" t="e">
        <f t="shared" si="80"/>
        <v>#N/A</v>
      </c>
      <c r="GE130" s="58" t="e">
        <f ca="1">AVERAGE(OFFSET($GD$3,0,0,'Données projet'!$E$17+1,1))-AVERAGE(OFFSET($H$3,0,0,'Données projet'!$E$17+1,1))</f>
        <v>#N/A</v>
      </c>
      <c r="GF130" s="58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68.916620748262986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8" t="e">
        <f t="shared" si="83"/>
        <v>#N/A</v>
      </c>
      <c r="GZ130" s="58" t="e">
        <f ca="1">AVERAGE(OFFSET($GY$3,0,0,'Données projet'!$E$18+1,1))-AVERAGE(OFFSET($H$3,0,0,'Données projet'!$E$18+1,1))</f>
        <v>#N/A</v>
      </c>
      <c r="HA130" s="58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2">
        <f>'Scénario référence'!$B$16*5+'Scénario référence'!$B$17*0+'Scénario référence'!$B$18*5</f>
        <v>2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7.333333333333333</v>
      </c>
      <c r="H131" s="66">
        <f t="shared" si="56"/>
        <v>227.33333333333334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9.0229999999999961</v>
      </c>
      <c r="N131" s="13">
        <f>IF('Données projet'!$A$36&gt;35,N130+M131-V130,IF(A131&lt;'Données projet'!$A$36,$K$205^A131,IF(A131='Données projet'!$A$36,'Données projet'!$B$36,N130+M131-V130)))</f>
        <v>430.14200000000073</v>
      </c>
      <c r="O131" s="13">
        <f>N131*VLOOKUP('Données projet'!$B$9,Paramètres!$A$1:$I$89,3,0)*VLOOKUP('Données projet'!$B$9,Paramètres!$A$1:$I$89,5,0)</f>
        <v>389.19248160000063</v>
      </c>
      <c r="P131" s="13">
        <f t="shared" si="87"/>
        <v>89.582126151232899</v>
      </c>
      <c r="Q131" s="20">
        <f t="shared" ref="Q131:Q153" si="108">(O131+P131)*0.475*44/12</f>
        <v>833.86577516673162</v>
      </c>
      <c r="R131" s="58">
        <f t="shared" ref="R131:R194" si="109">Q131+(I131+J131)*44/12</f>
        <v>1123.2956300061589</v>
      </c>
      <c r="S131" s="58">
        <f ca="1">AVERAGE(OFFSET($R$3,0,0,'Données projet'!$E$9+1,1))-AVERAGE(OFFSET($H$3,0,0,'Données projet'!$E$9+1,1))</f>
        <v>654.0179680178212</v>
      </c>
      <c r="T131" s="58">
        <f t="shared" si="88"/>
        <v>289.42065570013369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35.672184961247588</v>
      </c>
      <c r="AA131" s="21">
        <f>EXP(-LN(2)/25)*AA130+(1-EXP(-LN(2)/25))/(LN(2)/25)*Calculateur!V131*Calculateur!X131*VLOOKUP('Données projet'!$B$9,Paramètres!$A$1:$I$89,3,0)*0.475*44/12</f>
        <v>21.920481805099897</v>
      </c>
      <c r="AB131" s="21">
        <f>EXP(-LN(2)/2)*AB130+(1-EXP(-LN(2)/2))/(LN(2)/2)*V131*Y131*VLOOKUP('Données projet'!$B$9,Paramètres!$A$1:$I$89,3,0)*0.475*44/12</f>
        <v>1.2764950843811578</v>
      </c>
      <c r="AC131" s="22">
        <f t="shared" si="57"/>
        <v>58.869161850728645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8">
        <f t="shared" si="59"/>
        <v>289.4298548394342</v>
      </c>
      <c r="AN131" s="58">
        <f ca="1">AVERAGE(OFFSET($AM$3,0,0,'Données projet'!$E$10+1,1))-AVERAGE(OFFSET($H$3,0,0,'Données projet'!$E$10+1,1))</f>
        <v>447.44638185108147</v>
      </c>
      <c r="AO131" s="58">
        <f t="shared" si="90"/>
        <v>384.84260115068605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68.568774225187397</v>
      </c>
      <c r="AV131" s="21">
        <f>EXP(-LN(2)/25)*AV130+(1-EXP(-LN(2)/25))/(LN(2)/25)*Calculateur!AQ131*Calculateur!AS131*VLOOKUP('Données projet'!$B$10,Paramètres!$A$1:$I$89,3,0)*0.475*44/12</f>
        <v>15.367446942681573</v>
      </c>
      <c r="AW131" s="21">
        <f>EXP(-LN(2)/2)*AW130+(1-EXP(-LN(2)/2))/(LN(2)/2)*AQ131*AT131*VLOOKUP('Données projet'!$B$10,Paramètres!$A$1:$I$89,3,0)*0.475*44/12</f>
        <v>1.3608998106937868E-6</v>
      </c>
      <c r="AX131" s="21">
        <f t="shared" si="60"/>
        <v>83.936222528768781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436.16398800000076</v>
      </c>
      <c r="BF131" s="13">
        <f t="shared" si="91"/>
        <v>99.071019607718114</v>
      </c>
      <c r="BG131" s="20">
        <f t="shared" si="61"/>
        <v>932.20097158344367</v>
      </c>
      <c r="BH131" s="58">
        <f t="shared" si="62"/>
        <v>1221.630826422871</v>
      </c>
      <c r="BI131" s="58">
        <f ca="1">AVERAGE(OFFSET($BH$3,0,0,'Données projet'!$E$11+1,1))-AVERAGE(OFFSET($H$3,0,0,'Données projet'!$E$11+1,1))</f>
        <v>724.99760740673071</v>
      </c>
      <c r="BJ131" s="58">
        <f t="shared" si="92"/>
        <v>318.24184272438208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39.977448663467122</v>
      </c>
      <c r="BQ131" s="21">
        <f>EXP(-LN(2)/25)*BQ130+(1-EXP(-LN(2)/25))/(LN(2)/25)*Calculateur!BL131*Calculateur!BN131*VLOOKUP('Données projet'!$B$11,Paramètres!$A$1:$I$89,3,0)*0.475*44/12</f>
        <v>24.566057195370576</v>
      </c>
      <c r="BR131" s="21">
        <f>EXP(-LN(2)/2)*BR130+(1-EXP(-LN(2)/2))/(LN(2)/2)*BL131*BO131*VLOOKUP('Données projet'!$B$11,Paramètres!$A$1:$I$89,3,0)*0.475*44/12</f>
        <v>1.4305548359444005</v>
      </c>
      <c r="BS131" s="22">
        <f t="shared" si="63"/>
        <v>65.974060694782111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9.0229999999999961</v>
      </c>
      <c r="BY131" s="12">
        <f>IF('Données projet'!$A$114&gt;35,BY130+BX131-CG130,IF(A131&lt;'Données projet'!$A$114,$BV$205^A131,IF(A131='Données projet'!$A$114,'Données projet'!$B$114,BY130+BX131-CG130)))</f>
        <v>430.14200000000073</v>
      </c>
      <c r="BZ131" s="13">
        <f>BY131*VLOOKUP('Données projet'!$B$12,Paramètres!$A$1:$I$89,3,0)*VLOOKUP('Données projet'!$B$12,Paramètres!$A$1:$I$89,5,0)</f>
        <v>409.32312720000073</v>
      </c>
      <c r="CA131" s="13">
        <f t="shared" si="93"/>
        <v>93.66424417460081</v>
      </c>
      <c r="CB131" s="20">
        <f t="shared" si="64"/>
        <v>876.03633847743095</v>
      </c>
      <c r="CC131" s="58">
        <f t="shared" si="65"/>
        <v>1165.4661933168584</v>
      </c>
      <c r="CD131" s="58">
        <f ca="1">AVERAGE(OFFSET($CC$3,0,0,'Données projet'!$E$12+1,1))-AVERAGE(OFFSET($H$3,0,0,'Données projet'!$E$12+1,1))</f>
        <v>684.45757350513315</v>
      </c>
      <c r="CE131" s="58">
        <f t="shared" si="94"/>
        <v>301.78148341369194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37.517297976484528</v>
      </c>
      <c r="CL131" s="21">
        <f>EXP(-LN(2)/25)*CL130+(1-EXP(-LN(2)/25))/(LN(2)/25)*Calculateur!CG131*Calculateur!CI131*VLOOKUP('Données projet'!$B$12,Paramètres!$A$1:$I$89,3,0)*0.475*44/12</f>
        <v>23.054299829501613</v>
      </c>
      <c r="CM131" s="21">
        <f>EXP(-LN(2)/2)*CM130+(1-EXP(-LN(2)/2))/(LN(2)/2)*CG131*CJ131*VLOOKUP('Données projet'!$B$12,Paramètres!$A$1:$I$89,3,0)*0.475*44/12</f>
        <v>1.3425206921939763</v>
      </c>
      <c r="CN131" s="22">
        <f t="shared" si="66"/>
        <v>61.914118498180123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8" t="e">
        <f t="shared" si="68"/>
        <v>#N/A</v>
      </c>
      <c r="CY131" s="58" t="e">
        <f ca="1">AVERAGE(OFFSET($CX$3,0,0,'Données projet'!$E$13+1,1))-AVERAGE(OFFSET($H$3,0,0,'Données projet'!$E$13+1,1))</f>
        <v>#N/A</v>
      </c>
      <c r="CZ131" s="58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8" t="e">
        <f t="shared" si="71"/>
        <v>#N/A</v>
      </c>
      <c r="DT131" s="58" t="e">
        <f ca="1">AVERAGE(OFFSET($DS$3,0,0,'Données projet'!$E$14+1,1))-AVERAGE(OFFSET($H$3,0,0,'Données projet'!$E$14+1,1))</f>
        <v>#N/A</v>
      </c>
      <c r="DU131" s="58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8" t="e">
        <f t="shared" si="74"/>
        <v>#N/A</v>
      </c>
      <c r="EO131" s="58" t="e">
        <f ca="1">AVERAGE(OFFSET($EN$3,0,0,'Données projet'!$E$15+1,1))-AVERAGE(OFFSET($H$3,0,0,'Données projet'!$E$15+1,1))</f>
        <v>#N/A</v>
      </c>
      <c r="EP131" s="58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8" t="e">
        <f t="shared" si="77"/>
        <v>#N/A</v>
      </c>
      <c r="FJ131" s="58" t="e">
        <f ca="1">AVERAGE(OFFSET($FI$3,0,0,'Données projet'!$E$16+1,1))-AVERAGE(OFFSET($H$3,0,0,'Données projet'!$E$16+1,1))</f>
        <v>#N/A</v>
      </c>
      <c r="FK131" s="58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8" t="e">
        <f t="shared" si="80"/>
        <v>#N/A</v>
      </c>
      <c r="GE131" s="58" t="e">
        <f ca="1">AVERAGE(OFFSET($GD$3,0,0,'Données projet'!$E$17+1,1))-AVERAGE(OFFSET($H$3,0,0,'Données projet'!$E$17+1,1))</f>
        <v>#N/A</v>
      </c>
      <c r="GF131" s="58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68.935414956207467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8" t="e">
        <f t="shared" si="83"/>
        <v>#N/A</v>
      </c>
      <c r="GZ131" s="58" t="e">
        <f ca="1">AVERAGE(OFFSET($GY$3,0,0,'Données projet'!$E$18+1,1))-AVERAGE(OFFSET($H$3,0,0,'Données projet'!$E$18+1,1))</f>
        <v>#N/A</v>
      </c>
      <c r="HA131" s="58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2">
        <f>'Scénario référence'!$B$16*5+'Scénario référence'!$B$17*0+'Scénario référence'!$B$18*5</f>
        <v>2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7.333333333333333</v>
      </c>
      <c r="H132" s="66">
        <f t="shared" ref="H132:H195" si="110">(B132+E132+F132)*44/12+(C132+D132)*0.475*44/12</f>
        <v>227.33333333333334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9.0229999999999961</v>
      </c>
      <c r="N132" s="13">
        <f>IF('Données projet'!$A$36&gt;35,N131+M132-V131,IF(A132&lt;'Données projet'!$A$36,$K$205^A132,IF(A132='Données projet'!$A$36,'Données projet'!$B$36,N131+M132-V131)))</f>
        <v>439.16500000000076</v>
      </c>
      <c r="O132" s="13">
        <f>N132*VLOOKUP('Données projet'!$B$9,Paramètres!$A$1:$I$89,3,0)*VLOOKUP('Données projet'!$B$9,Paramètres!$A$1:$I$89,5,0)</f>
        <v>397.35649200000069</v>
      </c>
      <c r="P132" s="13">
        <f t="shared" si="87"/>
        <v>91.240527898934658</v>
      </c>
      <c r="Q132" s="20">
        <f t="shared" si="108"/>
        <v>850.97314299064567</v>
      </c>
      <c r="R132" s="58">
        <f t="shared" si="109"/>
        <v>1140.4707144550719</v>
      </c>
      <c r="S132" s="58">
        <f ca="1">AVERAGE(OFFSET($R$3,0,0,'Données projet'!$E$9+1,1))-AVERAGE(OFFSET($H$3,0,0,'Données projet'!$E$9+1,1))</f>
        <v>654.0179680178212</v>
      </c>
      <c r="T132" s="58">
        <f t="shared" si="88"/>
        <v>289.42065570013369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34.972675172041939</v>
      </c>
      <c r="AA132" s="21">
        <f>EXP(-LN(2)/25)*AA131+(1-EXP(-LN(2)/25))/(LN(2)/25)*Calculateur!V132*Calculateur!X132*VLOOKUP('Données projet'!$B$9,Paramètres!$A$1:$I$89,3,0)*0.475*44/12</f>
        <v>21.321065077391403</v>
      </c>
      <c r="AB132" s="21">
        <f>EXP(-LN(2)/2)*AB131+(1-EXP(-LN(2)/2))/(LN(2)/2)*V132*Y132*VLOOKUP('Données projet'!$B$9,Paramètres!$A$1:$I$89,3,0)*0.475*44/12</f>
        <v>0.90261833031721095</v>
      </c>
      <c r="AC132" s="22">
        <f t="shared" ref="AC132:AC153" si="111">SUM(Z132:AB132)</f>
        <v>57.196358579750552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8">
        <f t="shared" ref="AM132:AM195" si="113">AL132+(AD132+AE132)*44/12</f>
        <v>289.49757146443295</v>
      </c>
      <c r="AN132" s="58">
        <f ca="1">AVERAGE(OFFSET($AM$3,0,0,'Données projet'!$E$10+1,1))-AVERAGE(OFFSET($H$3,0,0,'Données projet'!$E$10+1,1))</f>
        <v>447.44638185108147</v>
      </c>
      <c r="AO132" s="58">
        <f t="shared" si="90"/>
        <v>384.84260115068605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67.224182385454085</v>
      </c>
      <c r="AV132" s="21">
        <f>EXP(-LN(2)/25)*AV131+(1-EXP(-LN(2)/25))/(LN(2)/25)*Calculateur!AQ132*Calculateur!AS132*VLOOKUP('Données projet'!$B$10,Paramètres!$A$1:$I$89,3,0)*0.475*44/12</f>
        <v>14.947223297895034</v>
      </c>
      <c r="AW132" s="21">
        <f>EXP(-LN(2)/2)*AW131+(1-EXP(-LN(2)/2))/(LN(2)/2)*AQ132*AT132*VLOOKUP('Données projet'!$B$10,Paramètres!$A$1:$I$89,3,0)*0.475*44/12</f>
        <v>9.6230148465706544E-7</v>
      </c>
      <c r="AX132" s="21">
        <f t="shared" ref="AX132:AX153" si="114">SUM(AU132:AW132)</f>
        <v>82.171406645650606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445.3133100000008</v>
      </c>
      <c r="BF132" s="13">
        <f t="shared" si="91"/>
        <v>100.90508583412877</v>
      </c>
      <c r="BG132" s="20">
        <f t="shared" ref="BG132:BG153" si="115">(BE132+BF132)*0.475*44/12</f>
        <v>951.33037274444223</v>
      </c>
      <c r="BH132" s="58">
        <f t="shared" ref="BH132:BH195" si="116">BG132+(AY132+AZ132)*44/12</f>
        <v>1240.8279442088683</v>
      </c>
      <c r="BI132" s="58">
        <f ca="1">AVERAGE(OFFSET($BH$3,0,0,'Données projet'!$E$11+1,1))-AVERAGE(OFFSET($H$3,0,0,'Données projet'!$E$11+1,1))</f>
        <v>724.99760740673071</v>
      </c>
      <c r="BJ132" s="58">
        <f t="shared" si="92"/>
        <v>318.24184272438208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39.193515279012516</v>
      </c>
      <c r="BQ132" s="21">
        <f>EXP(-LN(2)/25)*BQ131+(1-EXP(-LN(2)/25))/(LN(2)/25)*Calculateur!BL132*Calculateur!BN132*VLOOKUP('Données projet'!$B$11,Paramètres!$A$1:$I$89,3,0)*0.475*44/12</f>
        <v>23.894297069490367</v>
      </c>
      <c r="BR132" s="21">
        <f>EXP(-LN(2)/2)*BR131+(1-EXP(-LN(2)/2))/(LN(2)/2)*BL132*BO132*VLOOKUP('Données projet'!$B$11,Paramètres!$A$1:$I$89,3,0)*0.475*44/12</f>
        <v>1.0115550253554946</v>
      </c>
      <c r="BS132" s="22">
        <f t="shared" ref="BS132:BS153" si="117">SUM(BP132:BR132)</f>
        <v>64.099367373858371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9.0229999999999961</v>
      </c>
      <c r="BY132" s="12">
        <f>IF('Données projet'!$A$114&gt;35,BY131+BX132-CG131,IF(A132&lt;'Données projet'!$A$114,$BV$205^A132,IF(A132='Données projet'!$A$114,'Données projet'!$B$114,BY131+BX132-CG131)))</f>
        <v>439.16500000000076</v>
      </c>
      <c r="BZ132" s="13">
        <f>BY132*VLOOKUP('Données projet'!$B$12,Paramètres!$A$1:$I$89,3,0)*VLOOKUP('Données projet'!$B$12,Paramètres!$A$1:$I$89,5,0)</f>
        <v>417.90941400000071</v>
      </c>
      <c r="CA132" s="13">
        <f t="shared" si="93"/>
        <v>95.398216708073406</v>
      </c>
      <c r="CB132" s="20">
        <f t="shared" ref="CB132:CB153" si="118">(BZ132+CA132)*0.475*44/12</f>
        <v>894.0107901498958</v>
      </c>
      <c r="CC132" s="58">
        <f t="shared" ref="CC132:CC195" si="119">CB132+(BT132+BU132)*44/12</f>
        <v>1183.508361614322</v>
      </c>
      <c r="CD132" s="58">
        <f ca="1">AVERAGE(OFFSET($CC$3,0,0,'Données projet'!$E$12+1,1))-AVERAGE(OFFSET($H$3,0,0,'Données projet'!$E$12+1,1))</f>
        <v>684.45757350513315</v>
      </c>
      <c r="CE132" s="58">
        <f t="shared" si="94"/>
        <v>301.78148341369194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36.781606646457895</v>
      </c>
      <c r="CL132" s="21">
        <f>EXP(-LN(2)/25)*CL131+(1-EXP(-LN(2)/25))/(LN(2)/25)*Calculateur!CG132*Calculateur!CI132*VLOOKUP('Données projet'!$B$12,Paramètres!$A$1:$I$89,3,0)*0.475*44/12</f>
        <v>22.423878788290953</v>
      </c>
      <c r="CM132" s="21">
        <f>EXP(-LN(2)/2)*CM131+(1-EXP(-LN(2)/2))/(LN(2)/2)*CG132*CJ132*VLOOKUP('Données projet'!$B$12,Paramètres!$A$1:$I$89,3,0)*0.475*44/12</f>
        <v>0.94930548533361836</v>
      </c>
      <c r="CN132" s="22">
        <f t="shared" ref="CN132:CN153" si="120">SUM(CK132:CM132)</f>
        <v>60.154790920082469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8" t="e">
        <f t="shared" ref="CX132:CX195" si="122">CW132+(CO132+CP132)*44/12</f>
        <v>#N/A</v>
      </c>
      <c r="CY132" s="58" t="e">
        <f ca="1">AVERAGE(OFFSET($CX$3,0,0,'Données projet'!$E$13+1,1))-AVERAGE(OFFSET($H$3,0,0,'Données projet'!$E$13+1,1))</f>
        <v>#N/A</v>
      </c>
      <c r="CZ132" s="58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8" t="e">
        <f t="shared" ref="DS132:DS195" si="125">DR132+(DJ132+DK132)*44/12</f>
        <v>#N/A</v>
      </c>
      <c r="DT132" s="58" t="e">
        <f ca="1">AVERAGE(OFFSET($DS$3,0,0,'Données projet'!$E$14+1,1))-AVERAGE(OFFSET($H$3,0,0,'Données projet'!$E$14+1,1))</f>
        <v>#N/A</v>
      </c>
      <c r="DU132" s="58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8" t="e">
        <f t="shared" ref="EN132:EN195" si="128">EM132+(EE132+EF132)*44/12</f>
        <v>#N/A</v>
      </c>
      <c r="EO132" s="58" t="e">
        <f ca="1">AVERAGE(OFFSET($EN$3,0,0,'Données projet'!$E$15+1,1))-AVERAGE(OFFSET($H$3,0,0,'Données projet'!$E$15+1,1))</f>
        <v>#N/A</v>
      </c>
      <c r="EP132" s="58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8" t="e">
        <f t="shared" ref="FI132:FI195" si="131">FH132+(EZ132+FA132)*44/12</f>
        <v>#N/A</v>
      </c>
      <c r="FJ132" s="58" t="e">
        <f ca="1">AVERAGE(OFFSET($FI$3,0,0,'Données projet'!$E$16+1,1))-AVERAGE(OFFSET($H$3,0,0,'Données projet'!$E$16+1,1))</f>
        <v>#N/A</v>
      </c>
      <c r="FK132" s="58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8" t="e">
        <f t="shared" ref="GD132:GD195" si="134">GC132+(FU132+FV132)*44/12</f>
        <v>#N/A</v>
      </c>
      <c r="GE132" s="58" t="e">
        <f ca="1">AVERAGE(OFFSET($GD$3,0,0,'Données projet'!$E$17+1,1))-AVERAGE(OFFSET($H$3,0,0,'Données projet'!$E$17+1,1))</f>
        <v>#N/A</v>
      </c>
      <c r="GF132" s="58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68.95388312666168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8" t="e">
        <f t="shared" ref="GY132:GY195" si="137">GX132+(GP132+GQ132)*44/12</f>
        <v>#N/A</v>
      </c>
      <c r="GZ132" s="58" t="e">
        <f ca="1">AVERAGE(OFFSET($GY$3,0,0,'Données projet'!$E$18+1,1))-AVERAGE(OFFSET($H$3,0,0,'Données projet'!$E$18+1,1))</f>
        <v>#N/A</v>
      </c>
      <c r="HA132" s="58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2">
        <f>'Scénario référence'!$B$16*5+'Scénario référence'!$B$17*0+'Scénario référence'!$B$18*5</f>
        <v>2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7.333333333333333</v>
      </c>
      <c r="H133" s="66">
        <f t="shared" si="110"/>
        <v>227.33333333333334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9.0229999999999961</v>
      </c>
      <c r="N133" s="13">
        <f>IF('Données projet'!$A$36&gt;35,N132+M133-V132,IF(A133&lt;'Données projet'!$A$36,$K$205^A133,IF(A133='Données projet'!$A$36,'Données projet'!$B$36,N132+M133-V132)))</f>
        <v>448.18800000000078</v>
      </c>
      <c r="O133" s="13">
        <f>N133*VLOOKUP('Données projet'!$B$9,Paramètres!$A$1:$I$89,3,0)*VLOOKUP('Données projet'!$B$9,Paramètres!$A$1:$I$89,5,0)</f>
        <v>405.52050240000068</v>
      </c>
      <c r="P133" s="13">
        <f t="shared" ref="P133:P196" si="141">EXP(-1.0587+0.8836*LN(O133)+0.284)</f>
        <v>92.894967969753338</v>
      </c>
      <c r="Q133" s="20">
        <f t="shared" si="108"/>
        <v>868.07361089398819</v>
      </c>
      <c r="R133" s="58">
        <f t="shared" si="109"/>
        <v>1157.6377242513611</v>
      </c>
      <c r="S133" s="58">
        <f ca="1">AVERAGE(OFFSET($R$3,0,0,'Données projet'!$E$9+1,1))-AVERAGE(OFFSET($H$3,0,0,'Données projet'!$E$9+1,1))</f>
        <v>654.0179680178212</v>
      </c>
      <c r="T133" s="58">
        <f t="shared" ref="T133:T196" si="142">$T$3</f>
        <v>289.42065570013369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34.286882343143766</v>
      </c>
      <c r="AA133" s="21">
        <f>EXP(-LN(2)/25)*AA132+(1-EXP(-LN(2)/25))/(LN(2)/25)*Calculateur!V133*Calculateur!X133*VLOOKUP('Données projet'!$B$9,Paramètres!$A$1:$I$89,3,0)*0.475*44/12</f>
        <v>20.738039431624053</v>
      </c>
      <c r="AB133" s="21">
        <f>EXP(-LN(2)/2)*AB132+(1-EXP(-LN(2)/2))/(LN(2)/2)*V133*Y133*VLOOKUP('Données projet'!$B$9,Paramètres!$A$1:$I$89,3,0)*0.475*44/12</f>
        <v>0.638247542190579</v>
      </c>
      <c r="AC133" s="22">
        <f t="shared" si="111"/>
        <v>55.663169316958395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8">
        <f t="shared" si="113"/>
        <v>289.56411335737965</v>
      </c>
      <c r="AN133" s="58">
        <f ca="1">AVERAGE(OFFSET($AM$3,0,0,'Données projet'!$E$10+1,1))-AVERAGE(OFFSET($H$3,0,0,'Données projet'!$E$10+1,1))</f>
        <v>447.44638185108147</v>
      </c>
      <c r="AO133" s="58">
        <f t="shared" ref="AO133:AO196" si="144">$AO$3</f>
        <v>384.84260115068605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65.90595717157791</v>
      </c>
      <c r="AV133" s="21">
        <f>EXP(-LN(2)/25)*AV132+(1-EXP(-LN(2)/25))/(LN(2)/25)*Calculateur!AQ133*Calculateur!AS133*VLOOKUP('Données projet'!$B$10,Paramètres!$A$1:$I$89,3,0)*0.475*44/12</f>
        <v>14.538490690773784</v>
      </c>
      <c r="AW133" s="21">
        <f>EXP(-LN(2)/2)*AW132+(1-EXP(-LN(2)/2))/(LN(2)/2)*AQ133*AT133*VLOOKUP('Données projet'!$B$10,Paramètres!$A$1:$I$89,3,0)*0.475*44/12</f>
        <v>6.804499053468934E-7</v>
      </c>
      <c r="AX133" s="21">
        <f t="shared" si="114"/>
        <v>80.444448542801595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454.46263200000084</v>
      </c>
      <c r="BF133" s="13">
        <f t="shared" ref="BF133:BF153" si="145">EXP(-1.0587+0.8836*LN(BE133)+0.284)</f>
        <v>102.73477074715666</v>
      </c>
      <c r="BG133" s="20">
        <f t="shared" si="115"/>
        <v>970.45214311796599</v>
      </c>
      <c r="BH133" s="58">
        <f t="shared" si="116"/>
        <v>1260.0162564753389</v>
      </c>
      <c r="BI133" s="58">
        <f ca="1">AVERAGE(OFFSET($BH$3,0,0,'Données projet'!$E$11+1,1))-AVERAGE(OFFSET($H$3,0,0,'Données projet'!$E$11+1,1))</f>
        <v>724.99760740673071</v>
      </c>
      <c r="BJ133" s="58">
        <f t="shared" ref="BJ133:BJ196" si="146">$BJ$3</f>
        <v>318.24184272438208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38.424954350074913</v>
      </c>
      <c r="BQ133" s="21">
        <f>EXP(-LN(2)/25)*BQ132+(1-EXP(-LN(2)/25))/(LN(2)/25)*Calculateur!BL133*Calculateur!BN133*VLOOKUP('Données projet'!$B$11,Paramètres!$A$1:$I$89,3,0)*0.475*44/12</f>
        <v>23.240906259578683</v>
      </c>
      <c r="BR133" s="21">
        <f>EXP(-LN(2)/2)*BR132+(1-EXP(-LN(2)/2))/(LN(2)/2)*BL133*BO133*VLOOKUP('Données projet'!$B$11,Paramètres!$A$1:$I$89,3,0)*0.475*44/12</f>
        <v>0.71527741797220024</v>
      </c>
      <c r="BS133" s="22">
        <f t="shared" si="117"/>
        <v>62.381138027625795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9.0229999999999961</v>
      </c>
      <c r="BY133" s="12">
        <f>IF('Données projet'!$A$114&gt;35,BY132+BX133-CG132,IF(A133&lt;'Données projet'!$A$114,$BV$205^A133,IF(A133='Données projet'!$A$114,'Données projet'!$B$114,BY132+BX133-CG132)))</f>
        <v>448.18800000000078</v>
      </c>
      <c r="BZ133" s="13">
        <f>BY133*VLOOKUP('Données projet'!$B$12,Paramètres!$A$1:$I$89,3,0)*VLOOKUP('Données projet'!$B$12,Paramètres!$A$1:$I$89,5,0)</f>
        <v>426.49570080000069</v>
      </c>
      <c r="CA133" s="13">
        <f t="shared" ref="CA133:CA153" si="147">EXP(-1.0587+0.8836*LN(BZ133)+0.284)</f>
        <v>97.128047037215154</v>
      </c>
      <c r="CB133" s="20">
        <f t="shared" si="118"/>
        <v>911.97802748315098</v>
      </c>
      <c r="CC133" s="58">
        <f t="shared" si="119"/>
        <v>1201.5421408405239</v>
      </c>
      <c r="CD133" s="58">
        <f ca="1">AVERAGE(OFFSET($CC$3,0,0,'Données projet'!$E$12+1,1))-AVERAGE(OFFSET($H$3,0,0,'Données projet'!$E$12+1,1))</f>
        <v>684.45757350513315</v>
      </c>
      <c r="CE133" s="58">
        <f t="shared" ref="CE133:CE196" si="148">$CE$3</f>
        <v>301.78148341369194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36.060341774685682</v>
      </c>
      <c r="CL133" s="21">
        <f>EXP(-LN(2)/25)*CL132+(1-EXP(-LN(2)/25))/(LN(2)/25)*Calculateur!CG133*Calculateur!CI133*VLOOKUP('Données projet'!$B$12,Paramètres!$A$1:$I$89,3,0)*0.475*44/12</f>
        <v>21.810696643604601</v>
      </c>
      <c r="CM133" s="21">
        <f>EXP(-LN(2)/2)*CM132+(1-EXP(-LN(2)/2))/(LN(2)/2)*CG133*CJ133*VLOOKUP('Données projet'!$B$12,Paramètres!$A$1:$I$89,3,0)*0.475*44/12</f>
        <v>0.67126034609698826</v>
      </c>
      <c r="CN133" s="22">
        <f t="shared" si="120"/>
        <v>58.542298764387269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8" t="e">
        <f t="shared" si="122"/>
        <v>#N/A</v>
      </c>
      <c r="CY133" s="58" t="e">
        <f ca="1">AVERAGE(OFFSET($CX$3,0,0,'Données projet'!$E$13+1,1))-AVERAGE(OFFSET($H$3,0,0,'Données projet'!$E$13+1,1))</f>
        <v>#N/A</v>
      </c>
      <c r="CZ133" s="58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8" t="e">
        <f t="shared" si="125"/>
        <v>#N/A</v>
      </c>
      <c r="DT133" s="58" t="e">
        <f ca="1">AVERAGE(OFFSET($DS$3,0,0,'Données projet'!$E$14+1,1))-AVERAGE(OFFSET($H$3,0,0,'Données projet'!$E$14+1,1))</f>
        <v>#N/A</v>
      </c>
      <c r="DU133" s="58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8" t="e">
        <f t="shared" si="128"/>
        <v>#N/A</v>
      </c>
      <c r="EO133" s="58" t="e">
        <f ca="1">AVERAGE(OFFSET($EN$3,0,0,'Données projet'!$E$15+1,1))-AVERAGE(OFFSET($H$3,0,0,'Données projet'!$E$15+1,1))</f>
        <v>#N/A</v>
      </c>
      <c r="EP133" s="58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8" t="e">
        <f t="shared" si="131"/>
        <v>#N/A</v>
      </c>
      <c r="FJ133" s="58" t="e">
        <f ca="1">AVERAGE(OFFSET($FI$3,0,0,'Données projet'!$E$16+1,1))-AVERAGE(OFFSET($H$3,0,0,'Données projet'!$E$16+1,1))</f>
        <v>#N/A</v>
      </c>
      <c r="FK133" s="58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8" t="e">
        <f t="shared" si="134"/>
        <v>#N/A</v>
      </c>
      <c r="GE133" s="58" t="e">
        <f ca="1">AVERAGE(OFFSET($GD$3,0,0,'Données projet'!$E$17+1,1))-AVERAGE(OFFSET($H$3,0,0,'Données projet'!$E$17+1,1))</f>
        <v>#N/A</v>
      </c>
      <c r="GF133" s="58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68.972030915647139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8" t="e">
        <f t="shared" si="137"/>
        <v>#N/A</v>
      </c>
      <c r="GZ133" s="58" t="e">
        <f ca="1">AVERAGE(OFFSET($GY$3,0,0,'Données projet'!$E$18+1,1))-AVERAGE(OFFSET($H$3,0,0,'Données projet'!$E$18+1,1))</f>
        <v>#N/A</v>
      </c>
      <c r="HA133" s="58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2">
        <f>'Scénario référence'!$B$16*5+'Scénario référence'!$B$17*0+'Scénario référence'!$B$18*5</f>
        <v>2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7.333333333333333</v>
      </c>
      <c r="H134" s="66">
        <f t="shared" si="110"/>
        <v>227.33333333333334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9.0229999999999961</v>
      </c>
      <c r="N134" s="13">
        <f>IF('Données projet'!$A$36&gt;35,N133+M134-V133,IF(A134&lt;'Données projet'!$A$36,$K$205^A134,IF(A134='Données projet'!$A$36,'Données projet'!$B$36,N133+M134-V133)))</f>
        <v>457.21100000000081</v>
      </c>
      <c r="O134" s="13">
        <f>N134*VLOOKUP('Données projet'!$B$9,Paramètres!$A$1:$I$89,3,0)*VLOOKUP('Données projet'!$B$9,Paramètres!$A$1:$I$89,5,0)</f>
        <v>413.68451280000073</v>
      </c>
      <c r="P134" s="13">
        <f t="shared" si="141"/>
        <v>94.545535312483779</v>
      </c>
      <c r="Q134" s="20">
        <f t="shared" si="108"/>
        <v>885.16733379591051</v>
      </c>
      <c r="R134" s="58">
        <f t="shared" si="109"/>
        <v>1174.7968346931527</v>
      </c>
      <c r="S134" s="58">
        <f ca="1">AVERAGE(OFFSET($R$3,0,0,'Données projet'!$E$9+1,1))-AVERAGE(OFFSET($H$3,0,0,'Données projet'!$E$9+1,1))</f>
        <v>654.0179680178212</v>
      </c>
      <c r="T134" s="58">
        <f t="shared" si="142"/>
        <v>289.42065570013369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33.614537493327965</v>
      </c>
      <c r="AA134" s="21">
        <f>EXP(-LN(2)/25)*AA133+(1-EXP(-LN(2)/25))/(LN(2)/25)*Calculateur!V134*Calculateur!X134*VLOOKUP('Données projet'!$B$9,Paramètres!$A$1:$I$89,3,0)*0.475*44/12</f>
        <v>20.170956652800196</v>
      </c>
      <c r="AB134" s="21">
        <f>EXP(-LN(2)/2)*AB133+(1-EXP(-LN(2)/2))/(LN(2)/2)*V134*Y134*VLOOKUP('Données projet'!$B$9,Paramètres!$A$1:$I$89,3,0)*0.475*44/12</f>
        <v>0.45130916515860553</v>
      </c>
      <c r="AC134" s="22">
        <f t="shared" si="111"/>
        <v>54.236803311286764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8">
        <f t="shared" si="113"/>
        <v>289.6295008972491</v>
      </c>
      <c r="AN134" s="58">
        <f ca="1">AVERAGE(OFFSET($AM$3,0,0,'Données projet'!$E$10+1,1))-AVERAGE(OFFSET($H$3,0,0,'Données projet'!$E$10+1,1))</f>
        <v>447.44638185108147</v>
      </c>
      <c r="AO134" s="58">
        <f t="shared" si="144"/>
        <v>384.84260115068605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64.613581550107853</v>
      </c>
      <c r="AV134" s="21">
        <f>EXP(-LN(2)/25)*AV133+(1-EXP(-LN(2)/25))/(LN(2)/25)*Calculateur!AQ134*Calculateur!AS134*VLOOKUP('Données projet'!$B$10,Paramètres!$A$1:$I$89,3,0)*0.475*44/12</f>
        <v>14.140934898288577</v>
      </c>
      <c r="AW134" s="21">
        <f>EXP(-LN(2)/2)*AW133+(1-EXP(-LN(2)/2))/(LN(2)/2)*AQ134*AT134*VLOOKUP('Données projet'!$B$10,Paramètres!$A$1:$I$89,3,0)*0.475*44/12</f>
        <v>4.8115074232853272E-7</v>
      </c>
      <c r="AX134" s="21">
        <f t="shared" si="114"/>
        <v>78.754516929547165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463.61195400000088</v>
      </c>
      <c r="BF134" s="13">
        <f t="shared" si="145"/>
        <v>104.56017271740512</v>
      </c>
      <c r="BG134" s="20">
        <f t="shared" si="115"/>
        <v>989.56645403281527</v>
      </c>
      <c r="BH134" s="58">
        <f t="shared" si="116"/>
        <v>1279.1959549300575</v>
      </c>
      <c r="BI134" s="58">
        <f ca="1">AVERAGE(OFFSET($BH$3,0,0,'Données projet'!$E$11+1,1))-AVERAGE(OFFSET($H$3,0,0,'Données projet'!$E$11+1,1))</f>
        <v>724.99760740673071</v>
      </c>
      <c r="BJ134" s="58">
        <f t="shared" si="146"/>
        <v>318.24184272438208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37.671464432177892</v>
      </c>
      <c r="BQ134" s="21">
        <f>EXP(-LN(2)/25)*BQ133+(1-EXP(-LN(2)/25))/(LN(2)/25)*Calculateur!BL134*Calculateur!BN134*VLOOKUP('Données projet'!$B$11,Paramètres!$A$1:$I$89,3,0)*0.475*44/12</f>
        <v>22.60538245572436</v>
      </c>
      <c r="BR134" s="21">
        <f>EXP(-LN(2)/2)*BR133+(1-EXP(-LN(2)/2))/(LN(2)/2)*BL134*BO134*VLOOKUP('Données projet'!$B$11,Paramètres!$A$1:$I$89,3,0)*0.475*44/12</f>
        <v>0.50577751267774729</v>
      </c>
      <c r="BS134" s="22">
        <f t="shared" si="117"/>
        <v>60.782624400579998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9.0229999999999961</v>
      </c>
      <c r="BY134" s="12">
        <f>IF('Données projet'!$A$114&gt;35,BY133+BX134-CG133,IF(A134&lt;'Données projet'!$A$114,$BV$205^A134,IF(A134='Données projet'!$A$114,'Données projet'!$B$114,BY133+BX134-CG133)))</f>
        <v>457.21100000000081</v>
      </c>
      <c r="BZ134" s="13">
        <f>BY134*VLOOKUP('Données projet'!$B$12,Paramètres!$A$1:$I$89,3,0)*VLOOKUP('Données projet'!$B$12,Paramètres!$A$1:$I$89,5,0)</f>
        <v>435.08198760000079</v>
      </c>
      <c r="CA134" s="13">
        <f t="shared" si="147"/>
        <v>98.853828164079005</v>
      </c>
      <c r="CB134" s="20">
        <f t="shared" si="118"/>
        <v>929.93821245577226</v>
      </c>
      <c r="CC134" s="58">
        <f t="shared" si="119"/>
        <v>1219.5677133530146</v>
      </c>
      <c r="CD134" s="58">
        <f ca="1">AVERAGE(OFFSET($CC$3,0,0,'Données projet'!$E$12+1,1))-AVERAGE(OFFSET($H$3,0,0,'Données projet'!$E$12+1,1))</f>
        <v>684.45757350513315</v>
      </c>
      <c r="CE134" s="58">
        <f t="shared" si="148"/>
        <v>301.78148341369194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35.353220467120785</v>
      </c>
      <c r="CL134" s="21">
        <f>EXP(-LN(2)/25)*CL133+(1-EXP(-LN(2)/25))/(LN(2)/25)*Calculateur!CG134*Calculateur!CI134*VLOOKUP('Données projet'!$B$12,Paramètres!$A$1:$I$89,3,0)*0.475*44/12</f>
        <v>21.214281996910547</v>
      </c>
      <c r="CM134" s="21">
        <f>EXP(-LN(2)/2)*CM133+(1-EXP(-LN(2)/2))/(LN(2)/2)*CG134*CJ134*VLOOKUP('Données projet'!$B$12,Paramètres!$A$1:$I$89,3,0)*0.475*44/12</f>
        <v>0.47465274266680929</v>
      </c>
      <c r="CN134" s="22">
        <f t="shared" si="120"/>
        <v>57.042155206698148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8" t="e">
        <f t="shared" si="122"/>
        <v>#N/A</v>
      </c>
      <c r="CY134" s="58" t="e">
        <f ca="1">AVERAGE(OFFSET($CX$3,0,0,'Données projet'!$E$13+1,1))-AVERAGE(OFFSET($H$3,0,0,'Données projet'!$E$13+1,1))</f>
        <v>#N/A</v>
      </c>
      <c r="CZ134" s="58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8" t="e">
        <f t="shared" si="125"/>
        <v>#N/A</v>
      </c>
      <c r="DT134" s="58" t="e">
        <f ca="1">AVERAGE(OFFSET($DS$3,0,0,'Données projet'!$E$14+1,1))-AVERAGE(OFFSET($H$3,0,0,'Données projet'!$E$14+1,1))</f>
        <v>#N/A</v>
      </c>
      <c r="DU134" s="58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8" t="e">
        <f t="shared" si="128"/>
        <v>#N/A</v>
      </c>
      <c r="EO134" s="58" t="e">
        <f ca="1">AVERAGE(OFFSET($EN$3,0,0,'Données projet'!$E$15+1,1))-AVERAGE(OFFSET($H$3,0,0,'Données projet'!$E$15+1,1))</f>
        <v>#N/A</v>
      </c>
      <c r="EP134" s="58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8" t="e">
        <f t="shared" si="131"/>
        <v>#N/A</v>
      </c>
      <c r="FJ134" s="58" t="e">
        <f ca="1">AVERAGE(OFFSET($FI$3,0,0,'Données projet'!$E$16+1,1))-AVERAGE(OFFSET($H$3,0,0,'Données projet'!$E$16+1,1))</f>
        <v>#N/A</v>
      </c>
      <c r="FK134" s="58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8" t="e">
        <f t="shared" si="134"/>
        <v>#N/A</v>
      </c>
      <c r="GE134" s="58" t="e">
        <f ca="1">AVERAGE(OFFSET($GD$3,0,0,'Données projet'!$E$17+1,1))-AVERAGE(OFFSET($H$3,0,0,'Données projet'!$E$17+1,1))</f>
        <v>#N/A</v>
      </c>
      <c r="GF134" s="58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68.989863881066086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8" t="e">
        <f t="shared" si="137"/>
        <v>#N/A</v>
      </c>
      <c r="GZ134" s="58" t="e">
        <f ca="1">AVERAGE(OFFSET($GY$3,0,0,'Données projet'!$E$18+1,1))-AVERAGE(OFFSET($H$3,0,0,'Données projet'!$E$18+1,1))</f>
        <v>#N/A</v>
      </c>
      <c r="HA134" s="58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2">
        <f>'Scénario référence'!$B$16*5+'Scénario référence'!$B$17*0+'Scénario référence'!$B$18*5</f>
        <v>2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7.333333333333333</v>
      </c>
      <c r="H135" s="66">
        <f t="shared" si="110"/>
        <v>227.33333333333334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9.0229999999999961</v>
      </c>
      <c r="N135" s="13">
        <f>IF('Données projet'!$A$36&gt;35,N134+M135-V134,IF(A135&lt;'Données projet'!$A$36,$K$205^A135,IF(A135='Données projet'!$A$36,'Données projet'!$B$36,N134+M135-V134)))</f>
        <v>466.23400000000083</v>
      </c>
      <c r="O135" s="13">
        <f>N135*VLOOKUP('Données projet'!$B$9,Paramètres!$A$1:$I$89,3,0)*VLOOKUP('Données projet'!$B$9,Paramètres!$A$1:$I$89,5,0)</f>
        <v>421.84852320000078</v>
      </c>
      <c r="P135" s="13">
        <f t="shared" si="141"/>
        <v>96.192315164348642</v>
      </c>
      <c r="Q135" s="20">
        <f t="shared" si="108"/>
        <v>902.2544601512418</v>
      </c>
      <c r="R135" s="58">
        <f t="shared" si="109"/>
        <v>1191.9482142607214</v>
      </c>
      <c r="S135" s="58">
        <f ca="1">AVERAGE(OFFSET($R$3,0,0,'Données projet'!$E$9+1,1))-AVERAGE(OFFSET($H$3,0,0,'Données projet'!$E$9+1,1))</f>
        <v>654.0179680178212</v>
      </c>
      <c r="T135" s="58">
        <f t="shared" si="142"/>
        <v>289.42065570013369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32.955376915927189</v>
      </c>
      <c r="AA135" s="21">
        <f>EXP(-LN(2)/25)*AA134+(1-EXP(-LN(2)/25))/(LN(2)/25)*Calculateur!V135*Calculateur!X135*VLOOKUP('Données projet'!$B$9,Paramètres!$A$1:$I$89,3,0)*0.475*44/12</f>
        <v>19.619380782384866</v>
      </c>
      <c r="AB135" s="21">
        <f>EXP(-LN(2)/2)*AB134+(1-EXP(-LN(2)/2))/(LN(2)/2)*V135*Y135*VLOOKUP('Données projet'!$B$9,Paramètres!$A$1:$I$89,3,0)*0.475*44/12</f>
        <v>0.31912377109528955</v>
      </c>
      <c r="AC135" s="22">
        <f t="shared" si="111"/>
        <v>52.893881469407347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8">
        <f t="shared" si="113"/>
        <v>289.69375410948652</v>
      </c>
      <c r="AN135" s="58">
        <f ca="1">AVERAGE(OFFSET($AM$3,0,0,'Données projet'!$E$10+1,1))-AVERAGE(OFFSET($H$3,0,0,'Données projet'!$E$10+1,1))</f>
        <v>447.44638185108147</v>
      </c>
      <c r="AO135" s="58">
        <f t="shared" si="144"/>
        <v>384.84260115068605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63.34654862630353</v>
      </c>
      <c r="AV135" s="21">
        <f>EXP(-LN(2)/25)*AV134+(1-EXP(-LN(2)/25))/(LN(2)/25)*Calculateur!AQ135*Calculateur!AS135*VLOOKUP('Données projet'!$B$10,Paramètres!$A$1:$I$89,3,0)*0.475*44/12</f>
        <v>13.754250289855429</v>
      </c>
      <c r="AW135" s="21">
        <f>EXP(-LN(2)/2)*AW134+(1-EXP(-LN(2)/2))/(LN(2)/2)*AQ135*AT135*VLOOKUP('Données projet'!$B$10,Paramètres!$A$1:$I$89,3,0)*0.475*44/12</f>
        <v>3.402249526734467E-7</v>
      </c>
      <c r="AX135" s="21">
        <f t="shared" si="114"/>
        <v>77.100799256383922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472.76127600000092</v>
      </c>
      <c r="BF135" s="13">
        <f t="shared" si="145"/>
        <v>106.38138601076099</v>
      </c>
      <c r="BG135" s="20">
        <f t="shared" si="115"/>
        <v>1008.6734696687436</v>
      </c>
      <c r="BH135" s="58">
        <f t="shared" si="116"/>
        <v>1298.3672237782232</v>
      </c>
      <c r="BI135" s="58">
        <f ca="1">AVERAGE(OFFSET($BH$3,0,0,'Données projet'!$E$11+1,1))-AVERAGE(OFFSET($H$3,0,0,'Données projet'!$E$11+1,1))</f>
        <v>724.99760740673071</v>
      </c>
      <c r="BJ135" s="58">
        <f t="shared" si="146"/>
        <v>318.24184272438208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36.932749991987365</v>
      </c>
      <c r="BQ135" s="21">
        <f>EXP(-LN(2)/25)*BQ134+(1-EXP(-LN(2)/25))/(LN(2)/25)*Calculateur!BL135*Calculateur!BN135*VLOOKUP('Données projet'!$B$11,Paramètres!$A$1:$I$89,3,0)*0.475*44/12</f>
        <v>21.987237083707178</v>
      </c>
      <c r="BR135" s="21">
        <f>EXP(-LN(2)/2)*BR134+(1-EXP(-LN(2)/2))/(LN(2)/2)*BL135*BO135*VLOOKUP('Données projet'!$B$11,Paramètres!$A$1:$I$89,3,0)*0.475*44/12</f>
        <v>0.35763870898610012</v>
      </c>
      <c r="BS135" s="22">
        <f t="shared" si="117"/>
        <v>59.277625784680644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9.0229999999999961</v>
      </c>
      <c r="BY135" s="12">
        <f>IF('Données projet'!$A$114&gt;35,BY134+BX135-CG134,IF(A135&lt;'Données projet'!$A$114,$BV$205^A135,IF(A135='Données projet'!$A$114,'Données projet'!$B$114,BY134+BX135-CG134)))</f>
        <v>466.23400000000083</v>
      </c>
      <c r="BZ135" s="13">
        <f>BY135*VLOOKUP('Données projet'!$B$12,Paramètres!$A$1:$I$89,3,0)*VLOOKUP('Données projet'!$B$12,Paramètres!$A$1:$I$89,5,0)</f>
        <v>443.66827440000083</v>
      </c>
      <c r="CA135" s="13">
        <f t="shared" si="147"/>
        <v>100.57564921001506</v>
      </c>
      <c r="CB135" s="20">
        <f t="shared" si="118"/>
        <v>947.89150028744427</v>
      </c>
      <c r="CC135" s="58">
        <f t="shared" si="119"/>
        <v>1237.585254396924</v>
      </c>
      <c r="CD135" s="58">
        <f ca="1">AVERAGE(OFFSET($CC$3,0,0,'Données projet'!$E$12+1,1))-AVERAGE(OFFSET($H$3,0,0,'Données projet'!$E$12+1,1))</f>
        <v>684.45757350513315</v>
      </c>
      <c r="CE135" s="58">
        <f t="shared" si="148"/>
        <v>301.78148341369194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34.65996537709583</v>
      </c>
      <c r="CL135" s="21">
        <f>EXP(-LN(2)/25)*CL134+(1-EXP(-LN(2)/25))/(LN(2)/25)*Calculateur!CG135*Calculateur!CI135*VLOOKUP('Données projet'!$B$12,Paramètres!$A$1:$I$89,3,0)*0.475*44/12</f>
        <v>20.634176340094424</v>
      </c>
      <c r="CM135" s="21">
        <f>EXP(-LN(2)/2)*CM134+(1-EXP(-LN(2)/2))/(LN(2)/2)*CG135*CJ135*VLOOKUP('Données projet'!$B$12,Paramètres!$A$1:$I$89,3,0)*0.475*44/12</f>
        <v>0.33563017304849418</v>
      </c>
      <c r="CN135" s="22">
        <f t="shared" si="120"/>
        <v>55.62977189023875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8" t="e">
        <f t="shared" si="122"/>
        <v>#N/A</v>
      </c>
      <c r="CY135" s="58" t="e">
        <f ca="1">AVERAGE(OFFSET($CX$3,0,0,'Données projet'!$E$13+1,1))-AVERAGE(OFFSET($H$3,0,0,'Données projet'!$E$13+1,1))</f>
        <v>#N/A</v>
      </c>
      <c r="CZ135" s="58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8" t="e">
        <f t="shared" si="125"/>
        <v>#N/A</v>
      </c>
      <c r="DT135" s="58" t="e">
        <f ca="1">AVERAGE(OFFSET($DS$3,0,0,'Données projet'!$E$14+1,1))-AVERAGE(OFFSET($H$3,0,0,'Données projet'!$E$14+1,1))</f>
        <v>#N/A</v>
      </c>
      <c r="DU135" s="58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8" t="e">
        <f t="shared" si="128"/>
        <v>#N/A</v>
      </c>
      <c r="EO135" s="58" t="e">
        <f ca="1">AVERAGE(OFFSET($EN$3,0,0,'Données projet'!$E$15+1,1))-AVERAGE(OFFSET($H$3,0,0,'Données projet'!$E$15+1,1))</f>
        <v>#N/A</v>
      </c>
      <c r="EP135" s="58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8" t="e">
        <f t="shared" si="131"/>
        <v>#N/A</v>
      </c>
      <c r="FJ135" s="58" t="e">
        <f ca="1">AVERAGE(OFFSET($FI$3,0,0,'Données projet'!$E$16+1,1))-AVERAGE(OFFSET($H$3,0,0,'Données projet'!$E$16+1,1))</f>
        <v>#N/A</v>
      </c>
      <c r="FK135" s="58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8" t="e">
        <f t="shared" si="134"/>
        <v>#N/A</v>
      </c>
      <c r="GE135" s="58" t="e">
        <f ca="1">AVERAGE(OFFSET($GD$3,0,0,'Données projet'!$E$17+1,1))-AVERAGE(OFFSET($H$3,0,0,'Données projet'!$E$17+1,1))</f>
        <v>#N/A</v>
      </c>
      <c r="GF135" s="58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69.007387484403552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8" t="e">
        <f t="shared" si="137"/>
        <v>#N/A</v>
      </c>
      <c r="GZ135" s="58" t="e">
        <f ca="1">AVERAGE(OFFSET($GY$3,0,0,'Données projet'!$E$18+1,1))-AVERAGE(OFFSET($H$3,0,0,'Données projet'!$E$18+1,1))</f>
        <v>#N/A</v>
      </c>
      <c r="HA135" s="58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2">
        <f>'Scénario référence'!$B$16*5+'Scénario référence'!$B$17*0+'Scénario référence'!$B$18*5</f>
        <v>2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7.333333333333333</v>
      </c>
      <c r="H136" s="66">
        <f t="shared" si="110"/>
        <v>227.33333333333334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9.0229999999999961</v>
      </c>
      <c r="N136" s="13">
        <f>IF('Données projet'!$A$36&gt;35,N135+M136-V135,IF(A136&lt;'Données projet'!$A$36,$K$205^A136,IF(A136='Données projet'!$A$36,'Données projet'!$B$36,N135+M136-V135)))</f>
        <v>475.25700000000086</v>
      </c>
      <c r="O136" s="13">
        <f>N136*VLOOKUP('Données projet'!$B$9,Paramètres!$A$1:$I$89,3,0)*VLOOKUP('Données projet'!$B$9,Paramètres!$A$1:$I$89,5,0)</f>
        <v>430.01253360000078</v>
      </c>
      <c r="P136" s="13">
        <f t="shared" si="141"/>
        <v>97.835389274652726</v>
      </c>
      <c r="Q136" s="20">
        <f t="shared" si="108"/>
        <v>919.33513234002146</v>
      </c>
      <c r="R136" s="58">
        <f t="shared" si="109"/>
        <v>1209.0920250121549</v>
      </c>
      <c r="S136" s="58">
        <f ca="1">AVERAGE(OFFSET($R$3,0,0,'Données projet'!$E$9+1,1))-AVERAGE(OFFSET($H$3,0,0,'Données projet'!$E$9+1,1))</f>
        <v>654.0179680178212</v>
      </c>
      <c r="T136" s="58">
        <f t="shared" si="142"/>
        <v>289.42065570013369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32.309142075400985</v>
      </c>
      <c r="AA136" s="21">
        <f>EXP(-LN(2)/25)*AA135+(1-EXP(-LN(2)/25))/(LN(2)/25)*Calculateur!V136*Calculateur!X136*VLOOKUP('Données projet'!$B$9,Paramètres!$A$1:$I$89,3,0)*0.475*44/12</f>
        <v>19.082887783152156</v>
      </c>
      <c r="AB136" s="21">
        <f>EXP(-LN(2)/2)*AB135+(1-EXP(-LN(2)/2))/(LN(2)/2)*V136*Y136*VLOOKUP('Données projet'!$B$9,Paramètres!$A$1:$I$89,3,0)*0.475*44/12</f>
        <v>0.22565458257930279</v>
      </c>
      <c r="AC136" s="22">
        <f t="shared" si="111"/>
        <v>51.617684441132447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8">
        <f t="shared" si="113"/>
        <v>289.75689267214017</v>
      </c>
      <c r="AN136" s="58">
        <f ca="1">AVERAGE(OFFSET($AM$3,0,0,'Données projet'!$E$10+1,1))-AVERAGE(OFFSET($H$3,0,0,'Données projet'!$E$10+1,1))</f>
        <v>447.44638185108147</v>
      </c>
      <c r="AO136" s="58">
        <f t="shared" si="144"/>
        <v>384.84260115068605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62.104361445321238</v>
      </c>
      <c r="AV136" s="21">
        <f>EXP(-LN(2)/25)*AV135+(1-EXP(-LN(2)/25))/(LN(2)/25)*Calculateur!AQ136*Calculateur!AS136*VLOOKUP('Données projet'!$B$10,Paramètres!$A$1:$I$89,3,0)*0.475*44/12</f>
        <v>13.378139592374746</v>
      </c>
      <c r="AW136" s="21">
        <f>EXP(-LN(2)/2)*AW135+(1-EXP(-LN(2)/2))/(LN(2)/2)*AQ136*AT136*VLOOKUP('Données projet'!$B$10,Paramètres!$A$1:$I$89,3,0)*0.475*44/12</f>
        <v>2.4057537116426636E-7</v>
      </c>
      <c r="AX136" s="21">
        <f t="shared" si="114"/>
        <v>75.482501278271357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481.9105980000009</v>
      </c>
      <c r="BF136" s="13">
        <f t="shared" si="145"/>
        <v>108.19850103573877</v>
      </c>
      <c r="BG136" s="20">
        <f t="shared" si="115"/>
        <v>1027.7733474872464</v>
      </c>
      <c r="BH136" s="58">
        <f t="shared" si="116"/>
        <v>1317.5302401593797</v>
      </c>
      <c r="BI136" s="58">
        <f ca="1">AVERAGE(OFFSET($BH$3,0,0,'Données projet'!$E$11+1,1))-AVERAGE(OFFSET($H$3,0,0,'Données projet'!$E$11+1,1))</f>
        <v>724.99760740673071</v>
      </c>
      <c r="BJ136" s="58">
        <f t="shared" si="146"/>
        <v>318.24184272438208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36.208521291397652</v>
      </c>
      <c r="BQ136" s="21">
        <f>EXP(-LN(2)/25)*BQ135+(1-EXP(-LN(2)/25))/(LN(2)/25)*Calculateur!BL136*Calculateur!BN136*VLOOKUP('Données projet'!$B$11,Paramètres!$A$1:$I$89,3,0)*0.475*44/12</f>
        <v>21.385994929394659</v>
      </c>
      <c r="BR136" s="21">
        <f>EXP(-LN(2)/2)*BR135+(1-EXP(-LN(2)/2))/(LN(2)/2)*BL136*BO136*VLOOKUP('Données projet'!$B$11,Paramètres!$A$1:$I$89,3,0)*0.475*44/12</f>
        <v>0.25288875633887364</v>
      </c>
      <c r="BS136" s="22">
        <f t="shared" si="117"/>
        <v>57.847404977131191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9.0229999999999961</v>
      </c>
      <c r="BY136" s="12">
        <f>IF('Données projet'!$A$114&gt;35,BY135+BX136-CG135,IF(A136&lt;'Données projet'!$A$114,$BV$205^A136,IF(A136='Données projet'!$A$114,'Données projet'!$B$114,BY135+BX136-CG135)))</f>
        <v>475.25700000000086</v>
      </c>
      <c r="BZ136" s="13">
        <f>BY136*VLOOKUP('Données projet'!$B$12,Paramètres!$A$1:$I$89,3,0)*VLOOKUP('Données projet'!$B$12,Paramètres!$A$1:$I$89,5,0)</f>
        <v>452.25456120000081</v>
      </c>
      <c r="CA136" s="13">
        <f t="shared" si="147"/>
        <v>102.29359564951639</v>
      </c>
      <c r="CB136" s="20">
        <f t="shared" si="118"/>
        <v>965.83803984624228</v>
      </c>
      <c r="CC136" s="58">
        <f t="shared" si="119"/>
        <v>1255.5949325183756</v>
      </c>
      <c r="CD136" s="58">
        <f ca="1">AVERAGE(OFFSET($CC$3,0,0,'Données projet'!$E$12+1,1))-AVERAGE(OFFSET($H$3,0,0,'Données projet'!$E$12+1,1))</f>
        <v>684.45757350513315</v>
      </c>
      <c r="CE136" s="58">
        <f t="shared" si="148"/>
        <v>301.78148341369194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33.98030459654241</v>
      </c>
      <c r="CL136" s="21">
        <f>EXP(-LN(2)/25)*CL135+(1-EXP(-LN(2)/25))/(LN(2)/25)*Calculateur!CG136*Calculateur!CI136*VLOOKUP('Données projet'!$B$12,Paramètres!$A$1:$I$89,3,0)*0.475*44/12</f>
        <v>20.069933702970367</v>
      </c>
      <c r="CM136" s="21">
        <f>EXP(-LN(2)/2)*CM135+(1-EXP(-LN(2)/2))/(LN(2)/2)*CG136*CJ136*VLOOKUP('Données projet'!$B$12,Paramètres!$A$1:$I$89,3,0)*0.475*44/12</f>
        <v>0.23732637133340467</v>
      </c>
      <c r="CN136" s="22">
        <f t="shared" si="120"/>
        <v>54.28756467084618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8" t="e">
        <f t="shared" si="122"/>
        <v>#N/A</v>
      </c>
      <c r="CY136" s="58" t="e">
        <f ca="1">AVERAGE(OFFSET($CX$3,0,0,'Données projet'!$E$13+1,1))-AVERAGE(OFFSET($H$3,0,0,'Données projet'!$E$13+1,1))</f>
        <v>#N/A</v>
      </c>
      <c r="CZ136" s="58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8" t="e">
        <f t="shared" si="125"/>
        <v>#N/A</v>
      </c>
      <c r="DT136" s="58" t="e">
        <f ca="1">AVERAGE(OFFSET($DS$3,0,0,'Données projet'!$E$14+1,1))-AVERAGE(OFFSET($H$3,0,0,'Données projet'!$E$14+1,1))</f>
        <v>#N/A</v>
      </c>
      <c r="DU136" s="58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8" t="e">
        <f t="shared" si="128"/>
        <v>#N/A</v>
      </c>
      <c r="EO136" s="58" t="e">
        <f ca="1">AVERAGE(OFFSET($EN$3,0,0,'Données projet'!$E$15+1,1))-AVERAGE(OFFSET($H$3,0,0,'Données projet'!$E$15+1,1))</f>
        <v>#N/A</v>
      </c>
      <c r="EP136" s="58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8" t="e">
        <f t="shared" si="131"/>
        <v>#N/A</v>
      </c>
      <c r="FJ136" s="58" t="e">
        <f ca="1">AVERAGE(OFFSET($FI$3,0,0,'Données projet'!$E$16+1,1))-AVERAGE(OFFSET($H$3,0,0,'Données projet'!$E$16+1,1))</f>
        <v>#N/A</v>
      </c>
      <c r="FK136" s="58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8" t="e">
        <f t="shared" si="134"/>
        <v>#N/A</v>
      </c>
      <c r="GE136" s="58" t="e">
        <f ca="1">AVERAGE(OFFSET($GD$3,0,0,'Données projet'!$E$17+1,1))-AVERAGE(OFFSET($H$3,0,0,'Données projet'!$E$17+1,1))</f>
        <v>#N/A</v>
      </c>
      <c r="GF136" s="58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69.024607092400004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8" t="e">
        <f t="shared" si="137"/>
        <v>#N/A</v>
      </c>
      <c r="GZ136" s="58" t="e">
        <f ca="1">AVERAGE(OFFSET($GY$3,0,0,'Données projet'!$E$18+1,1))-AVERAGE(OFFSET($H$3,0,0,'Données projet'!$E$18+1,1))</f>
        <v>#N/A</v>
      </c>
      <c r="HA136" s="58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2">
        <f>'Scénario référence'!$B$16*5+'Scénario référence'!$B$17*0+'Scénario référence'!$B$18*5</f>
        <v>2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7.333333333333333</v>
      </c>
      <c r="H137" s="66">
        <f t="shared" si="110"/>
        <v>227.33333333333334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484.28</v>
      </c>
      <c r="L137" s="12">
        <f>VLOOKUP(A137,'Données projet'!$A$35:$I$55,9,0)</f>
        <v>9.0229999999999961</v>
      </c>
      <c r="M137" s="12">
        <f t="array" ref="M137">INDEX(L:L,MIN(IF(ISNUMBER(L137:L333),ROW(L137:L333),"")))</f>
        <v>9.0229999999999961</v>
      </c>
      <c r="N137" s="13">
        <f>IF('Données projet'!$A$36&gt;35,N136+M137-V136,IF(A137&lt;'Données projet'!$A$36,$K$205^A137,IF(A137='Données projet'!$A$36,'Données projet'!$B$36,N136+M137-V136)))</f>
        <v>484.28000000000088</v>
      </c>
      <c r="O137" s="13">
        <f>N137*VLOOKUP('Données projet'!$B$9,Paramètres!$A$1:$I$89,3,0)*VLOOKUP('Données projet'!$B$9,Paramètres!$A$1:$I$89,5,0)</f>
        <v>438.17654400000077</v>
      </c>
      <c r="P137" s="13">
        <f t="shared" si="141"/>
        <v>99.474836110972063</v>
      </c>
      <c r="Q137" s="20">
        <f t="shared" si="108"/>
        <v>936.40948702661092</v>
      </c>
      <c r="R137" s="58">
        <f t="shared" si="109"/>
        <v>1226.2284229484926</v>
      </c>
      <c r="S137" s="58">
        <f ca="1">AVERAGE(OFFSET($R$3,0,0,'Données projet'!$E$9+1,1))-AVERAGE(OFFSET($H$3,0,0,'Données projet'!$E$9+1,1))</f>
        <v>654.0179680178212</v>
      </c>
      <c r="T137" s="58">
        <f t="shared" si="142"/>
        <v>289.42065570013369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60.779999999999973</v>
      </c>
      <c r="W137" s="16">
        <f>IF(ISNA(VLOOKUP(A137,'Données projet'!$A$35:$I$55,5,0)),0%,VLOOKUP(A137,'Données projet'!$A$35:$I$55,5,0)*VLOOKUP('Données projet'!$B$9,Paramètres!$A$1:$I$89,7,0))</f>
        <v>0.215</v>
      </c>
      <c r="X137" s="16">
        <f>IF(ISNA(VLOOKUP(A137,'Données projet'!$A$35:$I$55,6,0)),0%,VLOOKUP(A137,'Données projet'!$A$35:$I$55,6,0)*VLOOKUP('Données projet'!$B$9,Paramètres!$A$1:$I$89,7,0))</f>
        <v>8.6000000000000007E-2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44.746279842031008</v>
      </c>
      <c r="AA137" s="21">
        <f>EXP(-LN(2)/25)*AA136+(1-EXP(-LN(2)/25))/(LN(2)/25)*Calculateur!V137*Calculateur!X137*VLOOKUP('Données projet'!$B$9,Paramètres!$A$1:$I$89,3,0)*0.475*44/12</f>
        <v>23.768759616615345</v>
      </c>
      <c r="AB137" s="21">
        <f>EXP(-LN(2)/2)*AB136+(1-EXP(-LN(2)/2))/(LN(2)/2)*V137*Y137*VLOOKUP('Données projet'!$B$9,Paramètres!$A$1:$I$89,3,0)*0.475*44/12</f>
        <v>0.15956188554764478</v>
      </c>
      <c r="AC137" s="22">
        <f t="shared" si="111"/>
        <v>68.674601344194002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8">
        <f t="shared" si="113"/>
        <v>289.81893592188857</v>
      </c>
      <c r="AN137" s="58">
        <f ca="1">AVERAGE(OFFSET($AM$3,0,0,'Données projet'!$E$10+1,1))-AVERAGE(OFFSET($H$3,0,0,'Données projet'!$E$10+1,1))</f>
        <v>447.44638185108147</v>
      </c>
      <c r="AO137" s="58">
        <f t="shared" si="144"/>
        <v>384.84260115068605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60.886532797298642</v>
      </c>
      <c r="AV137" s="21">
        <f>EXP(-LN(2)/25)*AV136+(1-EXP(-LN(2)/25))/(LN(2)/25)*Calculateur!AQ137*Calculateur!AS137*VLOOKUP('Données projet'!$B$10,Paramètres!$A$1:$I$89,3,0)*0.475*44/12</f>
        <v>13.012313661695472</v>
      </c>
      <c r="AW137" s="21">
        <f>EXP(-LN(2)/2)*AW136+(1-EXP(-LN(2)/2))/(LN(2)/2)*AQ137*AT137*VLOOKUP('Données projet'!$B$10,Paramètres!$A$1:$I$89,3,0)*0.475*44/12</f>
        <v>1.7011247633672335E-7</v>
      </c>
      <c r="AX137" s="21">
        <f t="shared" si="114"/>
        <v>73.898846629106586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491.05992000000094</v>
      </c>
      <c r="BF137" s="13">
        <f t="shared" si="145"/>
        <v>110.01160457151111</v>
      </c>
      <c r="BG137" s="20">
        <f t="shared" si="115"/>
        <v>1046.8662386287169</v>
      </c>
      <c r="BH137" s="58">
        <f t="shared" si="116"/>
        <v>1336.6851745505987</v>
      </c>
      <c r="BI137" s="58">
        <f ca="1">AVERAGE(OFFSET($BH$3,0,0,'Données projet'!$E$11+1,1))-AVERAGE(OFFSET($H$3,0,0,'Données projet'!$E$11+1,1))</f>
        <v>724.99760740673071</v>
      </c>
      <c r="BJ137" s="58">
        <f t="shared" si="146"/>
        <v>318.24184272438208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50.146692926414062</v>
      </c>
      <c r="BQ137" s="21">
        <f>EXP(-LN(2)/25)*BQ136+(1-EXP(-LN(2)/25))/(LN(2)/25)*Calculateur!BL137*Calculateur!BN137*VLOOKUP('Données projet'!$B$11,Paramètres!$A$1:$I$89,3,0)*0.475*44/12</f>
        <v>26.637403018620649</v>
      </c>
      <c r="BR137" s="21">
        <f>EXP(-LN(2)/2)*BR136+(1-EXP(-LN(2)/2))/(LN(2)/2)*BL137*BO137*VLOOKUP('Données projet'!$B$11,Paramètres!$A$1:$I$89,3,0)*0.475*44/12</f>
        <v>0.17881935449305006</v>
      </c>
      <c r="BS137" s="22">
        <f t="shared" si="117"/>
        <v>76.962915299527751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9.0229999999999961</v>
      </c>
      <c r="BX137" s="12">
        <f t="array" ref="BX137">INDEX(BW:BW,MIN(IF(ISNUMBER(BW137:BW333),ROW(BW137:BW333),"")))</f>
        <v>9.0229999999999961</v>
      </c>
      <c r="BY137" s="12">
        <f>IF('Données projet'!$A$114&gt;35,BY136+BX137-CG136,IF(A137&lt;'Données projet'!$A$114,$BV$205^A137,IF(A137='Données projet'!$A$114,'Données projet'!$B$114,BY136+BX137-CG136)))</f>
        <v>484.28000000000088</v>
      </c>
      <c r="BZ137" s="13">
        <f>BY137*VLOOKUP('Données projet'!$B$12,Paramètres!$A$1:$I$89,3,0)*VLOOKUP('Données projet'!$B$12,Paramètres!$A$1:$I$89,5,0)</f>
        <v>460.84084800000079</v>
      </c>
      <c r="CA137" s="13">
        <f t="shared" si="147"/>
        <v>104.00774952580478</v>
      </c>
      <c r="CB137" s="20">
        <f t="shared" si="118"/>
        <v>983.77797402411124</v>
      </c>
      <c r="CC137" s="58">
        <f t="shared" si="119"/>
        <v>1273.596909945993</v>
      </c>
      <c r="CD137" s="58">
        <f ca="1">AVERAGE(OFFSET($CC$3,0,0,'Données projet'!$E$12+1,1))-AVERAGE(OFFSET($H$3,0,0,'Données projet'!$E$12+1,1))</f>
        <v>684.45757350513315</v>
      </c>
      <c r="CE137" s="58">
        <f t="shared" si="148"/>
        <v>301.78148341369194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60.779999999999973</v>
      </c>
      <c r="CH137" s="16">
        <f>IF(ISNA(VLOOKUP(A137,'Données projet'!$A$113:$I$133,5,0)),0%,VLOOKUP(A137,'Données projet'!$A$113:$I$133,5,0)*VLOOKUP('Données projet'!$B$12,Paramètres!$A$1:$I$89,7,0))</f>
        <v>0.215</v>
      </c>
      <c r="CI137" s="16">
        <f>IF(ISNA(VLOOKUP(A137,'Données projet'!$A$113:$I$133,6,0)),0%,VLOOKUP(A137,'Données projet'!$A$113:$I$133,6,0)*VLOOKUP('Données projet'!$B$12,Paramètres!$A$1:$I$89,7,0))</f>
        <v>8.6000000000000007E-2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47.060742592480885</v>
      </c>
      <c r="CL137" s="21">
        <f>EXP(-LN(2)/25)*CL136+(1-EXP(-LN(2)/25))/(LN(2)/25)*Calculateur!CG137*Calculateur!CI137*VLOOKUP('Données projet'!$B$12,Paramètres!$A$1:$I$89,3,0)*0.475*44/12</f>
        <v>24.998178217474756</v>
      </c>
      <c r="CM137" s="21">
        <f>EXP(-LN(2)/2)*CM136+(1-EXP(-LN(2)/2))/(LN(2)/2)*CG137*CJ137*VLOOKUP('Données projet'!$B$12,Paramètres!$A$1:$I$89,3,0)*0.475*44/12</f>
        <v>0.16781508652424712</v>
      </c>
      <c r="CN137" s="22">
        <f t="shared" si="120"/>
        <v>72.22673589647988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8" t="e">
        <f t="shared" si="122"/>
        <v>#N/A</v>
      </c>
      <c r="CY137" s="58" t="e">
        <f ca="1">AVERAGE(OFFSET($CX$3,0,0,'Données projet'!$E$13+1,1))-AVERAGE(OFFSET($H$3,0,0,'Données projet'!$E$13+1,1))</f>
        <v>#N/A</v>
      </c>
      <c r="CZ137" s="58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8" t="e">
        <f t="shared" si="125"/>
        <v>#N/A</v>
      </c>
      <c r="DT137" s="58" t="e">
        <f ca="1">AVERAGE(OFFSET($DS$3,0,0,'Données projet'!$E$14+1,1))-AVERAGE(OFFSET($H$3,0,0,'Données projet'!$E$14+1,1))</f>
        <v>#N/A</v>
      </c>
      <c r="DU137" s="58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8" t="e">
        <f t="shared" si="128"/>
        <v>#N/A</v>
      </c>
      <c r="EO137" s="58" t="e">
        <f ca="1">AVERAGE(OFFSET($EN$3,0,0,'Données projet'!$E$15+1,1))-AVERAGE(OFFSET($H$3,0,0,'Données projet'!$E$15+1,1))</f>
        <v>#N/A</v>
      </c>
      <c r="EP137" s="58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8" t="e">
        <f t="shared" si="131"/>
        <v>#N/A</v>
      </c>
      <c r="FJ137" s="58" t="e">
        <f ca="1">AVERAGE(OFFSET($FI$3,0,0,'Données projet'!$E$16+1,1))-AVERAGE(OFFSET($H$3,0,0,'Données projet'!$E$16+1,1))</f>
        <v>#N/A</v>
      </c>
      <c r="FK137" s="58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8" t="e">
        <f t="shared" si="134"/>
        <v>#N/A</v>
      </c>
      <c r="GE137" s="58" t="e">
        <f ca="1">AVERAGE(OFFSET($GD$3,0,0,'Données projet'!$E$17+1,1))-AVERAGE(OFFSET($H$3,0,0,'Données projet'!$E$17+1,1))</f>
        <v>#N/A</v>
      </c>
      <c r="GF137" s="58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69.041527978695015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8" t="e">
        <f t="shared" si="137"/>
        <v>#N/A</v>
      </c>
      <c r="GZ137" s="58" t="e">
        <f ca="1">AVERAGE(OFFSET($GY$3,0,0,'Données projet'!$E$18+1,1))-AVERAGE(OFFSET($H$3,0,0,'Données projet'!$E$18+1,1))</f>
        <v>#N/A</v>
      </c>
      <c r="HA137" s="58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2">
        <f>'Scénario référence'!$B$16*5+'Scénario référence'!$B$17*0+'Scénario référence'!$B$18*5</f>
        <v>2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7.333333333333333</v>
      </c>
      <c r="H138" s="66">
        <f t="shared" si="110"/>
        <v>227.33333333333334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9.1440000000000055</v>
      </c>
      <c r="N138" s="13">
        <f>IF('Données projet'!$A$36&gt;35,N137+M138-V137,IF(A138&lt;'Données projet'!$A$36,$K$205^A138,IF(A138='Données projet'!$A$36,'Données projet'!$B$36,N137+M138-V137)))</f>
        <v>432.64400000000091</v>
      </c>
      <c r="O138" s="13">
        <f>N138*VLOOKUP('Données projet'!$B$9,Paramètres!$A$1:$I$89,3,0)*VLOOKUP('Données projet'!$B$9,Paramètres!$A$1:$I$89,5,0)</f>
        <v>391.45629120000086</v>
      </c>
      <c r="P138" s="13">
        <f t="shared" si="141"/>
        <v>90.042388870129827</v>
      </c>
      <c r="Q138" s="20">
        <f t="shared" si="108"/>
        <v>838.6102011221443</v>
      </c>
      <c r="R138" s="58">
        <f t="shared" si="109"/>
        <v>1128.4901039820991</v>
      </c>
      <c r="S138" s="58">
        <f ca="1">AVERAGE(OFFSET($R$3,0,0,'Données projet'!$E$9+1,1))-AVERAGE(OFFSET($H$3,0,0,'Données projet'!$E$9+1,1))</f>
        <v>654.0179680178212</v>
      </c>
      <c r="T138" s="58">
        <f t="shared" si="142"/>
        <v>289.42065570013369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43.868832586864571</v>
      </c>
      <c r="AA138" s="21">
        <f>EXP(-LN(2)/25)*AA137+(1-EXP(-LN(2)/25))/(LN(2)/25)*Calculateur!V138*Calculateur!X138*VLOOKUP('Données projet'!$B$9,Paramètres!$A$1:$I$89,3,0)*0.475*44/12</f>
        <v>23.118801634954256</v>
      </c>
      <c r="AB138" s="21">
        <f>EXP(-LN(2)/2)*AB137+(1-EXP(-LN(2)/2))/(LN(2)/2)*V138*Y138*VLOOKUP('Données projet'!$B$9,Paramètres!$A$1:$I$89,3,0)*0.475*44/12</f>
        <v>0.1128272912896514</v>
      </c>
      <c r="AC138" s="22">
        <f t="shared" si="111"/>
        <v>67.100461513108471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8">
        <f t="shared" si="113"/>
        <v>289.87990285996165</v>
      </c>
      <c r="AN138" s="58">
        <f ca="1">AVERAGE(OFFSET($AM$3,0,0,'Données projet'!$E$10+1,1))-AVERAGE(OFFSET($H$3,0,0,'Données projet'!$E$10+1,1))</f>
        <v>447.44638185108147</v>
      </c>
      <c r="AO138" s="58">
        <f t="shared" si="144"/>
        <v>384.84260115068605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59.692585026261639</v>
      </c>
      <c r="AV138" s="21">
        <f>EXP(-LN(2)/25)*AV137+(1-EXP(-LN(2)/25))/(LN(2)/25)*Calculateur!AQ138*Calculateur!AS138*VLOOKUP('Données projet'!$B$10,Paramètres!$A$1:$I$89,3,0)*0.475*44/12</f>
        <v>12.656491260328574</v>
      </c>
      <c r="AW138" s="21">
        <f>EXP(-LN(2)/2)*AW137+(1-EXP(-LN(2)/2))/(LN(2)/2)*AQ138*AT138*VLOOKUP('Données projet'!$B$10,Paramètres!$A$1:$I$89,3,0)*0.475*44/12</f>
        <v>1.2028768558213318E-7</v>
      </c>
      <c r="AX138" s="21">
        <f t="shared" si="114"/>
        <v>72.349076406877899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438.70101600000095</v>
      </c>
      <c r="BF138" s="13">
        <f t="shared" si="145"/>
        <v>99.580035175975198</v>
      </c>
      <c r="BG138" s="20">
        <f t="shared" si="115"/>
        <v>937.50616413149157</v>
      </c>
      <c r="BH138" s="58">
        <f t="shared" si="116"/>
        <v>1227.3860669914463</v>
      </c>
      <c r="BI138" s="58">
        <f ca="1">AVERAGE(OFFSET($BH$3,0,0,'Données projet'!$E$11+1,1))-AVERAGE(OFFSET($H$3,0,0,'Données projet'!$E$11+1,1))</f>
        <v>724.99760740673071</v>
      </c>
      <c r="BJ138" s="58">
        <f t="shared" si="146"/>
        <v>318.24184272438208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49.163346864589606</v>
      </c>
      <c r="BQ138" s="21">
        <f>EXP(-LN(2)/25)*BQ137+(1-EXP(-LN(2)/25))/(LN(2)/25)*Calculateur!BL138*Calculateur!BN138*VLOOKUP('Données projet'!$B$11,Paramètres!$A$1:$I$89,3,0)*0.475*44/12</f>
        <v>25.909001832276324</v>
      </c>
      <c r="BR138" s="21">
        <f>EXP(-LN(2)/2)*BR137+(1-EXP(-LN(2)/2))/(LN(2)/2)*BL138*BO138*VLOOKUP('Données projet'!$B$11,Paramètres!$A$1:$I$89,3,0)*0.475*44/12</f>
        <v>0.12644437816943682</v>
      </c>
      <c r="BS138" s="22">
        <f t="shared" si="117"/>
        <v>75.198793075035368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9.1440000000000055</v>
      </c>
      <c r="BY138" s="12">
        <f>IF('Données projet'!$A$114&gt;35,BY137+BX138-CG137,IF(A138&lt;'Données projet'!$A$114,$BV$205^A138,IF(A138='Données projet'!$A$114,'Données projet'!$B$114,BY137+BX138-CG137)))</f>
        <v>432.64400000000091</v>
      </c>
      <c r="BZ138" s="13">
        <f>BY138*VLOOKUP('Données projet'!$B$12,Paramètres!$A$1:$I$89,3,0)*VLOOKUP('Données projet'!$B$12,Paramètres!$A$1:$I$89,5,0)</f>
        <v>411.70403040000082</v>
      </c>
      <c r="CA138" s="13">
        <f t="shared" si="147"/>
        <v>94.145480349040895</v>
      </c>
      <c r="CB138" s="20">
        <f t="shared" si="118"/>
        <v>881.0212312212476</v>
      </c>
      <c r="CC138" s="58">
        <f t="shared" si="119"/>
        <v>1170.9011340812024</v>
      </c>
      <c r="CD138" s="58">
        <f ca="1">AVERAGE(OFFSET($CC$3,0,0,'Données projet'!$E$12+1,1))-AVERAGE(OFFSET($H$3,0,0,'Données projet'!$E$12+1,1))</f>
        <v>684.45757350513315</v>
      </c>
      <c r="CE138" s="58">
        <f t="shared" si="148"/>
        <v>301.78148341369194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46.137910134461009</v>
      </c>
      <c r="CL138" s="21">
        <f>EXP(-LN(2)/25)*CL137+(1-EXP(-LN(2)/25))/(LN(2)/25)*Calculateur!CG138*Calculateur!CI138*VLOOKUP('Données projet'!$B$12,Paramètres!$A$1:$I$89,3,0)*0.475*44/12</f>
        <v>24.314601719520851</v>
      </c>
      <c r="CM138" s="21">
        <f>EXP(-LN(2)/2)*CM137+(1-EXP(-LN(2)/2))/(LN(2)/2)*CG138*CJ138*VLOOKUP('Données projet'!$B$12,Paramètres!$A$1:$I$89,3,0)*0.475*44/12</f>
        <v>0.11866318566670235</v>
      </c>
      <c r="CN138" s="22">
        <f t="shared" si="120"/>
        <v>70.571175039648566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8" t="e">
        <f t="shared" si="122"/>
        <v>#N/A</v>
      </c>
      <c r="CY138" s="58" t="e">
        <f ca="1">AVERAGE(OFFSET($CX$3,0,0,'Données projet'!$E$13+1,1))-AVERAGE(OFFSET($H$3,0,0,'Données projet'!$E$13+1,1))</f>
        <v>#N/A</v>
      </c>
      <c r="CZ138" s="58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8" t="e">
        <f t="shared" si="125"/>
        <v>#N/A</v>
      </c>
      <c r="DT138" s="58" t="e">
        <f ca="1">AVERAGE(OFFSET($DS$3,0,0,'Données projet'!$E$14+1,1))-AVERAGE(OFFSET($H$3,0,0,'Données projet'!$E$14+1,1))</f>
        <v>#N/A</v>
      </c>
      <c r="DU138" s="58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8" t="e">
        <f t="shared" si="128"/>
        <v>#N/A</v>
      </c>
      <c r="EO138" s="58" t="e">
        <f ca="1">AVERAGE(OFFSET($EN$3,0,0,'Données projet'!$E$15+1,1))-AVERAGE(OFFSET($H$3,0,0,'Données projet'!$E$15+1,1))</f>
        <v>#N/A</v>
      </c>
      <c r="EP138" s="58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8" t="e">
        <f t="shared" si="131"/>
        <v>#N/A</v>
      </c>
      <c r="FJ138" s="58" t="e">
        <f ca="1">AVERAGE(OFFSET($FI$3,0,0,'Données projet'!$E$16+1,1))-AVERAGE(OFFSET($H$3,0,0,'Données projet'!$E$16+1,1))</f>
        <v>#N/A</v>
      </c>
      <c r="FK138" s="58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8" t="e">
        <f t="shared" si="134"/>
        <v>#N/A</v>
      </c>
      <c r="GE138" s="58" t="e">
        <f ca="1">AVERAGE(OFFSET($GD$3,0,0,'Données projet'!$E$17+1,1))-AVERAGE(OFFSET($H$3,0,0,'Données projet'!$E$17+1,1))</f>
        <v>#N/A</v>
      </c>
      <c r="GF138" s="58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69.058155325442229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8" t="e">
        <f t="shared" si="137"/>
        <v>#N/A</v>
      </c>
      <c r="GZ138" s="58" t="e">
        <f ca="1">AVERAGE(OFFSET($GY$3,0,0,'Données projet'!$E$18+1,1))-AVERAGE(OFFSET($H$3,0,0,'Données projet'!$E$18+1,1))</f>
        <v>#N/A</v>
      </c>
      <c r="HA138" s="58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2">
        <f>'Scénario référence'!$B$16*5+'Scénario référence'!$B$17*0+'Scénario référence'!$B$18*5</f>
        <v>2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7.333333333333333</v>
      </c>
      <c r="H139" s="66">
        <f t="shared" si="110"/>
        <v>227.33333333333334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9.1440000000000055</v>
      </c>
      <c r="N139" s="13">
        <f>IF('Données projet'!$A$36&gt;35,N138+M139-V138,IF(A139&lt;'Données projet'!$A$36,$K$205^A139,IF(A139='Données projet'!$A$36,'Données projet'!$B$36,N138+M139-V138)))</f>
        <v>441.78800000000092</v>
      </c>
      <c r="O139" s="13">
        <f>N139*VLOOKUP('Données projet'!$B$9,Paramètres!$A$1:$I$89,3,0)*VLOOKUP('Données projet'!$B$9,Paramètres!$A$1:$I$89,5,0)</f>
        <v>399.72978240000077</v>
      </c>
      <c r="P139" s="13">
        <f t="shared" si="141"/>
        <v>91.721880595341759</v>
      </c>
      <c r="Q139" s="20">
        <f t="shared" si="108"/>
        <v>855.94497971688827</v>
      </c>
      <c r="R139" s="58">
        <f t="shared" si="109"/>
        <v>1145.8847918748424</v>
      </c>
      <c r="S139" s="58">
        <f ca="1">AVERAGE(OFFSET($R$3,0,0,'Données projet'!$E$9+1,1))-AVERAGE(OFFSET($H$3,0,0,'Données projet'!$E$9+1,1))</f>
        <v>654.0179680178212</v>
      </c>
      <c r="T139" s="58">
        <f t="shared" si="142"/>
        <v>289.42065570013369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43.008591537181964</v>
      </c>
      <c r="AA139" s="21">
        <f>EXP(-LN(2)/25)*AA138+(1-EXP(-LN(2)/25))/(LN(2)/25)*Calculateur!V139*Calculateur!X139*VLOOKUP('Données projet'!$B$9,Paramètres!$A$1:$I$89,3,0)*0.475*44/12</f>
        <v>22.486616788481491</v>
      </c>
      <c r="AB139" s="21">
        <f>EXP(-LN(2)/2)*AB138+(1-EXP(-LN(2)/2))/(LN(2)/2)*V139*Y139*VLOOKUP('Données projet'!$B$9,Paramètres!$A$1:$I$89,3,0)*0.475*44/12</f>
        <v>7.9780942773822389E-2</v>
      </c>
      <c r="AC139" s="22">
        <f t="shared" si="111"/>
        <v>65.574989268437278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8">
        <f t="shared" si="113"/>
        <v>289.93981215796089</v>
      </c>
      <c r="AN139" s="58">
        <f ca="1">AVERAGE(OFFSET($AM$3,0,0,'Données projet'!$E$10+1,1))-AVERAGE(OFFSET($H$3,0,0,'Données projet'!$E$10+1,1))</f>
        <v>447.44638185108147</v>
      </c>
      <c r="AO139" s="58">
        <f t="shared" si="144"/>
        <v>384.84260115068605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58.522049842778436</v>
      </c>
      <c r="AV139" s="21">
        <f>EXP(-LN(2)/25)*AV138+(1-EXP(-LN(2)/25))/(LN(2)/25)*Calculateur!AQ139*Calculateur!AS139*VLOOKUP('Données projet'!$B$10,Paramètres!$A$1:$I$89,3,0)*0.475*44/12</f>
        <v>12.310398841238941</v>
      </c>
      <c r="AW139" s="21">
        <f>EXP(-LN(2)/2)*AW138+(1-EXP(-LN(2)/2))/(LN(2)/2)*AQ139*AT139*VLOOKUP('Données projet'!$B$10,Paramètres!$A$1:$I$89,3,0)*0.475*44/12</f>
        <v>8.5056238168361676E-8</v>
      </c>
      <c r="AX139" s="21">
        <f t="shared" si="114"/>
        <v>70.832448769073622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447.97303200000096</v>
      </c>
      <c r="BF139" s="13">
        <f t="shared" si="145"/>
        <v>101.43742531380877</v>
      </c>
      <c r="BG139" s="20">
        <f t="shared" si="115"/>
        <v>956.88987982155186</v>
      </c>
      <c r="BH139" s="58">
        <f t="shared" si="116"/>
        <v>1246.8296919795059</v>
      </c>
      <c r="BI139" s="58">
        <f ca="1">AVERAGE(OFFSET($BH$3,0,0,'Données projet'!$E$11+1,1))-AVERAGE(OFFSET($H$3,0,0,'Données projet'!$E$11+1,1))</f>
        <v>724.99760740673071</v>
      </c>
      <c r="BJ139" s="58">
        <f t="shared" si="146"/>
        <v>318.24184272438208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48.199283619255652</v>
      </c>
      <c r="BQ139" s="21">
        <f>EXP(-LN(2)/25)*BQ138+(1-EXP(-LN(2)/25))/(LN(2)/25)*Calculateur!BL139*Calculateur!BN139*VLOOKUP('Données projet'!$B$11,Paramètres!$A$1:$I$89,3,0)*0.475*44/12</f>
        <v>25.200518814677537</v>
      </c>
      <c r="BR139" s="21">
        <f>EXP(-LN(2)/2)*BR138+(1-EXP(-LN(2)/2))/(LN(2)/2)*BL139*BO139*VLOOKUP('Données projet'!$B$11,Paramètres!$A$1:$I$89,3,0)*0.475*44/12</f>
        <v>8.9409677246525029E-2</v>
      </c>
      <c r="BS139" s="22">
        <f t="shared" si="117"/>
        <v>73.489212111179711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9.1440000000000055</v>
      </c>
      <c r="BY139" s="12">
        <f>IF('Données projet'!$A$114&gt;35,BY138+BX139-CG138,IF(A139&lt;'Données projet'!$A$114,$BV$205^A139,IF(A139='Données projet'!$A$114,'Données projet'!$B$114,BY138+BX139-CG138)))</f>
        <v>441.78800000000092</v>
      </c>
      <c r="BZ139" s="13">
        <f>BY139*VLOOKUP('Données projet'!$B$12,Paramètres!$A$1:$I$89,3,0)*VLOOKUP('Données projet'!$B$12,Paramètres!$A$1:$I$89,5,0)</f>
        <v>420.40546080000092</v>
      </c>
      <c r="CA139" s="13">
        <f t="shared" si="147"/>
        <v>95.901503897465091</v>
      </c>
      <c r="CB139" s="20">
        <f t="shared" si="118"/>
        <v>899.2346301814199</v>
      </c>
      <c r="CC139" s="58">
        <f t="shared" si="119"/>
        <v>1189.1744423393739</v>
      </c>
      <c r="CD139" s="58">
        <f ca="1">AVERAGE(OFFSET($CC$3,0,0,'Données projet'!$E$12+1,1))-AVERAGE(OFFSET($H$3,0,0,'Données projet'!$E$12+1,1))</f>
        <v>684.45757350513315</v>
      </c>
      <c r="CE139" s="58">
        <f t="shared" si="148"/>
        <v>301.78148341369194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45.233173858070685</v>
      </c>
      <c r="CL139" s="21">
        <f>EXP(-LN(2)/25)*CL138+(1-EXP(-LN(2)/25))/(LN(2)/25)*Calculateur!CG139*Calculateur!CI139*VLOOKUP('Données projet'!$B$12,Paramètres!$A$1:$I$89,3,0)*0.475*44/12</f>
        <v>23.64971765685122</v>
      </c>
      <c r="CM139" s="21">
        <f>EXP(-LN(2)/2)*CM138+(1-EXP(-LN(2)/2))/(LN(2)/2)*CG139*CJ139*VLOOKUP('Données projet'!$B$12,Paramètres!$A$1:$I$89,3,0)*0.475*44/12</f>
        <v>8.3907543262123574E-2</v>
      </c>
      <c r="CN139" s="22">
        <f t="shared" si="120"/>
        <v>68.966799058184037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8" t="e">
        <f t="shared" si="122"/>
        <v>#N/A</v>
      </c>
      <c r="CY139" s="58" t="e">
        <f ca="1">AVERAGE(OFFSET($CX$3,0,0,'Données projet'!$E$13+1,1))-AVERAGE(OFFSET($H$3,0,0,'Données projet'!$E$13+1,1))</f>
        <v>#N/A</v>
      </c>
      <c r="CZ139" s="58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8" t="e">
        <f t="shared" si="125"/>
        <v>#N/A</v>
      </c>
      <c r="DT139" s="58" t="e">
        <f ca="1">AVERAGE(OFFSET($DS$3,0,0,'Données projet'!$E$14+1,1))-AVERAGE(OFFSET($H$3,0,0,'Données projet'!$E$14+1,1))</f>
        <v>#N/A</v>
      </c>
      <c r="DU139" s="58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8" t="e">
        <f t="shared" si="128"/>
        <v>#N/A</v>
      </c>
      <c r="EO139" s="58" t="e">
        <f ca="1">AVERAGE(OFFSET($EN$3,0,0,'Données projet'!$E$15+1,1))-AVERAGE(OFFSET($H$3,0,0,'Données projet'!$E$15+1,1))</f>
        <v>#N/A</v>
      </c>
      <c r="EP139" s="58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8" t="e">
        <f t="shared" si="131"/>
        <v>#N/A</v>
      </c>
      <c r="FJ139" s="58" t="e">
        <f ca="1">AVERAGE(OFFSET($FI$3,0,0,'Données projet'!$E$16+1,1))-AVERAGE(OFFSET($H$3,0,0,'Données projet'!$E$16+1,1))</f>
        <v>#N/A</v>
      </c>
      <c r="FK139" s="58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8" t="e">
        <f t="shared" si="134"/>
        <v>#N/A</v>
      </c>
      <c r="GE139" s="58" t="e">
        <f ca="1">AVERAGE(OFFSET($GD$3,0,0,'Données projet'!$E$17+1,1))-AVERAGE(OFFSET($H$3,0,0,'Données projet'!$E$17+1,1))</f>
        <v>#N/A</v>
      </c>
      <c r="GF139" s="58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69.074494224896569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8" t="e">
        <f t="shared" si="137"/>
        <v>#N/A</v>
      </c>
      <c r="GZ139" s="58" t="e">
        <f ca="1">AVERAGE(OFFSET($GY$3,0,0,'Données projet'!$E$18+1,1))-AVERAGE(OFFSET($H$3,0,0,'Données projet'!$E$18+1,1))</f>
        <v>#N/A</v>
      </c>
      <c r="HA139" s="58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2">
        <f>'Scénario référence'!$B$16*5+'Scénario référence'!$B$17*0+'Scénario référence'!$B$18*5</f>
        <v>2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7.333333333333333</v>
      </c>
      <c r="H140" s="66">
        <f t="shared" si="110"/>
        <v>227.33333333333334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9.1440000000000055</v>
      </c>
      <c r="N140" s="13">
        <f>IF('Données projet'!$A$36&gt;35,N139+M140-V139,IF(A140&lt;'Données projet'!$A$36,$K$205^A140,IF(A140='Données projet'!$A$36,'Données projet'!$B$36,N139+M140-V139)))</f>
        <v>450.93200000000093</v>
      </c>
      <c r="O140" s="13">
        <f>N140*VLOOKUP('Données projet'!$B$9,Paramètres!$A$1:$I$89,3,0)*VLOOKUP('Données projet'!$B$9,Paramètres!$A$1:$I$89,5,0)</f>
        <v>408.00327360000085</v>
      </c>
      <c r="P140" s="13">
        <f t="shared" si="141"/>
        <v>93.397330631669121</v>
      </c>
      <c r="Q140" s="20">
        <f t="shared" si="108"/>
        <v>873.27271903682515</v>
      </c>
      <c r="R140" s="58">
        <f t="shared" si="109"/>
        <v>1163.2714012003953</v>
      </c>
      <c r="S140" s="58">
        <f ca="1">AVERAGE(OFFSET($R$3,0,0,'Données projet'!$E$9+1,1))-AVERAGE(OFFSET($H$3,0,0,'Données projet'!$E$9+1,1))</f>
        <v>654.0179680178212</v>
      </c>
      <c r="T140" s="58">
        <f t="shared" si="142"/>
        <v>289.42065570013369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42.165219289788404</v>
      </c>
      <c r="AA140" s="21">
        <f>EXP(-LN(2)/25)*AA139+(1-EXP(-LN(2)/25))/(LN(2)/25)*Calculateur!V140*Calculateur!X140*VLOOKUP('Données projet'!$B$9,Paramètres!$A$1:$I$89,3,0)*0.475*44/12</f>
        <v>21.871719069880683</v>
      </c>
      <c r="AB140" s="21">
        <f>EXP(-LN(2)/2)*AB139+(1-EXP(-LN(2)/2))/(LN(2)/2)*V140*Y140*VLOOKUP('Données projet'!$B$9,Paramètres!$A$1:$I$89,3,0)*0.475*44/12</f>
        <v>5.6413645644825698E-2</v>
      </c>
      <c r="AC140" s="22">
        <f t="shared" si="111"/>
        <v>64.093352005313903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8">
        <f t="shared" si="113"/>
        <v>289.99868216357697</v>
      </c>
      <c r="AN140" s="58">
        <f ca="1">AVERAGE(OFFSET($AM$3,0,0,'Données projet'!$E$10+1,1))-AVERAGE(OFFSET($H$3,0,0,'Données projet'!$E$10+1,1))</f>
        <v>447.44638185108147</v>
      </c>
      <c r="AO140" s="58">
        <f t="shared" si="144"/>
        <v>384.84260115068605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57.374468140287377</v>
      </c>
      <c r="AV140" s="21">
        <f>EXP(-LN(2)/25)*AV139+(1-EXP(-LN(2)/25))/(LN(2)/25)*Calculateur!AQ140*Calculateur!AS140*VLOOKUP('Données projet'!$B$10,Paramètres!$A$1:$I$89,3,0)*0.475*44/12</f>
        <v>11.973770337549523</v>
      </c>
      <c r="AW140" s="21">
        <f>EXP(-LN(2)/2)*AW139+(1-EXP(-LN(2)/2))/(LN(2)/2)*AQ140*AT140*VLOOKUP('Données projet'!$B$10,Paramètres!$A$1:$I$89,3,0)*0.475*44/12</f>
        <v>6.014384279106659E-8</v>
      </c>
      <c r="AX140" s="21">
        <f t="shared" si="114"/>
        <v>69.348238537980748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457.24504800000096</v>
      </c>
      <c r="BF140" s="13">
        <f t="shared" si="145"/>
        <v>103.29034565107023</v>
      </c>
      <c r="BG140" s="20">
        <f t="shared" si="115"/>
        <v>976.26581060894898</v>
      </c>
      <c r="BH140" s="58">
        <f t="shared" si="116"/>
        <v>1266.2644927725191</v>
      </c>
      <c r="BI140" s="58">
        <f ca="1">AVERAGE(OFFSET($BH$3,0,0,'Données projet'!$E$11+1,1))-AVERAGE(OFFSET($H$3,0,0,'Données projet'!$E$11+1,1))</f>
        <v>724.99760740673071</v>
      </c>
      <c r="BJ140" s="58">
        <f t="shared" si="146"/>
        <v>318.24184272438208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47.25412506614218</v>
      </c>
      <c r="BQ140" s="21">
        <f>EXP(-LN(2)/25)*BQ139+(1-EXP(-LN(2)/25))/(LN(2)/25)*Calculateur!BL140*Calculateur!BN140*VLOOKUP('Données projet'!$B$11,Paramètres!$A$1:$I$89,3,0)*0.475*44/12</f>
        <v>24.511409302452492</v>
      </c>
      <c r="BR140" s="21">
        <f>EXP(-LN(2)/2)*BR139+(1-EXP(-LN(2)/2))/(LN(2)/2)*BL140*BO140*VLOOKUP('Données projet'!$B$11,Paramètres!$A$1:$I$89,3,0)*0.475*44/12</f>
        <v>6.3222189084718411E-2</v>
      </c>
      <c r="BS140" s="22">
        <f t="shared" si="117"/>
        <v>71.828756557679384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9.1440000000000055</v>
      </c>
      <c r="BY140" s="12">
        <f>IF('Données projet'!$A$114&gt;35,BY139+BX140-CG139,IF(A140&lt;'Données projet'!$A$114,$BV$205^A140,IF(A140='Données projet'!$A$114,'Données projet'!$B$114,BY139+BX140-CG139)))</f>
        <v>450.93200000000093</v>
      </c>
      <c r="BZ140" s="13">
        <f>BY140*VLOOKUP('Données projet'!$B$12,Paramètres!$A$1:$I$89,3,0)*VLOOKUP('Données projet'!$B$12,Paramètres!$A$1:$I$89,5,0)</f>
        <v>429.10689120000086</v>
      </c>
      <c r="CA140" s="13">
        <f t="shared" si="147"/>
        <v>97.653301583534528</v>
      </c>
      <c r="CB140" s="20">
        <f t="shared" si="118"/>
        <v>917.44066909799074</v>
      </c>
      <c r="CC140" s="58">
        <f t="shared" si="119"/>
        <v>1207.4393512615609</v>
      </c>
      <c r="CD140" s="58">
        <f ca="1">AVERAGE(OFFSET($CC$3,0,0,'Données projet'!$E$12+1,1))-AVERAGE(OFFSET($H$3,0,0,'Données projet'!$E$12+1,1))</f>
        <v>684.45757350513315</v>
      </c>
      <c r="CE140" s="58">
        <f t="shared" si="148"/>
        <v>301.78148341369194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44.346178908225738</v>
      </c>
      <c r="CL140" s="21">
        <f>EXP(-LN(2)/25)*CL139+(1-EXP(-LN(2)/25))/(LN(2)/25)*Calculateur!CG140*Calculateur!CI140*VLOOKUP('Données projet'!$B$12,Paramètres!$A$1:$I$89,3,0)*0.475*44/12</f>
        <v>23.003014883840024</v>
      </c>
      <c r="CM140" s="21">
        <f>EXP(-LN(2)/2)*CM139+(1-EXP(-LN(2)/2))/(LN(2)/2)*CG140*CJ140*VLOOKUP('Données projet'!$B$12,Paramètres!$A$1:$I$89,3,0)*0.475*44/12</f>
        <v>5.9331592833351189E-2</v>
      </c>
      <c r="CN140" s="22">
        <f t="shared" si="120"/>
        <v>67.408525384899107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8" t="e">
        <f t="shared" si="122"/>
        <v>#N/A</v>
      </c>
      <c r="CY140" s="58" t="e">
        <f ca="1">AVERAGE(OFFSET($CX$3,0,0,'Données projet'!$E$13+1,1))-AVERAGE(OFFSET($H$3,0,0,'Données projet'!$E$13+1,1))</f>
        <v>#N/A</v>
      </c>
      <c r="CZ140" s="58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8" t="e">
        <f t="shared" si="125"/>
        <v>#N/A</v>
      </c>
      <c r="DT140" s="58" t="e">
        <f ca="1">AVERAGE(OFFSET($DS$3,0,0,'Données projet'!$E$14+1,1))-AVERAGE(OFFSET($H$3,0,0,'Données projet'!$E$14+1,1))</f>
        <v>#N/A</v>
      </c>
      <c r="DU140" s="58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8" t="e">
        <f t="shared" si="128"/>
        <v>#N/A</v>
      </c>
      <c r="EO140" s="58" t="e">
        <f ca="1">AVERAGE(OFFSET($EN$3,0,0,'Données projet'!$E$15+1,1))-AVERAGE(OFFSET($H$3,0,0,'Données projet'!$E$15+1,1))</f>
        <v>#N/A</v>
      </c>
      <c r="EP140" s="58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8" t="e">
        <f t="shared" si="131"/>
        <v>#N/A</v>
      </c>
      <c r="FJ140" s="58" t="e">
        <f ca="1">AVERAGE(OFFSET($FI$3,0,0,'Données projet'!$E$16+1,1))-AVERAGE(OFFSET($H$3,0,0,'Données projet'!$E$16+1,1))</f>
        <v>#N/A</v>
      </c>
      <c r="FK140" s="58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8" t="e">
        <f t="shared" si="134"/>
        <v>#N/A</v>
      </c>
      <c r="GE140" s="58" t="e">
        <f ca="1">AVERAGE(OFFSET($GD$3,0,0,'Données projet'!$E$17+1,1))-AVERAGE(OFFSET($H$3,0,0,'Données projet'!$E$17+1,1))</f>
        <v>#N/A</v>
      </c>
      <c r="GF140" s="58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69.09054968097368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8" t="e">
        <f t="shared" si="137"/>
        <v>#N/A</v>
      </c>
      <c r="GZ140" s="58" t="e">
        <f ca="1">AVERAGE(OFFSET($GY$3,0,0,'Données projet'!$E$18+1,1))-AVERAGE(OFFSET($H$3,0,0,'Données projet'!$E$18+1,1))</f>
        <v>#N/A</v>
      </c>
      <c r="HA140" s="58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2">
        <f>'Scénario référence'!$B$16*5+'Scénario référence'!$B$17*0+'Scénario référence'!$B$18*5</f>
        <v>2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7.333333333333333</v>
      </c>
      <c r="H141" s="66">
        <f t="shared" si="110"/>
        <v>227.33333333333334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9.1440000000000055</v>
      </c>
      <c r="N141" s="13">
        <f>IF('Données projet'!$A$36&gt;35,N140+M141-V140,IF(A141&lt;'Données projet'!$A$36,$K$205^A141,IF(A141='Données projet'!$A$36,'Données projet'!$B$36,N140+M141-V140)))</f>
        <v>460.07600000000093</v>
      </c>
      <c r="O141" s="13">
        <f>N141*VLOOKUP('Données projet'!$B$9,Paramètres!$A$1:$I$89,3,0)*VLOOKUP('Données projet'!$B$9,Paramètres!$A$1:$I$89,5,0)</f>
        <v>416.27676480000082</v>
      </c>
      <c r="P141" s="13">
        <f t="shared" si="141"/>
        <v>95.068830381071379</v>
      </c>
      <c r="Q141" s="20">
        <f t="shared" si="108"/>
        <v>890.5935782737007</v>
      </c>
      <c r="R141" s="58">
        <f t="shared" si="109"/>
        <v>1180.6501091799032</v>
      </c>
      <c r="S141" s="58">
        <f ca="1">AVERAGE(OFFSET($R$3,0,0,'Données projet'!$E$9+1,1))-AVERAGE(OFFSET($H$3,0,0,'Données projet'!$E$9+1,1))</f>
        <v>654.0179680178212</v>
      </c>
      <c r="T141" s="58">
        <f t="shared" si="142"/>
        <v>289.42065570013369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41.338385057759957</v>
      </c>
      <c r="AA141" s="21">
        <f>EXP(-LN(2)/25)*AA140+(1-EXP(-LN(2)/25))/(LN(2)/25)*Calculateur!V141*Calculateur!X141*VLOOKUP('Données projet'!$B$9,Paramètres!$A$1:$I$89,3,0)*0.475*44/12</f>
        <v>21.273635761731079</v>
      </c>
      <c r="AB141" s="21">
        <f>EXP(-LN(2)/2)*AB140+(1-EXP(-LN(2)/2))/(LN(2)/2)*V141*Y141*VLOOKUP('Données projet'!$B$9,Paramètres!$A$1:$I$89,3,0)*0.475*44/12</f>
        <v>3.9890471386911194E-2</v>
      </c>
      <c r="AC141" s="22">
        <f t="shared" si="111"/>
        <v>62.651911290877948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8">
        <f t="shared" si="113"/>
        <v>290.05653090620922</v>
      </c>
      <c r="AN141" s="58">
        <f ca="1">AVERAGE(OFFSET($AM$3,0,0,'Données projet'!$E$10+1,1))-AVERAGE(OFFSET($H$3,0,0,'Données projet'!$E$10+1,1))</f>
        <v>447.44638185108147</v>
      </c>
      <c r="AO141" s="58">
        <f t="shared" si="144"/>
        <v>384.84260115068605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56.24938981502644</v>
      </c>
      <c r="AV141" s="21">
        <f>EXP(-LN(2)/25)*AV140+(1-EXP(-LN(2)/25))/(LN(2)/25)*Calculateur!AQ141*Calculateur!AS141*VLOOKUP('Données projet'!$B$10,Paramètres!$A$1:$I$89,3,0)*0.475*44/12</f>
        <v>11.646346957996014</v>
      </c>
      <c r="AW141" s="21">
        <f>EXP(-LN(2)/2)*AW140+(1-EXP(-LN(2)/2))/(LN(2)/2)*AQ141*AT141*VLOOKUP('Données projet'!$B$10,Paramètres!$A$1:$I$89,3,0)*0.475*44/12</f>
        <v>4.2528119084180838E-8</v>
      </c>
      <c r="AX141" s="21">
        <f t="shared" si="114"/>
        <v>67.895736815550563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466.51706400000097</v>
      </c>
      <c r="BF141" s="13">
        <f t="shared" si="145"/>
        <v>105.13889727137632</v>
      </c>
      <c r="BG141" s="20">
        <f t="shared" si="115"/>
        <v>995.63413254764862</v>
      </c>
      <c r="BH141" s="58">
        <f t="shared" si="116"/>
        <v>1285.6906634538509</v>
      </c>
      <c r="BI141" s="58">
        <f ca="1">AVERAGE(OFFSET($BH$3,0,0,'Données projet'!$E$11+1,1))-AVERAGE(OFFSET($H$3,0,0,'Données projet'!$E$11+1,1))</f>
        <v>724.99760740673071</v>
      </c>
      <c r="BJ141" s="58">
        <f t="shared" si="146"/>
        <v>318.24184272438208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46.32750049576547</v>
      </c>
      <c r="BQ141" s="21">
        <f>EXP(-LN(2)/25)*BQ140+(1-EXP(-LN(2)/25))/(LN(2)/25)*Calculateur!BL141*Calculateur!BN141*VLOOKUP('Données projet'!$B$11,Paramètres!$A$1:$I$89,3,0)*0.475*44/12</f>
        <v>23.841143526077936</v>
      </c>
      <c r="BR141" s="21">
        <f>EXP(-LN(2)/2)*BR140+(1-EXP(-LN(2)/2))/(LN(2)/2)*BL141*BO141*VLOOKUP('Données projet'!$B$11,Paramètres!$A$1:$I$89,3,0)*0.475*44/12</f>
        <v>4.4704838623262515E-2</v>
      </c>
      <c r="BS141" s="22">
        <f t="shared" si="117"/>
        <v>70.213348860466667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9.1440000000000055</v>
      </c>
      <c r="BY141" s="12">
        <f>IF('Données projet'!$A$114&gt;35,BY140+BX141-CG140,IF(A141&lt;'Données projet'!$A$114,$BV$205^A141,IF(A141='Données projet'!$A$114,'Données projet'!$B$114,BY140+BX141-CG140)))</f>
        <v>460.07600000000093</v>
      </c>
      <c r="BZ141" s="13">
        <f>BY141*VLOOKUP('Données projet'!$B$12,Paramètres!$A$1:$I$89,3,0)*VLOOKUP('Données projet'!$B$12,Paramètres!$A$1:$I$89,5,0)</f>
        <v>437.80832160000091</v>
      </c>
      <c r="CA141" s="13">
        <f t="shared" si="147"/>
        <v>99.400968974253743</v>
      </c>
      <c r="CB141" s="20">
        <f t="shared" si="118"/>
        <v>935.63951441682673</v>
      </c>
      <c r="CC141" s="58">
        <f t="shared" si="119"/>
        <v>1225.696045323029</v>
      </c>
      <c r="CD141" s="58">
        <f ca="1">AVERAGE(OFFSET($CC$3,0,0,'Données projet'!$E$12+1,1))-AVERAGE(OFFSET($H$3,0,0,'Données projet'!$E$12+1,1))</f>
        <v>684.45757350513315</v>
      </c>
      <c r="CE141" s="58">
        <f t="shared" si="148"/>
        <v>301.78148341369194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43.476577388333752</v>
      </c>
      <c r="CL141" s="21">
        <f>EXP(-LN(2)/25)*CL140+(1-EXP(-LN(2)/25))/(LN(2)/25)*Calculateur!CG141*Calculateur!CI141*VLOOKUP('Données projet'!$B$12,Paramètres!$A$1:$I$89,3,0)*0.475*44/12</f>
        <v>22.373996232165439</v>
      </c>
      <c r="CM141" s="21">
        <f>EXP(-LN(2)/2)*CM140+(1-EXP(-LN(2)/2))/(LN(2)/2)*CG141*CJ141*VLOOKUP('Données projet'!$B$12,Paramètres!$A$1:$I$89,3,0)*0.475*44/12</f>
        <v>4.1953771631061794E-2</v>
      </c>
      <c r="CN141" s="22">
        <f t="shared" si="120"/>
        <v>65.892527392130248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8" t="e">
        <f t="shared" si="122"/>
        <v>#N/A</v>
      </c>
      <c r="CY141" s="58" t="e">
        <f ca="1">AVERAGE(OFFSET($CX$3,0,0,'Données projet'!$E$13+1,1))-AVERAGE(OFFSET($H$3,0,0,'Données projet'!$E$13+1,1))</f>
        <v>#N/A</v>
      </c>
      <c r="CZ141" s="58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8" t="e">
        <f t="shared" si="125"/>
        <v>#N/A</v>
      </c>
      <c r="DT141" s="58" t="e">
        <f ca="1">AVERAGE(OFFSET($DS$3,0,0,'Données projet'!$E$14+1,1))-AVERAGE(OFFSET($H$3,0,0,'Données projet'!$E$14+1,1))</f>
        <v>#N/A</v>
      </c>
      <c r="DU141" s="58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8" t="e">
        <f t="shared" si="128"/>
        <v>#N/A</v>
      </c>
      <c r="EO141" s="58" t="e">
        <f ca="1">AVERAGE(OFFSET($EN$3,0,0,'Données projet'!$E$15+1,1))-AVERAGE(OFFSET($H$3,0,0,'Données projet'!$E$15+1,1))</f>
        <v>#N/A</v>
      </c>
      <c r="EP141" s="58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8" t="e">
        <f t="shared" si="131"/>
        <v>#N/A</v>
      </c>
      <c r="FJ141" s="58" t="e">
        <f ca="1">AVERAGE(OFFSET($FI$3,0,0,'Données projet'!$E$16+1,1))-AVERAGE(OFFSET($H$3,0,0,'Données projet'!$E$16+1,1))</f>
        <v>#N/A</v>
      </c>
      <c r="FK141" s="58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8" t="e">
        <f t="shared" si="134"/>
        <v>#N/A</v>
      </c>
      <c r="GE141" s="58" t="e">
        <f ca="1">AVERAGE(OFFSET($GD$3,0,0,'Données projet'!$E$17+1,1))-AVERAGE(OFFSET($H$3,0,0,'Données projet'!$E$17+1,1))</f>
        <v>#N/A</v>
      </c>
      <c r="GF141" s="58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69.106326610782475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8" t="e">
        <f t="shared" si="137"/>
        <v>#N/A</v>
      </c>
      <c r="GZ141" s="58" t="e">
        <f ca="1">AVERAGE(OFFSET($GY$3,0,0,'Données projet'!$E$18+1,1))-AVERAGE(OFFSET($H$3,0,0,'Données projet'!$E$18+1,1))</f>
        <v>#N/A</v>
      </c>
      <c r="HA141" s="58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2">
        <f>'Scénario référence'!$B$16*5+'Scénario référence'!$B$17*0+'Scénario référence'!$B$18*5</f>
        <v>2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7.333333333333333</v>
      </c>
      <c r="H142" s="66">
        <f t="shared" si="110"/>
        <v>227.33333333333334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9.1440000000000055</v>
      </c>
      <c r="N142" s="13">
        <f>IF('Données projet'!$A$36&gt;35,N141+M142-V141,IF(A142&lt;'Données projet'!$A$36,$K$205^A142,IF(A142='Données projet'!$A$36,'Données projet'!$B$36,N141+M142-V141)))</f>
        <v>469.22000000000094</v>
      </c>
      <c r="O142" s="13">
        <f>N142*VLOOKUP('Données projet'!$B$9,Paramètres!$A$1:$I$89,3,0)*VLOOKUP('Données projet'!$B$9,Paramètres!$A$1:$I$89,5,0)</f>
        <v>424.55025600000084</v>
      </c>
      <c r="P142" s="13">
        <f t="shared" si="141"/>
        <v>96.736467404516418</v>
      </c>
      <c r="Q142" s="20">
        <f t="shared" si="108"/>
        <v>907.90770992953412</v>
      </c>
      <c r="R142" s="58">
        <f t="shared" si="109"/>
        <v>1198.0210860320144</v>
      </c>
      <c r="S142" s="58">
        <f ca="1">AVERAGE(OFFSET($R$3,0,0,'Données projet'!$E$9+1,1))-AVERAGE(OFFSET($H$3,0,0,'Données projet'!$E$9+1,1))</f>
        <v>654.0179680178212</v>
      </c>
      <c r="T142" s="58">
        <f t="shared" si="142"/>
        <v>289.42065570013369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40.527764540702499</v>
      </c>
      <c r="AA142" s="21">
        <f>EXP(-LN(2)/25)*AA141+(1-EXP(-LN(2)/25))/(LN(2)/25)*Calculateur!V142*Calculateur!X142*VLOOKUP('Données projet'!$B$9,Paramètres!$A$1:$I$89,3,0)*0.475*44/12</f>
        <v>20.691907073094658</v>
      </c>
      <c r="AB142" s="21">
        <f>EXP(-LN(2)/2)*AB141+(1-EXP(-LN(2)/2))/(LN(2)/2)*V142*Y142*VLOOKUP('Données projet'!$B$9,Paramètres!$A$1:$I$89,3,0)*0.475*44/12</f>
        <v>2.8206822822412849E-2</v>
      </c>
      <c r="AC142" s="22">
        <f t="shared" si="111"/>
        <v>61.247878436619573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8">
        <f t="shared" si="113"/>
        <v>290.11337610248717</v>
      </c>
      <c r="AN142" s="58">
        <f ca="1">AVERAGE(OFFSET($AM$3,0,0,'Données projet'!$E$10+1,1))-AVERAGE(OFFSET($H$3,0,0,'Données projet'!$E$10+1,1))</f>
        <v>447.44638185108147</v>
      </c>
      <c r="AO142" s="58">
        <f t="shared" si="144"/>
        <v>384.84260115068605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55.146373589493855</v>
      </c>
      <c r="AV142" s="21">
        <f>EXP(-LN(2)/25)*AV141+(1-EXP(-LN(2)/25))/(LN(2)/25)*Calculateur!AQ142*Calculateur!AS142*VLOOKUP('Données projet'!$B$10,Paramètres!$A$1:$I$89,3,0)*0.475*44/12</f>
        <v>11.327876987974845</v>
      </c>
      <c r="AW142" s="21">
        <f>EXP(-LN(2)/2)*AW141+(1-EXP(-LN(2)/2))/(LN(2)/2)*AQ142*AT142*VLOOKUP('Données projet'!$B$10,Paramètres!$A$1:$I$89,3,0)*0.475*44/12</f>
        <v>3.0071921395533295E-8</v>
      </c>
      <c r="AX142" s="21">
        <f t="shared" si="114"/>
        <v>66.474250607540611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475.78908000000098</v>
      </c>
      <c r="BF142" s="13">
        <f t="shared" si="145"/>
        <v>106.98317701049932</v>
      </c>
      <c r="BG142" s="20">
        <f t="shared" si="115"/>
        <v>1014.9950142932879</v>
      </c>
      <c r="BH142" s="58">
        <f t="shared" si="116"/>
        <v>1305.1083903957683</v>
      </c>
      <c r="BI142" s="58">
        <f ca="1">AVERAGE(OFFSET($BH$3,0,0,'Données projet'!$E$11+1,1))-AVERAGE(OFFSET($H$3,0,0,'Données projet'!$E$11+1,1))</f>
        <v>724.99760740673071</v>
      </c>
      <c r="BJ142" s="58">
        <f t="shared" si="146"/>
        <v>318.24184272438208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45.419046468028668</v>
      </c>
      <c r="BQ142" s="21">
        <f>EXP(-LN(2)/25)*BQ141+(1-EXP(-LN(2)/25))/(LN(2)/25)*Calculateur!BL142*Calculateur!BN142*VLOOKUP('Données projet'!$B$11,Paramètres!$A$1:$I$89,3,0)*0.475*44/12</f>
        <v>23.189206202606087</v>
      </c>
      <c r="BR142" s="21">
        <f>EXP(-LN(2)/2)*BR141+(1-EXP(-LN(2)/2))/(LN(2)/2)*BL142*BO142*VLOOKUP('Données projet'!$B$11,Paramètres!$A$1:$I$89,3,0)*0.475*44/12</f>
        <v>3.1611094542359205E-2</v>
      </c>
      <c r="BS142" s="22">
        <f t="shared" si="117"/>
        <v>68.639863765177111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9.1440000000000055</v>
      </c>
      <c r="BY142" s="12">
        <f>IF('Données projet'!$A$114&gt;35,BY141+BX142-CG141,IF(A142&lt;'Données projet'!$A$114,$BV$205^A142,IF(A142='Données projet'!$A$114,'Données projet'!$B$114,BY141+BX142-CG141)))</f>
        <v>469.22000000000094</v>
      </c>
      <c r="BZ142" s="13">
        <f>BY142*VLOOKUP('Données projet'!$B$12,Paramètres!$A$1:$I$89,3,0)*VLOOKUP('Données projet'!$B$12,Paramètres!$A$1:$I$89,5,0)</f>
        <v>446.5097520000009</v>
      </c>
      <c r="CA142" s="13">
        <f t="shared" si="147"/>
        <v>101.14459762060724</v>
      </c>
      <c r="CB142" s="20">
        <f t="shared" si="118"/>
        <v>953.8313255892258</v>
      </c>
      <c r="CC142" s="58">
        <f t="shared" si="119"/>
        <v>1243.9447016917061</v>
      </c>
      <c r="CD142" s="58">
        <f ca="1">AVERAGE(OFFSET($CC$3,0,0,'Données projet'!$E$12+1,1))-AVERAGE(OFFSET($H$3,0,0,'Données projet'!$E$12+1,1))</f>
        <v>684.45757350513315</v>
      </c>
      <c r="CE142" s="58">
        <f t="shared" si="148"/>
        <v>301.78148341369194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42.624028223842288</v>
      </c>
      <c r="CL142" s="21">
        <f>EXP(-LN(2)/25)*CL141+(1-EXP(-LN(2)/25))/(LN(2)/25)*Calculateur!CG142*Calculateur!CI142*VLOOKUP('Données projet'!$B$12,Paramètres!$A$1:$I$89,3,0)*0.475*44/12</f>
        <v>21.762178128599551</v>
      </c>
      <c r="CM142" s="21">
        <f>EXP(-LN(2)/2)*CM141+(1-EXP(-LN(2)/2))/(LN(2)/2)*CG142*CJ142*VLOOKUP('Données projet'!$B$12,Paramètres!$A$1:$I$89,3,0)*0.475*44/12</f>
        <v>2.9665796416675598E-2</v>
      </c>
      <c r="CN142" s="22">
        <f t="shared" si="120"/>
        <v>64.415872148858512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8" t="e">
        <f t="shared" si="122"/>
        <v>#N/A</v>
      </c>
      <c r="CY142" s="58" t="e">
        <f ca="1">AVERAGE(OFFSET($CX$3,0,0,'Données projet'!$E$13+1,1))-AVERAGE(OFFSET($H$3,0,0,'Données projet'!$E$13+1,1))</f>
        <v>#N/A</v>
      </c>
      <c r="CZ142" s="58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8" t="e">
        <f t="shared" si="125"/>
        <v>#N/A</v>
      </c>
      <c r="DT142" s="58" t="e">
        <f ca="1">AVERAGE(OFFSET($DS$3,0,0,'Données projet'!$E$14+1,1))-AVERAGE(OFFSET($H$3,0,0,'Données projet'!$E$14+1,1))</f>
        <v>#N/A</v>
      </c>
      <c r="DU142" s="58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8" t="e">
        <f t="shared" si="128"/>
        <v>#N/A</v>
      </c>
      <c r="EO142" s="58" t="e">
        <f ca="1">AVERAGE(OFFSET($EN$3,0,0,'Données projet'!$E$15+1,1))-AVERAGE(OFFSET($H$3,0,0,'Données projet'!$E$15+1,1))</f>
        <v>#N/A</v>
      </c>
      <c r="EP142" s="58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8" t="e">
        <f t="shared" si="131"/>
        <v>#N/A</v>
      </c>
      <c r="FJ142" s="58" t="e">
        <f ca="1">AVERAGE(OFFSET($FI$3,0,0,'Données projet'!$E$16+1,1))-AVERAGE(OFFSET($H$3,0,0,'Données projet'!$E$16+1,1))</f>
        <v>#N/A</v>
      </c>
      <c r="FK142" s="58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8" t="e">
        <f t="shared" si="134"/>
        <v>#N/A</v>
      </c>
      <c r="GE142" s="58" t="e">
        <f ca="1">AVERAGE(OFFSET($GD$3,0,0,'Données projet'!$E$17+1,1))-AVERAGE(OFFSET($H$3,0,0,'Données projet'!$E$17+1,1))</f>
        <v>#N/A</v>
      </c>
      <c r="GF142" s="58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69.121829846131007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8" t="e">
        <f t="shared" si="137"/>
        <v>#N/A</v>
      </c>
      <c r="GZ142" s="58" t="e">
        <f ca="1">AVERAGE(OFFSET($GY$3,0,0,'Données projet'!$E$18+1,1))-AVERAGE(OFFSET($H$3,0,0,'Données projet'!$E$18+1,1))</f>
        <v>#N/A</v>
      </c>
      <c r="HA142" s="58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2">
        <f>'Scénario référence'!$B$16*5+'Scénario référence'!$B$17*0+'Scénario référence'!$B$18*5</f>
        <v>2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7.333333333333333</v>
      </c>
      <c r="H143" s="66">
        <f t="shared" si="110"/>
        <v>227.33333333333334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9.1440000000000055</v>
      </c>
      <c r="N143" s="13">
        <f>IF('Données projet'!$A$36&gt;35,N142+M143-V142,IF(A143&lt;'Données projet'!$A$36,$K$205^A143,IF(A143='Données projet'!$A$36,'Données projet'!$B$36,N142+M143-V142)))</f>
        <v>478.36400000000094</v>
      </c>
      <c r="O143" s="13">
        <f>N143*VLOOKUP('Données projet'!$B$9,Paramètres!$A$1:$I$89,3,0)*VLOOKUP('Données projet'!$B$9,Paramètres!$A$1:$I$89,5,0)</f>
        <v>432.82374720000081</v>
      </c>
      <c r="P143" s="13">
        <f t="shared" si="141"/>
        <v>98.400325655042849</v>
      </c>
      <c r="Q143" s="20">
        <f t="shared" si="108"/>
        <v>925.21526022253431</v>
      </c>
      <c r="R143" s="58">
        <f t="shared" si="109"/>
        <v>1215.384495384224</v>
      </c>
      <c r="S143" s="58">
        <f ca="1">AVERAGE(OFFSET($R$3,0,0,'Données projet'!$E$9+1,1))-AVERAGE(OFFSET($H$3,0,0,'Données projet'!$E$9+1,1))</f>
        <v>654.0179680178212</v>
      </c>
      <c r="T143" s="58">
        <f t="shared" si="142"/>
        <v>289.42065570013369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39.733039797554845</v>
      </c>
      <c r="AA143" s="21">
        <f>EXP(-LN(2)/25)*AA142+(1-EXP(-LN(2)/25))/(LN(2)/25)*Calculateur!V143*Calculateur!X143*VLOOKUP('Données projet'!$B$9,Paramètres!$A$1:$I$89,3,0)*0.475*44/12</f>
        <v>20.126085786040782</v>
      </c>
      <c r="AB143" s="21">
        <f>EXP(-LN(2)/2)*AB142+(1-EXP(-LN(2)/2))/(LN(2)/2)*V143*Y143*VLOOKUP('Données projet'!$B$9,Paramètres!$A$1:$I$89,3,0)*0.475*44/12</f>
        <v>1.9945235693455597E-2</v>
      </c>
      <c r="AC143" s="22">
        <f t="shared" si="111"/>
        <v>59.879070819289083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8">
        <f t="shared" si="113"/>
        <v>290.16923516169658</v>
      </c>
      <c r="AN143" s="58">
        <f ca="1">AVERAGE(OFFSET($AM$3,0,0,'Données projet'!$E$10+1,1))-AVERAGE(OFFSET($H$3,0,0,'Données projet'!$E$10+1,1))</f>
        <v>447.44638185108147</v>
      </c>
      <c r="AO143" s="58">
        <f t="shared" si="144"/>
        <v>384.84260115068605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54.064986839370498</v>
      </c>
      <c r="AV143" s="21">
        <f>EXP(-LN(2)/25)*AV142+(1-EXP(-LN(2)/25))/(LN(2)/25)*Calculateur!AQ143*Calculateur!AS143*VLOOKUP('Données projet'!$B$10,Paramètres!$A$1:$I$89,3,0)*0.475*44/12</f>
        <v>11.018115596031512</v>
      </c>
      <c r="AW143" s="21">
        <f>EXP(-LN(2)/2)*AW142+(1-EXP(-LN(2)/2))/(LN(2)/2)*AQ143*AT143*VLOOKUP('Données projet'!$B$10,Paramètres!$A$1:$I$89,3,0)*0.475*44/12</f>
        <v>2.1264059542090419E-8</v>
      </c>
      <c r="AX143" s="21">
        <f t="shared" si="114"/>
        <v>65.083102456666069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485.06109600000099</v>
      </c>
      <c r="BF143" s="13">
        <f t="shared" si="145"/>
        <v>108.82327771411607</v>
      </c>
      <c r="BG143" s="20">
        <f t="shared" si="115"/>
        <v>1034.348617552087</v>
      </c>
      <c r="BH143" s="58">
        <f t="shared" si="116"/>
        <v>1324.5178527137768</v>
      </c>
      <c r="BI143" s="58">
        <f ca="1">AVERAGE(OFFSET($BH$3,0,0,'Données projet'!$E$11+1,1))-AVERAGE(OFFSET($H$3,0,0,'Données projet'!$E$11+1,1))</f>
        <v>724.99760740673071</v>
      </c>
      <c r="BJ143" s="58">
        <f t="shared" si="146"/>
        <v>318.24184272438208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44.528406669673537</v>
      </c>
      <c r="BQ143" s="21">
        <f>EXP(-LN(2)/25)*BQ142+(1-EXP(-LN(2)/25))/(LN(2)/25)*Calculateur!BL143*Calculateur!BN143*VLOOKUP('Données projet'!$B$11,Paramètres!$A$1:$I$89,3,0)*0.475*44/12</f>
        <v>22.555096139528469</v>
      </c>
      <c r="BR143" s="21">
        <f>EXP(-LN(2)/2)*BR142+(1-EXP(-LN(2)/2))/(LN(2)/2)*BL143*BO143*VLOOKUP('Données projet'!$B$11,Paramètres!$A$1:$I$89,3,0)*0.475*44/12</f>
        <v>2.2352419311631257E-2</v>
      </c>
      <c r="BS143" s="22">
        <f t="shared" si="117"/>
        <v>67.105855228513633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9.1440000000000055</v>
      </c>
      <c r="BY143" s="12">
        <f>IF('Données projet'!$A$114&gt;35,BY142+BX143-CG142,IF(A143&lt;'Données projet'!$A$114,$BV$205^A143,IF(A143='Données projet'!$A$114,'Données projet'!$B$114,BY142+BX143-CG142)))</f>
        <v>478.36400000000094</v>
      </c>
      <c r="BZ143" s="13">
        <f>BY143*VLOOKUP('Données projet'!$B$12,Paramètres!$A$1:$I$89,3,0)*VLOOKUP('Données projet'!$B$12,Paramètres!$A$1:$I$89,5,0)</f>
        <v>455.21118240000089</v>
      </c>
      <c r="CA143" s="13">
        <f t="shared" si="147"/>
        <v>102.88427530124351</v>
      </c>
      <c r="CB143" s="20">
        <f t="shared" si="118"/>
        <v>972.016255496334</v>
      </c>
      <c r="CC143" s="58">
        <f t="shared" si="119"/>
        <v>1262.1854906580238</v>
      </c>
      <c r="CD143" s="58">
        <f ca="1">AVERAGE(OFFSET($CC$3,0,0,'Données projet'!$E$12+1,1))-AVERAGE(OFFSET($H$3,0,0,'Données projet'!$E$12+1,1))</f>
        <v>684.45757350513315</v>
      </c>
      <c r="CE143" s="58">
        <f t="shared" si="148"/>
        <v>301.78148341369194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41.788197028462861</v>
      </c>
      <c r="CL143" s="21">
        <f>EXP(-LN(2)/25)*CL142+(1-EXP(-LN(2)/25))/(LN(2)/25)*Calculateur!CG143*Calculateur!CI143*VLOOKUP('Données projet'!$B$12,Paramètres!$A$1:$I$89,3,0)*0.475*44/12</f>
        <v>21.167090223249787</v>
      </c>
      <c r="CM143" s="21">
        <f>EXP(-LN(2)/2)*CM142+(1-EXP(-LN(2)/2))/(LN(2)/2)*CG143*CJ143*VLOOKUP('Données projet'!$B$12,Paramètres!$A$1:$I$89,3,0)*0.475*44/12</f>
        <v>2.09768858155309E-2</v>
      </c>
      <c r="CN143" s="22">
        <f t="shared" si="120"/>
        <v>62.976264137528176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8" t="e">
        <f t="shared" si="122"/>
        <v>#N/A</v>
      </c>
      <c r="CY143" s="58" t="e">
        <f ca="1">AVERAGE(OFFSET($CX$3,0,0,'Données projet'!$E$13+1,1))-AVERAGE(OFFSET($H$3,0,0,'Données projet'!$E$13+1,1))</f>
        <v>#N/A</v>
      </c>
      <c r="CZ143" s="58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8" t="e">
        <f t="shared" si="125"/>
        <v>#N/A</v>
      </c>
      <c r="DT143" s="58" t="e">
        <f ca="1">AVERAGE(OFFSET($DS$3,0,0,'Données projet'!$E$14+1,1))-AVERAGE(OFFSET($H$3,0,0,'Données projet'!$E$14+1,1))</f>
        <v>#N/A</v>
      </c>
      <c r="DU143" s="58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8" t="e">
        <f t="shared" si="128"/>
        <v>#N/A</v>
      </c>
      <c r="EO143" s="58" t="e">
        <f ca="1">AVERAGE(OFFSET($EN$3,0,0,'Données projet'!$E$15+1,1))-AVERAGE(OFFSET($H$3,0,0,'Données projet'!$E$15+1,1))</f>
        <v>#N/A</v>
      </c>
      <c r="EP143" s="58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8" t="e">
        <f t="shared" si="131"/>
        <v>#N/A</v>
      </c>
      <c r="FJ143" s="58" t="e">
        <f ca="1">AVERAGE(OFFSET($FI$3,0,0,'Données projet'!$E$16+1,1))-AVERAGE(OFFSET($H$3,0,0,'Données projet'!$E$16+1,1))</f>
        <v>#N/A</v>
      </c>
      <c r="FK143" s="58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8" t="e">
        <f t="shared" si="134"/>
        <v>#N/A</v>
      </c>
      <c r="GE143" s="58" t="e">
        <f ca="1">AVERAGE(OFFSET($GD$3,0,0,'Données projet'!$E$17+1,1))-AVERAGE(OFFSET($H$3,0,0,'Données projet'!$E$17+1,1))</f>
        <v>#N/A</v>
      </c>
      <c r="GF143" s="58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69.137064135006298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8" t="e">
        <f t="shared" si="137"/>
        <v>#N/A</v>
      </c>
      <c r="GZ143" s="58" t="e">
        <f ca="1">AVERAGE(OFFSET($GY$3,0,0,'Données projet'!$E$18+1,1))-AVERAGE(OFFSET($H$3,0,0,'Données projet'!$E$18+1,1))</f>
        <v>#N/A</v>
      </c>
      <c r="HA143" s="58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2">
        <f>'Scénario référence'!$B$16*5+'Scénario référence'!$B$17*0+'Scénario référence'!$B$18*5</f>
        <v>2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7.333333333333333</v>
      </c>
      <c r="H144" s="66">
        <f t="shared" si="110"/>
        <v>227.33333333333334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9.1440000000000055</v>
      </c>
      <c r="N144" s="13">
        <f>IF('Données projet'!$A$36&gt;35,N143+M144-V143,IF(A144&lt;'Données projet'!$A$36,$K$205^A144,IF(A144='Données projet'!$A$36,'Données projet'!$B$36,N143+M144-V143)))</f>
        <v>487.50800000000095</v>
      </c>
      <c r="O144" s="13">
        <f>N144*VLOOKUP('Données projet'!$B$9,Paramètres!$A$1:$I$89,3,0)*VLOOKUP('Données projet'!$B$9,Paramètres!$A$1:$I$89,5,0)</f>
        <v>441.09723840000083</v>
      </c>
      <c r="P144" s="13">
        <f t="shared" si="141"/>
        <v>100.06048569250036</v>
      </c>
      <c r="Q144" s="20">
        <f t="shared" si="108"/>
        <v>942.51636946110614</v>
      </c>
      <c r="R144" s="58">
        <f t="shared" si="109"/>
        <v>1232.7404946522101</v>
      </c>
      <c r="S144" s="58">
        <f ca="1">AVERAGE(OFFSET($R$3,0,0,'Données projet'!$E$9+1,1))-AVERAGE(OFFSET($H$3,0,0,'Données projet'!$E$9+1,1))</f>
        <v>654.0179680178212</v>
      </c>
      <c r="T144" s="58">
        <f t="shared" si="142"/>
        <v>289.42065570013369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38.953899121886089</v>
      </c>
      <c r="AA144" s="21">
        <f>EXP(-LN(2)/25)*AA143+(1-EXP(-LN(2)/25))/(LN(2)/25)*Calculateur!V144*Calculateur!X144*VLOOKUP('Données projet'!$B$9,Paramètres!$A$1:$I$89,3,0)*0.475*44/12</f>
        <v>19.575736911836646</v>
      </c>
      <c r="AB144" s="21">
        <f>EXP(-LN(2)/2)*AB143+(1-EXP(-LN(2)/2))/(LN(2)/2)*V144*Y144*VLOOKUP('Données projet'!$B$9,Paramètres!$A$1:$I$89,3,0)*0.475*44/12</f>
        <v>1.4103411411206425E-2</v>
      </c>
      <c r="AC144" s="22">
        <f t="shared" si="111"/>
        <v>58.543739445133944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8">
        <f t="shared" si="113"/>
        <v>290.22412519111077</v>
      </c>
      <c r="AN144" s="58">
        <f ca="1">AVERAGE(OFFSET($AM$3,0,0,'Données projet'!$E$10+1,1))-AVERAGE(OFFSET($H$3,0,0,'Données projet'!$E$10+1,1))</f>
        <v>447.44638185108147</v>
      </c>
      <c r="AO144" s="58">
        <f t="shared" si="144"/>
        <v>384.84260115068605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53.004805423836267</v>
      </c>
      <c r="AV144" s="21">
        <f>EXP(-LN(2)/25)*AV143+(1-EXP(-LN(2)/25))/(LN(2)/25)*Calculateur!AQ144*Calculateur!AS144*VLOOKUP('Données projet'!$B$10,Paramètres!$A$1:$I$89,3,0)*0.475*44/12</f>
        <v>10.716824645640513</v>
      </c>
      <c r="AW144" s="21">
        <f>EXP(-LN(2)/2)*AW143+(1-EXP(-LN(2)/2))/(LN(2)/2)*AQ144*AT144*VLOOKUP('Données projet'!$B$10,Paramètres!$A$1:$I$89,3,0)*0.475*44/12</f>
        <v>1.5035960697766648E-8</v>
      </c>
      <c r="AX144" s="21">
        <f t="shared" si="114"/>
        <v>63.721630084512739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494.33311200000099</v>
      </c>
      <c r="BF144" s="13">
        <f t="shared" si="145"/>
        <v>110.65928847529446</v>
      </c>
      <c r="BG144" s="20">
        <f t="shared" si="115"/>
        <v>1053.6950974944727</v>
      </c>
      <c r="BH144" s="58">
        <f t="shared" si="116"/>
        <v>1343.9192226855766</v>
      </c>
      <c r="BI144" s="58">
        <f ca="1">AVERAGE(OFFSET($BH$3,0,0,'Données projet'!$E$11+1,1))-AVERAGE(OFFSET($H$3,0,0,'Données projet'!$E$11+1,1))</f>
        <v>724.99760740673071</v>
      </c>
      <c r="BJ144" s="58">
        <f t="shared" si="146"/>
        <v>318.24184272438208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43.655231774527515</v>
      </c>
      <c r="BQ144" s="21">
        <f>EXP(-LN(2)/25)*BQ143+(1-EXP(-LN(2)/25))/(LN(2)/25)*Calculateur!BL144*Calculateur!BN144*VLOOKUP('Données projet'!$B$11,Paramètres!$A$1:$I$89,3,0)*0.475*44/12</f>
        <v>21.938325849472108</v>
      </c>
      <c r="BR144" s="21">
        <f>EXP(-LN(2)/2)*BR143+(1-EXP(-LN(2)/2))/(LN(2)/2)*BL144*BO144*VLOOKUP('Données projet'!$B$11,Paramètres!$A$1:$I$89,3,0)*0.475*44/12</f>
        <v>1.5805547271179603E-2</v>
      </c>
      <c r="BS144" s="22">
        <f t="shared" si="117"/>
        <v>65.609363171270815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9.1440000000000055</v>
      </c>
      <c r="BY144" s="12">
        <f>IF('Données projet'!$A$114&gt;35,BY143+BX144-CG143,IF(A144&lt;'Données projet'!$A$114,$BV$205^A144,IF(A144='Données projet'!$A$114,'Données projet'!$B$114,BY143+BX144-CG143)))</f>
        <v>487.50800000000095</v>
      </c>
      <c r="BZ144" s="13">
        <f>BY144*VLOOKUP('Données projet'!$B$12,Paramètres!$A$1:$I$89,3,0)*VLOOKUP('Données projet'!$B$12,Paramètres!$A$1:$I$89,5,0)</f>
        <v>463.91261280000094</v>
      </c>
      <c r="CA144" s="13">
        <f t="shared" si="147"/>
        <v>104.62008624699871</v>
      </c>
      <c r="CB144" s="20">
        <f t="shared" si="118"/>
        <v>990.19445084019083</v>
      </c>
      <c r="CC144" s="58">
        <f t="shared" si="119"/>
        <v>1280.4185760312948</v>
      </c>
      <c r="CD144" s="58">
        <f ca="1">AVERAGE(OFFSET($CC$3,0,0,'Données projet'!$E$12+1,1))-AVERAGE(OFFSET($H$3,0,0,'Données projet'!$E$12+1,1))</f>
        <v>684.45757350513315</v>
      </c>
      <c r="CE144" s="58">
        <f t="shared" si="148"/>
        <v>301.78148341369194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40.968755973018133</v>
      </c>
      <c r="CL144" s="21">
        <f>EXP(-LN(2)/25)*CL143+(1-EXP(-LN(2)/25))/(LN(2)/25)*Calculateur!CG144*Calculateur!CI144*VLOOKUP('Données projet'!$B$12,Paramètres!$A$1:$I$89,3,0)*0.475*44/12</f>
        <v>20.588275027966123</v>
      </c>
      <c r="CM144" s="21">
        <f>EXP(-LN(2)/2)*CM143+(1-EXP(-LN(2)/2))/(LN(2)/2)*CG144*CJ144*VLOOKUP('Données projet'!$B$12,Paramètres!$A$1:$I$89,3,0)*0.475*44/12</f>
        <v>1.4832898208337802E-2</v>
      </c>
      <c r="CN144" s="22">
        <f t="shared" si="120"/>
        <v>61.571863899192593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8" t="e">
        <f t="shared" si="122"/>
        <v>#N/A</v>
      </c>
      <c r="CY144" s="58" t="e">
        <f ca="1">AVERAGE(OFFSET($CX$3,0,0,'Données projet'!$E$13+1,1))-AVERAGE(OFFSET($H$3,0,0,'Données projet'!$E$13+1,1))</f>
        <v>#N/A</v>
      </c>
      <c r="CZ144" s="58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8" t="e">
        <f t="shared" si="125"/>
        <v>#N/A</v>
      </c>
      <c r="DT144" s="58" t="e">
        <f ca="1">AVERAGE(OFFSET($DS$3,0,0,'Données projet'!$E$14+1,1))-AVERAGE(OFFSET($H$3,0,0,'Données projet'!$E$14+1,1))</f>
        <v>#N/A</v>
      </c>
      <c r="DU144" s="58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8" t="e">
        <f t="shared" si="128"/>
        <v>#N/A</v>
      </c>
      <c r="EO144" s="58" t="e">
        <f ca="1">AVERAGE(OFFSET($EN$3,0,0,'Données projet'!$E$15+1,1))-AVERAGE(OFFSET($H$3,0,0,'Données projet'!$E$15+1,1))</f>
        <v>#N/A</v>
      </c>
      <c r="EP144" s="58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8" t="e">
        <f t="shared" si="131"/>
        <v>#N/A</v>
      </c>
      <c r="FJ144" s="58" t="e">
        <f ca="1">AVERAGE(OFFSET($FI$3,0,0,'Données projet'!$E$16+1,1))-AVERAGE(OFFSET($H$3,0,0,'Données projet'!$E$16+1,1))</f>
        <v>#N/A</v>
      </c>
      <c r="FK144" s="58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8" t="e">
        <f t="shared" si="134"/>
        <v>#N/A</v>
      </c>
      <c r="GE144" s="58" t="e">
        <f ca="1">AVERAGE(OFFSET($GD$3,0,0,'Données projet'!$E$17+1,1))-AVERAGE(OFFSET($H$3,0,0,'Données projet'!$E$17+1,1))</f>
        <v>#N/A</v>
      </c>
      <c r="GF144" s="58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69.152034143028359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8" t="e">
        <f t="shared" si="137"/>
        <v>#N/A</v>
      </c>
      <c r="GZ144" s="58" t="e">
        <f ca="1">AVERAGE(OFFSET($GY$3,0,0,'Données projet'!$E$18+1,1))-AVERAGE(OFFSET($H$3,0,0,'Données projet'!$E$18+1,1))</f>
        <v>#N/A</v>
      </c>
      <c r="HA144" s="58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2">
        <f>'Scénario référence'!$B$16*5+'Scénario référence'!$B$17*0+'Scénario référence'!$B$18*5</f>
        <v>2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7.333333333333333</v>
      </c>
      <c r="H145" s="66">
        <f t="shared" si="110"/>
        <v>227.33333333333334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9.1440000000000055</v>
      </c>
      <c r="N145" s="13">
        <f>IF('Données projet'!$A$36&gt;35,N144+M145-V144,IF(A145&lt;'Données projet'!$A$36,$K$205^A145,IF(A145='Données projet'!$A$36,'Données projet'!$B$36,N144+M145-V144)))</f>
        <v>496.65200000000095</v>
      </c>
      <c r="O145" s="13">
        <f>N145*VLOOKUP('Données projet'!$B$9,Paramètres!$A$1:$I$89,3,0)*VLOOKUP('Données projet'!$B$9,Paramètres!$A$1:$I$89,5,0)</f>
        <v>449.37072960000086</v>
      </c>
      <c r="P145" s="13">
        <f t="shared" si="141"/>
        <v>101.71702488172154</v>
      </c>
      <c r="Q145" s="20">
        <f t="shared" si="108"/>
        <v>959.81117238899981</v>
      </c>
      <c r="R145" s="58">
        <f t="shared" si="109"/>
        <v>1250.0892353902234</v>
      </c>
      <c r="S145" s="58">
        <f ca="1">AVERAGE(OFFSET($R$3,0,0,'Données projet'!$E$9+1,1))-AVERAGE(OFFSET($H$3,0,0,'Données projet'!$E$9+1,1))</f>
        <v>654.0179680178212</v>
      </c>
      <c r="T145" s="58">
        <f t="shared" si="142"/>
        <v>289.42065570013369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38.19003691963831</v>
      </c>
      <c r="AA145" s="21">
        <f>EXP(-LN(2)/25)*AA144+(1-EXP(-LN(2)/25))/(LN(2)/25)*Calculateur!V145*Calculateur!X145*VLOOKUP('Données projet'!$B$9,Paramètres!$A$1:$I$89,3,0)*0.475*44/12</f>
        <v>19.040437356539211</v>
      </c>
      <c r="AB145" s="21">
        <f>EXP(-LN(2)/2)*AB144+(1-EXP(-LN(2)/2))/(LN(2)/2)*V145*Y145*VLOOKUP('Données projet'!$B$9,Paramètres!$A$1:$I$89,3,0)*0.475*44/12</f>
        <v>9.9726178467277986E-3</v>
      </c>
      <c r="AC145" s="22">
        <f t="shared" si="111"/>
        <v>57.240446894024245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8">
        <f t="shared" si="113"/>
        <v>290.27806300123046</v>
      </c>
      <c r="AN145" s="58">
        <f ca="1">AVERAGE(OFFSET($AM$3,0,0,'Données projet'!$E$10+1,1))-AVERAGE(OFFSET($H$3,0,0,'Données projet'!$E$10+1,1))</f>
        <v>447.44638185108147</v>
      </c>
      <c r="AO145" s="58">
        <f t="shared" si="144"/>
        <v>384.84260115068605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51.965413519213847</v>
      </c>
      <c r="AV145" s="21">
        <f>EXP(-LN(2)/25)*AV144+(1-EXP(-LN(2)/25))/(LN(2)/25)*Calculateur!AQ145*Calculateur!AS145*VLOOKUP('Données projet'!$B$10,Paramètres!$A$1:$I$89,3,0)*0.475*44/12</f>
        <v>10.423772512132158</v>
      </c>
      <c r="AW145" s="21">
        <f>EXP(-LN(2)/2)*AW144+(1-EXP(-LN(2)/2))/(LN(2)/2)*AQ145*AT145*VLOOKUP('Données projet'!$B$10,Paramètres!$A$1:$I$89,3,0)*0.475*44/12</f>
        <v>1.0632029771045209E-8</v>
      </c>
      <c r="AX145" s="21">
        <f t="shared" si="114"/>
        <v>62.389186041978036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503.605128000001</v>
      </c>
      <c r="BF145" s="13">
        <f t="shared" si="145"/>
        <v>112.49129485365643</v>
      </c>
      <c r="BG145" s="20">
        <f t="shared" si="115"/>
        <v>1073.0346031367867</v>
      </c>
      <c r="BH145" s="58">
        <f t="shared" si="116"/>
        <v>1363.3126661380104</v>
      </c>
      <c r="BI145" s="58">
        <f ca="1">AVERAGE(OFFSET($BH$3,0,0,'Données projet'!$E$11+1,1))-AVERAGE(OFFSET($H$3,0,0,'Données projet'!$E$11+1,1))</f>
        <v>724.99760740673071</v>
      </c>
      <c r="BJ145" s="58">
        <f t="shared" si="146"/>
        <v>318.24184272438208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42.799179306491212</v>
      </c>
      <c r="BQ145" s="21">
        <f>EXP(-LN(2)/25)*BQ144+(1-EXP(-LN(2)/25))/(LN(2)/25)*Calculateur!BL145*Calculateur!BN145*VLOOKUP('Données projet'!$B$11,Paramètres!$A$1:$I$89,3,0)*0.475*44/12</f>
        <v>21.338421175431876</v>
      </c>
      <c r="BR145" s="21">
        <f>EXP(-LN(2)/2)*BR144+(1-EXP(-LN(2)/2))/(LN(2)/2)*BL145*BO145*VLOOKUP('Données projet'!$B$11,Paramètres!$A$1:$I$89,3,0)*0.475*44/12</f>
        <v>1.1176209655815629E-2</v>
      </c>
      <c r="BS145" s="22">
        <f t="shared" si="117"/>
        <v>64.148776691578902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9.1440000000000055</v>
      </c>
      <c r="BY145" s="12">
        <f>IF('Données projet'!$A$114&gt;35,BY144+BX145-CG144,IF(A145&lt;'Données projet'!$A$114,$BV$205^A145,IF(A145='Données projet'!$A$114,'Données projet'!$B$114,BY144+BX145-CG144)))</f>
        <v>496.65200000000095</v>
      </c>
      <c r="BZ145" s="13">
        <f>BY145*VLOOKUP('Données projet'!$B$12,Paramètres!$A$1:$I$89,3,0)*VLOOKUP('Données projet'!$B$12,Paramètres!$A$1:$I$89,5,0)</f>
        <v>472.61404320000088</v>
      </c>
      <c r="CA145" s="13">
        <f t="shared" si="147"/>
        <v>106.35211134810046</v>
      </c>
      <c r="CB145" s="20">
        <f t="shared" si="118"/>
        <v>1008.3660525046098</v>
      </c>
      <c r="CC145" s="58">
        <f t="shared" si="119"/>
        <v>1298.6441155058335</v>
      </c>
      <c r="CD145" s="58">
        <f ca="1">AVERAGE(OFFSET($CC$3,0,0,'Données projet'!$E$12+1,1))-AVERAGE(OFFSET($H$3,0,0,'Données projet'!$E$12+1,1))</f>
        <v>684.45757350513315</v>
      </c>
      <c r="CE145" s="58">
        <f t="shared" si="148"/>
        <v>301.78148341369194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40.165383656860982</v>
      </c>
      <c r="CL145" s="21">
        <f>EXP(-LN(2)/25)*CL144+(1-EXP(-LN(2)/25))/(LN(2)/25)*Calculateur!CG145*Calculateur!CI145*VLOOKUP('Données projet'!$B$12,Paramètres!$A$1:$I$89,3,0)*0.475*44/12</f>
        <v>20.025287564636059</v>
      </c>
      <c r="CM145" s="21">
        <f>EXP(-LN(2)/2)*CM144+(1-EXP(-LN(2)/2))/(LN(2)/2)*CG145*CJ145*VLOOKUP('Données projet'!$B$12,Paramètres!$A$1:$I$89,3,0)*0.475*44/12</f>
        <v>1.0488442907765452E-2</v>
      </c>
      <c r="CN145" s="22">
        <f t="shared" si="120"/>
        <v>60.201159664404805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8" t="e">
        <f t="shared" si="122"/>
        <v>#N/A</v>
      </c>
      <c r="CY145" s="58" t="e">
        <f ca="1">AVERAGE(OFFSET($CX$3,0,0,'Données projet'!$E$13+1,1))-AVERAGE(OFFSET($H$3,0,0,'Données projet'!$E$13+1,1))</f>
        <v>#N/A</v>
      </c>
      <c r="CZ145" s="58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8" t="e">
        <f t="shared" si="125"/>
        <v>#N/A</v>
      </c>
      <c r="DT145" s="58" t="e">
        <f ca="1">AVERAGE(OFFSET($DS$3,0,0,'Données projet'!$E$14+1,1))-AVERAGE(OFFSET($H$3,0,0,'Données projet'!$E$14+1,1))</f>
        <v>#N/A</v>
      </c>
      <c r="DU145" s="58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8" t="e">
        <f t="shared" si="128"/>
        <v>#N/A</v>
      </c>
      <c r="EO145" s="58" t="e">
        <f ca="1">AVERAGE(OFFSET($EN$3,0,0,'Données projet'!$E$15+1,1))-AVERAGE(OFFSET($H$3,0,0,'Données projet'!$E$15+1,1))</f>
        <v>#N/A</v>
      </c>
      <c r="EP145" s="58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8" t="e">
        <f t="shared" si="131"/>
        <v>#N/A</v>
      </c>
      <c r="FJ145" s="58" t="e">
        <f ca="1">AVERAGE(OFFSET($FI$3,0,0,'Données projet'!$E$16+1,1))-AVERAGE(OFFSET($H$3,0,0,'Données projet'!$E$16+1,1))</f>
        <v>#N/A</v>
      </c>
      <c r="FK145" s="58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8" t="e">
        <f t="shared" si="134"/>
        <v>#N/A</v>
      </c>
      <c r="GE145" s="58" t="e">
        <f ca="1">AVERAGE(OFFSET($GD$3,0,0,'Données projet'!$E$17+1,1))-AVERAGE(OFFSET($H$3,0,0,'Données projet'!$E$17+1,1))</f>
        <v>#N/A</v>
      </c>
      <c r="GF145" s="58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69.166744454879165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8" t="e">
        <f t="shared" si="137"/>
        <v>#N/A</v>
      </c>
      <c r="GZ145" s="58" t="e">
        <f ca="1">AVERAGE(OFFSET($GY$3,0,0,'Données projet'!$E$18+1,1))-AVERAGE(OFFSET($H$3,0,0,'Données projet'!$E$18+1,1))</f>
        <v>#N/A</v>
      </c>
      <c r="HA145" s="58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2">
        <f>'Scénario référence'!$B$16*5+'Scénario référence'!$B$17*0+'Scénario référence'!$B$18*5</f>
        <v>2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7.333333333333333</v>
      </c>
      <c r="H146" s="66">
        <f t="shared" si="110"/>
        <v>227.33333333333334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9.1440000000000055</v>
      </c>
      <c r="N146" s="13">
        <f>IF('Données projet'!$A$36&gt;35,N145+M146-V145,IF(A146&lt;'Données projet'!$A$36,$K$205^A146,IF(A146='Données projet'!$A$36,'Données projet'!$B$36,N145+M146-V145)))</f>
        <v>505.79600000000096</v>
      </c>
      <c r="O146" s="13">
        <f>N146*VLOOKUP('Données projet'!$B$9,Paramètres!$A$1:$I$89,3,0)*VLOOKUP('Données projet'!$B$9,Paramètres!$A$1:$I$89,5,0)</f>
        <v>457.64422080000088</v>
      </c>
      <c r="P146" s="13">
        <f t="shared" si="141"/>
        <v>103.37001757568726</v>
      </c>
      <c r="Q146" s="20">
        <f t="shared" si="108"/>
        <v>977.0997985043233</v>
      </c>
      <c r="R146" s="58">
        <f t="shared" si="109"/>
        <v>1267.4308636152477</v>
      </c>
      <c r="S146" s="58">
        <f ca="1">AVERAGE(OFFSET($R$3,0,0,'Données projet'!$E$9+1,1))-AVERAGE(OFFSET($H$3,0,0,'Données projet'!$E$9+1,1))</f>
        <v>654.0179680178212</v>
      </c>
      <c r="T146" s="58">
        <f t="shared" si="142"/>
        <v>289.42065570013369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37.441153589266669</v>
      </c>
      <c r="AA146" s="21">
        <f>EXP(-LN(2)/25)*AA145+(1-EXP(-LN(2)/25))/(LN(2)/25)*Calculateur!V146*Calculateur!X146*VLOOKUP('Données projet'!$B$9,Paramètres!$A$1:$I$89,3,0)*0.475*44/12</f>
        <v>18.519775595731563</v>
      </c>
      <c r="AB146" s="21">
        <f>EXP(-LN(2)/2)*AB145+(1-EXP(-LN(2)/2))/(LN(2)/2)*V146*Y146*VLOOKUP('Données projet'!$B$9,Paramètres!$A$1:$I$89,3,0)*0.475*44/12</f>
        <v>7.0517057056032123E-3</v>
      </c>
      <c r="AC146" s="22">
        <f t="shared" si="111"/>
        <v>55.967980890703842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8">
        <f t="shared" si="113"/>
        <v>290.33106511093138</v>
      </c>
      <c r="AN146" s="58">
        <f ca="1">AVERAGE(OFFSET($AM$3,0,0,'Données projet'!$E$10+1,1))-AVERAGE(OFFSET($H$3,0,0,'Données projet'!$E$10+1,1))</f>
        <v>447.44638185108147</v>
      </c>
      <c r="AO146" s="58">
        <f t="shared" si="144"/>
        <v>384.84260115068605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50.946403455874609</v>
      </c>
      <c r="AV146" s="21">
        <f>EXP(-LN(2)/25)*AV145+(1-EXP(-LN(2)/25))/(LN(2)/25)*Calculateur!AQ146*Calculateur!AS146*VLOOKUP('Données projet'!$B$10,Paramètres!$A$1:$I$89,3,0)*0.475*44/12</f>
        <v>10.138733904625532</v>
      </c>
      <c r="AW146" s="21">
        <f>EXP(-LN(2)/2)*AW145+(1-EXP(-LN(2)/2))/(LN(2)/2)*AQ146*AT146*VLOOKUP('Données projet'!$B$10,Paramètres!$A$1:$I$89,3,0)*0.475*44/12</f>
        <v>7.5179803488833238E-9</v>
      </c>
      <c r="AX146" s="21">
        <f t="shared" si="114"/>
        <v>61.085137368018124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512.87714400000095</v>
      </c>
      <c r="BF146" s="13">
        <f t="shared" si="145"/>
        <v>114.31937907794493</v>
      </c>
      <c r="BG146" s="20">
        <f t="shared" si="115"/>
        <v>1092.3672776940891</v>
      </c>
      <c r="BH146" s="58">
        <f t="shared" si="116"/>
        <v>1382.6983428050137</v>
      </c>
      <c r="BI146" s="58">
        <f ca="1">AVERAGE(OFFSET($BH$3,0,0,'Données projet'!$E$11+1,1))-AVERAGE(OFFSET($H$3,0,0,'Données projet'!$E$11+1,1))</f>
        <v>724.99760740673071</v>
      </c>
      <c r="BJ146" s="58">
        <f t="shared" si="146"/>
        <v>318.24184272438208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41.959913505212647</v>
      </c>
      <c r="BQ146" s="21">
        <f>EXP(-LN(2)/25)*BQ145+(1-EXP(-LN(2)/25))/(LN(2)/25)*Calculateur!BL146*Calculateur!BN146*VLOOKUP('Données projet'!$B$11,Paramètres!$A$1:$I$89,3,0)*0.475*44/12</f>
        <v>20.75492092625089</v>
      </c>
      <c r="BR146" s="21">
        <f>EXP(-LN(2)/2)*BR145+(1-EXP(-LN(2)/2))/(LN(2)/2)*BL146*BO146*VLOOKUP('Données projet'!$B$11,Paramètres!$A$1:$I$89,3,0)*0.475*44/12</f>
        <v>7.9027736355898014E-3</v>
      </c>
      <c r="BS146" s="22">
        <f t="shared" si="117"/>
        <v>62.722737205099129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9.1440000000000055</v>
      </c>
      <c r="BY146" s="12">
        <f>IF('Données projet'!$A$114&gt;35,BY145+BX146-CG145,IF(A146&lt;'Données projet'!$A$114,$BV$205^A146,IF(A146='Données projet'!$A$114,'Données projet'!$B$114,BY145+BX146-CG145)))</f>
        <v>505.79600000000096</v>
      </c>
      <c r="BZ146" s="13">
        <f>BY146*VLOOKUP('Données projet'!$B$12,Paramètres!$A$1:$I$89,3,0)*VLOOKUP('Données projet'!$B$12,Paramètres!$A$1:$I$89,5,0)</f>
        <v>481.31547360000093</v>
      </c>
      <c r="CA146" s="13">
        <f t="shared" si="147"/>
        <v>108.08042834567949</v>
      </c>
      <c r="CB146" s="20">
        <f t="shared" si="118"/>
        <v>1026.5311958887266</v>
      </c>
      <c r="CC146" s="58">
        <f t="shared" si="119"/>
        <v>1316.8622609996512</v>
      </c>
      <c r="CD146" s="58">
        <f ca="1">AVERAGE(OFFSET($CC$3,0,0,'Données projet'!$E$12+1,1))-AVERAGE(OFFSET($H$3,0,0,'Données projet'!$E$12+1,1))</f>
        <v>684.45757350513315</v>
      </c>
      <c r="CE146" s="58">
        <f t="shared" si="148"/>
        <v>301.78148341369194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39.377764981814948</v>
      </c>
      <c r="CL146" s="21">
        <f>EXP(-LN(2)/25)*CL145+(1-EXP(-LN(2)/25))/(LN(2)/25)*Calculateur!CG146*Calculateur!CI146*VLOOKUP('Données projet'!$B$12,Paramètres!$A$1:$I$89,3,0)*0.475*44/12</f>
        <v>19.477695023096981</v>
      </c>
      <c r="CM146" s="21">
        <f>EXP(-LN(2)/2)*CM145+(1-EXP(-LN(2)/2))/(LN(2)/2)*CG146*CJ146*VLOOKUP('Données projet'!$B$12,Paramètres!$A$1:$I$89,3,0)*0.475*44/12</f>
        <v>7.4164491041689021E-3</v>
      </c>
      <c r="CN146" s="22">
        <f t="shared" si="120"/>
        <v>58.862876454016103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8" t="e">
        <f t="shared" si="122"/>
        <v>#N/A</v>
      </c>
      <c r="CY146" s="58" t="e">
        <f ca="1">AVERAGE(OFFSET($CX$3,0,0,'Données projet'!$E$13+1,1))-AVERAGE(OFFSET($H$3,0,0,'Données projet'!$E$13+1,1))</f>
        <v>#N/A</v>
      </c>
      <c r="CZ146" s="58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8" t="e">
        <f t="shared" si="125"/>
        <v>#N/A</v>
      </c>
      <c r="DT146" s="58" t="e">
        <f ca="1">AVERAGE(OFFSET($DS$3,0,0,'Données projet'!$E$14+1,1))-AVERAGE(OFFSET($H$3,0,0,'Données projet'!$E$14+1,1))</f>
        <v>#N/A</v>
      </c>
      <c r="DU146" s="58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8" t="e">
        <f t="shared" si="128"/>
        <v>#N/A</v>
      </c>
      <c r="EO146" s="58" t="e">
        <f ca="1">AVERAGE(OFFSET($EN$3,0,0,'Données projet'!$E$15+1,1))-AVERAGE(OFFSET($H$3,0,0,'Données projet'!$E$15+1,1))</f>
        <v>#N/A</v>
      </c>
      <c r="EP146" s="58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8" t="e">
        <f t="shared" si="131"/>
        <v>#N/A</v>
      </c>
      <c r="FJ146" s="58" t="e">
        <f ca="1">AVERAGE(OFFSET($FI$3,0,0,'Données projet'!$E$16+1,1))-AVERAGE(OFFSET($H$3,0,0,'Données projet'!$E$16+1,1))</f>
        <v>#N/A</v>
      </c>
      <c r="FK146" s="58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8" t="e">
        <f t="shared" si="134"/>
        <v>#N/A</v>
      </c>
      <c r="GE146" s="58" t="e">
        <f ca="1">AVERAGE(OFFSET($GD$3,0,0,'Données projet'!$E$17+1,1))-AVERAGE(OFFSET($H$3,0,0,'Données projet'!$E$17+1,1))</f>
        <v>#N/A</v>
      </c>
      <c r="GF146" s="58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69.1811995757067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8" t="e">
        <f t="shared" si="137"/>
        <v>#N/A</v>
      </c>
      <c r="GZ146" s="58" t="e">
        <f ca="1">AVERAGE(OFFSET($GY$3,0,0,'Données projet'!$E$18+1,1))-AVERAGE(OFFSET($H$3,0,0,'Données projet'!$E$18+1,1))</f>
        <v>#N/A</v>
      </c>
      <c r="HA146" s="58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2">
        <f>'Scénario référence'!$B$16*5+'Scénario référence'!$B$17*0+'Scénario référence'!$B$18*5</f>
        <v>2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7.333333333333333</v>
      </c>
      <c r="H147" s="66">
        <f t="shared" si="110"/>
        <v>227.33333333333334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514.94000000000005</v>
      </c>
      <c r="L147" s="12">
        <f>VLOOKUP(A147,'Données projet'!$A$35:$I$55,9,0)</f>
        <v>9.1440000000000055</v>
      </c>
      <c r="M147" s="12">
        <f t="array" ref="M147">INDEX(L:L,MIN(IF(ISNUMBER(L147:L343),ROW(L147:L343),"")))</f>
        <v>9.1440000000000055</v>
      </c>
      <c r="N147" s="13">
        <f>IF('Données projet'!$A$36&gt;35,N146+M147-V146,IF(A147&lt;'Données projet'!$A$36,$K$205^A147,IF(A147='Données projet'!$A$36,'Données projet'!$B$36,N146+M147-V146)))</f>
        <v>514.94000000000096</v>
      </c>
      <c r="O147" s="13">
        <f>N147*VLOOKUP('Données projet'!$B$9,Paramètres!$A$1:$I$89,3,0)*VLOOKUP('Données projet'!$B$9,Paramètres!$A$1:$I$89,5,0)</f>
        <v>465.91771200000085</v>
      </c>
      <c r="P147" s="13">
        <f t="shared" si="141"/>
        <v>105.01953528507198</v>
      </c>
      <c r="Q147" s="20">
        <f t="shared" si="108"/>
        <v>994.38237235483496</v>
      </c>
      <c r="R147" s="58">
        <f t="shared" si="109"/>
        <v>1284.7655201073521</v>
      </c>
      <c r="S147" s="58">
        <f ca="1">AVERAGE(OFFSET($R$3,0,0,'Données projet'!$E$9+1,1))-AVERAGE(OFFSET($H$3,0,0,'Données projet'!$E$9+1,1))</f>
        <v>654.0179680178212</v>
      </c>
      <c r="T147" s="58">
        <f t="shared" si="142"/>
        <v>289.42065570013369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61.800000000000068</v>
      </c>
      <c r="W147" s="16">
        <f>IF(ISNA(VLOOKUP(A147,'Données projet'!$A$35:$I$55,5,0)),0%,VLOOKUP(A147,'Données projet'!$A$35:$I$55,5,0)*VLOOKUP('Données projet'!$B$9,Paramètres!$A$1:$I$89,7,0))</f>
        <v>0.215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49.997006091476479</v>
      </c>
      <c r="AA147" s="21">
        <f>EXP(-LN(2)/25)*AA146+(1-EXP(-LN(2)/25))/(LN(2)/25)*Calculateur!V147*Calculateur!X147*VLOOKUP('Données projet'!$B$9,Paramètres!$A$1:$I$89,3,0)*0.475*44/12</f>
        <v>23.30844043566745</v>
      </c>
      <c r="AB147" s="21">
        <f>EXP(-LN(2)/2)*AB146+(1-EXP(-LN(2)/2))/(LN(2)/2)*V147*Y147*VLOOKUP('Données projet'!$B$9,Paramètres!$A$1:$I$89,3,0)*0.475*44/12</f>
        <v>4.9863089233638993E-3</v>
      </c>
      <c r="AC147" s="22">
        <f t="shared" si="111"/>
        <v>73.310432836067292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8">
        <f t="shared" si="113"/>
        <v>290.38314775252394</v>
      </c>
      <c r="AN147" s="58">
        <f ca="1">AVERAGE(OFFSET($AM$3,0,0,'Données projet'!$E$10+1,1))-AVERAGE(OFFSET($H$3,0,0,'Données projet'!$E$10+1,1))</f>
        <v>447.44638185108147</v>
      </c>
      <c r="AO147" s="58">
        <f t="shared" si="144"/>
        <v>384.84260115068605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49.947375558342692</v>
      </c>
      <c r="AV147" s="21">
        <f>EXP(-LN(2)/25)*AV146+(1-EXP(-LN(2)/25))/(LN(2)/25)*Calculateur!AQ147*Calculateur!AS147*VLOOKUP('Données projet'!$B$10,Paramètres!$A$1:$I$89,3,0)*0.475*44/12</f>
        <v>9.8614896928307036</v>
      </c>
      <c r="AW147" s="21">
        <f>EXP(-LN(2)/2)*AW146+(1-EXP(-LN(2)/2))/(LN(2)/2)*AQ147*AT147*VLOOKUP('Données projet'!$B$10,Paramètres!$A$1:$I$89,3,0)*0.475*44/12</f>
        <v>5.3160148855226047E-9</v>
      </c>
      <c r="AX147" s="21">
        <f t="shared" si="114"/>
        <v>59.808865256489412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522.14916000000096</v>
      </c>
      <c r="BF147" s="13">
        <f t="shared" si="145"/>
        <v>116.14362023352821</v>
      </c>
      <c r="BG147" s="20">
        <f t="shared" si="115"/>
        <v>1111.6932589067299</v>
      </c>
      <c r="BH147" s="58">
        <f t="shared" si="116"/>
        <v>1402.0764066592469</v>
      </c>
      <c r="BI147" s="58">
        <f ca="1">AVERAGE(OFFSET($BH$3,0,0,'Données projet'!$E$11+1,1))-AVERAGE(OFFSET($H$3,0,0,'Données projet'!$E$11+1,1))</f>
        <v>724.99760740673071</v>
      </c>
      <c r="BJ147" s="58">
        <f t="shared" si="146"/>
        <v>318.24184272438208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56.031127516309859</v>
      </c>
      <c r="BQ147" s="21">
        <f>EXP(-LN(2)/25)*BQ146+(1-EXP(-LN(2)/25))/(LN(2)/25)*Calculateur!BL147*Calculateur!BN147*VLOOKUP('Données projet'!$B$11,Paramètres!$A$1:$I$89,3,0)*0.475*44/12</f>
        <v>26.121528074454901</v>
      </c>
      <c r="BR147" s="21">
        <f>EXP(-LN(2)/2)*BR146+(1-EXP(-LN(2)/2))/(LN(2)/2)*BL147*BO147*VLOOKUP('Données projet'!$B$11,Paramètres!$A$1:$I$89,3,0)*0.475*44/12</f>
        <v>5.5881048279078143E-3</v>
      </c>
      <c r="BS147" s="22">
        <f t="shared" si="117"/>
        <v>82.158243695592674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9.1440000000000055</v>
      </c>
      <c r="BX147" s="12">
        <f t="array" ref="BX147">INDEX(BW:BW,MIN(IF(ISNUMBER(BW147:BW343),ROW(BW147:BW343),"")))</f>
        <v>9.1440000000000055</v>
      </c>
      <c r="BY147" s="12">
        <f>IF('Données projet'!$A$114&gt;35,BY146+BX147-CG146,IF(A147&lt;'Données projet'!$A$114,$BV$205^A147,IF(A147='Données projet'!$A$114,'Données projet'!$B$114,BY146+BX147-CG146)))</f>
        <v>514.94000000000096</v>
      </c>
      <c r="BZ147" s="13">
        <f>BY147*VLOOKUP('Données projet'!$B$12,Paramètres!$A$1:$I$89,3,0)*VLOOKUP('Données projet'!$B$12,Paramètres!$A$1:$I$89,5,0)</f>
        <v>490.01690400000092</v>
      </c>
      <c r="CA147" s="13">
        <f t="shared" si="147"/>
        <v>109.80511200904009</v>
      </c>
      <c r="CB147" s="20">
        <f t="shared" si="118"/>
        <v>1044.6900112157464</v>
      </c>
      <c r="CC147" s="58">
        <f t="shared" si="119"/>
        <v>1335.0731589682634</v>
      </c>
      <c r="CD147" s="58">
        <f ca="1">AVERAGE(OFFSET($CC$3,0,0,'Données projet'!$E$12+1,1))-AVERAGE(OFFSET($H$3,0,0,'Données projet'!$E$12+1,1))</f>
        <v>684.45757350513315</v>
      </c>
      <c r="CE147" s="58">
        <f t="shared" si="148"/>
        <v>301.78148341369194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61.800000000000068</v>
      </c>
      <c r="CH147" s="16">
        <f>IF(ISNA(VLOOKUP(A147,'Données projet'!$A$113:$I$133,5,0)),0%,VLOOKUP(A147,'Données projet'!$A$113:$I$133,5,0)*VLOOKUP('Données projet'!$B$12,Paramètres!$A$1:$I$89,7,0))</f>
        <v>0.215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52.583058130690787</v>
      </c>
      <c r="CL147" s="21">
        <f>EXP(-LN(2)/25)*CL146+(1-EXP(-LN(2)/25))/(LN(2)/25)*Calculateur!CG147*Calculateur!CI147*VLOOKUP('Données projet'!$B$12,Paramètres!$A$1:$I$89,3,0)*0.475*44/12</f>
        <v>24.514049423719207</v>
      </c>
      <c r="CM147" s="21">
        <f>EXP(-LN(2)/2)*CM146+(1-EXP(-LN(2)/2))/(LN(2)/2)*CG147*CJ147*VLOOKUP('Données projet'!$B$12,Paramètres!$A$1:$I$89,3,0)*0.475*44/12</f>
        <v>5.2442214538827268E-3</v>
      </c>
      <c r="CN147" s="22">
        <f t="shared" si="120"/>
        <v>77.10235177586388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8" t="e">
        <f t="shared" si="122"/>
        <v>#N/A</v>
      </c>
      <c r="CY147" s="58" t="e">
        <f ca="1">AVERAGE(OFFSET($CX$3,0,0,'Données projet'!$E$13+1,1))-AVERAGE(OFFSET($H$3,0,0,'Données projet'!$E$13+1,1))</f>
        <v>#N/A</v>
      </c>
      <c r="CZ147" s="58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8" t="e">
        <f t="shared" si="125"/>
        <v>#N/A</v>
      </c>
      <c r="DT147" s="58" t="e">
        <f ca="1">AVERAGE(OFFSET($DS$3,0,0,'Données projet'!$E$14+1,1))-AVERAGE(OFFSET($H$3,0,0,'Données projet'!$E$14+1,1))</f>
        <v>#N/A</v>
      </c>
      <c r="DU147" s="58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8" t="e">
        <f t="shared" si="128"/>
        <v>#N/A</v>
      </c>
      <c r="EO147" s="58" t="e">
        <f ca="1">AVERAGE(OFFSET($EN$3,0,0,'Données projet'!$E$15+1,1))-AVERAGE(OFFSET($H$3,0,0,'Données projet'!$E$15+1,1))</f>
        <v>#N/A</v>
      </c>
      <c r="EP147" s="58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8" t="e">
        <f t="shared" si="131"/>
        <v>#N/A</v>
      </c>
      <c r="FJ147" s="58" t="e">
        <f ca="1">AVERAGE(OFFSET($FI$3,0,0,'Données projet'!$E$16+1,1))-AVERAGE(OFFSET($H$3,0,0,'Données projet'!$E$16+1,1))</f>
        <v>#N/A</v>
      </c>
      <c r="FK147" s="58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8" t="e">
        <f t="shared" si="134"/>
        <v>#N/A</v>
      </c>
      <c r="GE147" s="58" t="e">
        <f ca="1">AVERAGE(OFFSET($GD$3,0,0,'Données projet'!$E$17+1,1))-AVERAGE(OFFSET($H$3,0,0,'Données projet'!$E$17+1,1))</f>
        <v>#N/A</v>
      </c>
      <c r="GF147" s="58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69.195403932504675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8" t="e">
        <f t="shared" si="137"/>
        <v>#N/A</v>
      </c>
      <c r="GZ147" s="58" t="e">
        <f ca="1">AVERAGE(OFFSET($GY$3,0,0,'Données projet'!$E$18+1,1))-AVERAGE(OFFSET($H$3,0,0,'Données projet'!$E$18+1,1))</f>
        <v>#N/A</v>
      </c>
      <c r="HA147" s="58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2">
        <f>'Scénario référence'!$B$16*5+'Scénario référence'!$B$17*0+'Scénario référence'!$B$18*5</f>
        <v>2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7.333333333333333</v>
      </c>
      <c r="H148" s="66">
        <f t="shared" si="110"/>
        <v>227.33333333333334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9.3350000000000026</v>
      </c>
      <c r="N148" s="13">
        <f>IF('Données projet'!$A$36&gt;35,N147+M148-V147,IF(A148&lt;'Données projet'!$A$36,$K$205^A148,IF(A148='Données projet'!$A$36,'Données projet'!$B$36,N147+M148-V147)))</f>
        <v>462.47500000000093</v>
      </c>
      <c r="O148" s="13">
        <f>N148*VLOOKUP('Données projet'!$B$9,Paramètres!$A$1:$I$89,3,0)*VLOOKUP('Données projet'!$B$9,Paramètres!$A$1:$I$89,5,0)</f>
        <v>418.44738000000081</v>
      </c>
      <c r="P148" s="13">
        <f t="shared" si="141"/>
        <v>95.506718301246906</v>
      </c>
      <c r="Q148" s="20">
        <f t="shared" si="108"/>
        <v>895.13672120800663</v>
      </c>
      <c r="R148" s="58">
        <f t="shared" si="109"/>
        <v>1185.571048084724</v>
      </c>
      <c r="S148" s="58">
        <f ca="1">AVERAGE(OFFSET($R$3,0,0,'Données projet'!$E$9+1,1))-AVERAGE(OFFSET($H$3,0,0,'Données projet'!$E$9+1,1))</f>
        <v>654.0179680178212</v>
      </c>
      <c r="T148" s="58">
        <f t="shared" si="142"/>
        <v>289.42065570013369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49.016595297185191</v>
      </c>
      <c r="AA148" s="21">
        <f>EXP(-LN(2)/25)*AA147+(1-EXP(-LN(2)/25))/(LN(2)/25)*Calculateur!V148*Calculateur!X148*VLOOKUP('Données projet'!$B$9,Paramètres!$A$1:$I$89,3,0)*0.475*44/12</f>
        <v>22.671069906216513</v>
      </c>
      <c r="AB148" s="21">
        <f>EXP(-LN(2)/2)*AB147+(1-EXP(-LN(2)/2))/(LN(2)/2)*V148*Y148*VLOOKUP('Données projet'!$B$9,Paramètres!$A$1:$I$89,3,0)*0.475*44/12</f>
        <v>3.5258528528016061E-3</v>
      </c>
      <c r="AC148" s="22">
        <f t="shared" si="111"/>
        <v>71.69119105625451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8">
        <f t="shared" si="113"/>
        <v>290.43432687672424</v>
      </c>
      <c r="AN148" s="58">
        <f ca="1">AVERAGE(OFFSET($AM$3,0,0,'Données projet'!$E$10+1,1))-AVERAGE(OFFSET($H$3,0,0,'Données projet'!$E$10+1,1))</f>
        <v>447.44638185108147</v>
      </c>
      <c r="AO148" s="58">
        <f t="shared" si="144"/>
        <v>384.84260115068605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48.967937988534523</v>
      </c>
      <c r="AV148" s="21">
        <f>EXP(-LN(2)/25)*AV147+(1-EXP(-LN(2)/25))/(LN(2)/25)*Calculateur!AQ148*Calculateur!AS148*VLOOKUP('Données projet'!$B$10,Paramètres!$A$1:$I$89,3,0)*0.475*44/12</f>
        <v>9.5918267385870433</v>
      </c>
      <c r="AW148" s="21">
        <f>EXP(-LN(2)/2)*AW147+(1-EXP(-LN(2)/2))/(LN(2)/2)*AQ148*AT148*VLOOKUP('Données projet'!$B$10,Paramètres!$A$1:$I$89,3,0)*0.475*44/12</f>
        <v>3.7589901744416619E-9</v>
      </c>
      <c r="AX148" s="21">
        <f t="shared" si="114"/>
        <v>58.559764730880559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468.94965000000099</v>
      </c>
      <c r="BF148" s="13">
        <f t="shared" si="145"/>
        <v>105.62316801364989</v>
      </c>
      <c r="BG148" s="20">
        <f t="shared" si="115"/>
        <v>1000.7143247071086</v>
      </c>
      <c r="BH148" s="58">
        <f t="shared" si="116"/>
        <v>1291.148651583826</v>
      </c>
      <c r="BI148" s="58">
        <f ca="1">AVERAGE(OFFSET($BH$3,0,0,'Données projet'!$E$11+1,1))-AVERAGE(OFFSET($H$3,0,0,'Données projet'!$E$11+1,1))</f>
        <v>724.99760740673071</v>
      </c>
      <c r="BJ148" s="58">
        <f t="shared" si="146"/>
        <v>318.24184272438208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54.932391281328243</v>
      </c>
      <c r="BQ148" s="21">
        <f>EXP(-LN(2)/25)*BQ147+(1-EXP(-LN(2)/25))/(LN(2)/25)*Calculateur!BL148*Calculateur!BN148*VLOOKUP('Données projet'!$B$11,Paramètres!$A$1:$I$89,3,0)*0.475*44/12</f>
        <v>25.407233515587471</v>
      </c>
      <c r="BR148" s="21">
        <f>EXP(-LN(2)/2)*BR147+(1-EXP(-LN(2)/2))/(LN(2)/2)*BL148*BO148*VLOOKUP('Données projet'!$B$11,Paramètres!$A$1:$I$89,3,0)*0.475*44/12</f>
        <v>3.9513868177949007E-3</v>
      </c>
      <c r="BS148" s="22">
        <f t="shared" si="117"/>
        <v>80.343576183733504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9.3350000000000026</v>
      </c>
      <c r="BY148" s="12">
        <f>IF('Données projet'!$A$114&gt;35,BY147+BX148-CG147,IF(A148&lt;'Données projet'!$A$114,$BV$205^A148,IF(A148='Données projet'!$A$114,'Données projet'!$B$114,BY147+BX148-CG147)))</f>
        <v>462.47500000000093</v>
      </c>
      <c r="BZ148" s="13">
        <f>BY148*VLOOKUP('Données projet'!$B$12,Paramètres!$A$1:$I$89,3,0)*VLOOKUP('Données projet'!$B$12,Paramètres!$A$1:$I$89,5,0)</f>
        <v>440.09121000000096</v>
      </c>
      <c r="CA148" s="13">
        <f t="shared" si="147"/>
        <v>99.858810765228739</v>
      </c>
      <c r="CB148" s="20">
        <f t="shared" si="118"/>
        <v>940.4129528327752</v>
      </c>
      <c r="CC148" s="58">
        <f t="shared" si="119"/>
        <v>1230.8472797094926</v>
      </c>
      <c r="CD148" s="58">
        <f ca="1">AVERAGE(OFFSET($CC$3,0,0,'Données projet'!$E$12+1,1))-AVERAGE(OFFSET($H$3,0,0,'Données projet'!$E$12+1,1))</f>
        <v>684.45757350513315</v>
      </c>
      <c r="CE148" s="58">
        <f t="shared" si="148"/>
        <v>301.78148341369194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51.551936433246503</v>
      </c>
      <c r="CL148" s="21">
        <f>EXP(-LN(2)/25)*CL147+(1-EXP(-LN(2)/25))/(LN(2)/25)*Calculateur!CG148*Calculateur!CI148*VLOOKUP('Données projet'!$B$12,Paramètres!$A$1:$I$89,3,0)*0.475*44/12</f>
        <v>23.843711453089774</v>
      </c>
      <c r="CM148" s="21">
        <f>EXP(-LN(2)/2)*CM147+(1-EXP(-LN(2)/2))/(LN(2)/2)*CG148*CJ148*VLOOKUP('Données projet'!$B$12,Paramètres!$A$1:$I$89,3,0)*0.475*44/12</f>
        <v>3.7082245520844519E-3</v>
      </c>
      <c r="CN148" s="22">
        <f t="shared" si="120"/>
        <v>75.399356110888363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8" t="e">
        <f t="shared" si="122"/>
        <v>#N/A</v>
      </c>
      <c r="CY148" s="58" t="e">
        <f ca="1">AVERAGE(OFFSET($CX$3,0,0,'Données projet'!$E$13+1,1))-AVERAGE(OFFSET($H$3,0,0,'Données projet'!$E$13+1,1))</f>
        <v>#N/A</v>
      </c>
      <c r="CZ148" s="58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8" t="e">
        <f t="shared" si="125"/>
        <v>#N/A</v>
      </c>
      <c r="DT148" s="58" t="e">
        <f ca="1">AVERAGE(OFFSET($DS$3,0,0,'Données projet'!$E$14+1,1))-AVERAGE(OFFSET($H$3,0,0,'Données projet'!$E$14+1,1))</f>
        <v>#N/A</v>
      </c>
      <c r="DU148" s="58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8" t="e">
        <f t="shared" si="128"/>
        <v>#N/A</v>
      </c>
      <c r="EO148" s="58" t="e">
        <f ca="1">AVERAGE(OFFSET($EN$3,0,0,'Données projet'!$E$15+1,1))-AVERAGE(OFFSET($H$3,0,0,'Données projet'!$E$15+1,1))</f>
        <v>#N/A</v>
      </c>
      <c r="EP148" s="58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8" t="e">
        <f t="shared" si="131"/>
        <v>#N/A</v>
      </c>
      <c r="FJ148" s="58" t="e">
        <f ca="1">AVERAGE(OFFSET($FI$3,0,0,'Données projet'!$E$16+1,1))-AVERAGE(OFFSET($H$3,0,0,'Données projet'!$E$16+1,1))</f>
        <v>#N/A</v>
      </c>
      <c r="FK148" s="58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8" t="e">
        <f t="shared" si="134"/>
        <v>#N/A</v>
      </c>
      <c r="GE148" s="58" t="e">
        <f ca="1">AVERAGE(OFFSET($GD$3,0,0,'Données projet'!$E$17+1,1))-AVERAGE(OFFSET($H$3,0,0,'Données projet'!$E$17+1,1))</f>
        <v>#N/A</v>
      </c>
      <c r="GF148" s="58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69.209361875468389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8" t="e">
        <f t="shared" si="137"/>
        <v>#N/A</v>
      </c>
      <c r="GZ148" s="58" t="e">
        <f ca="1">AVERAGE(OFFSET($GY$3,0,0,'Données projet'!$E$18+1,1))-AVERAGE(OFFSET($H$3,0,0,'Données projet'!$E$18+1,1))</f>
        <v>#N/A</v>
      </c>
      <c r="HA148" s="58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2">
        <f>'Scénario référence'!$B$16*5+'Scénario référence'!$B$17*0+'Scénario référence'!$B$18*5</f>
        <v>2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7.333333333333333</v>
      </c>
      <c r="H149" s="66">
        <f t="shared" si="110"/>
        <v>227.33333333333334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9.3350000000000026</v>
      </c>
      <c r="N149" s="13">
        <f>IF('Données projet'!$A$36&gt;35,N148+M149-V148,IF(A149&lt;'Données projet'!$A$36,$K$205^A149,IF(A149='Données projet'!$A$36,'Données projet'!$B$36,N148+M149-V148)))</f>
        <v>471.81000000000091</v>
      </c>
      <c r="O149" s="13">
        <f>N149*VLOOKUP('Données projet'!$B$9,Paramètres!$A$1:$I$89,3,0)*VLOOKUP('Données projet'!$B$9,Paramètres!$A$1:$I$89,5,0)</f>
        <v>426.89368800000079</v>
      </c>
      <c r="P149" s="13">
        <f t="shared" si="141"/>
        <v>97.208128358788159</v>
      </c>
      <c r="Q149" s="20">
        <f t="shared" si="108"/>
        <v>912.81066349155742</v>
      </c>
      <c r="R149" s="58">
        <f t="shared" si="109"/>
        <v>1203.2952816490897</v>
      </c>
      <c r="S149" s="58">
        <f ca="1">AVERAGE(OFFSET($R$3,0,0,'Données projet'!$E$9+1,1))-AVERAGE(OFFSET($H$3,0,0,'Données projet'!$E$9+1,1))</f>
        <v>654.0179680178212</v>
      </c>
      <c r="T149" s="58">
        <f t="shared" si="142"/>
        <v>289.42065570013369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48.055409760578421</v>
      </c>
      <c r="AA149" s="21">
        <f>EXP(-LN(2)/25)*AA148+(1-EXP(-LN(2)/25))/(LN(2)/25)*Calculateur!V149*Calculateur!X149*VLOOKUP('Données projet'!$B$9,Paramètres!$A$1:$I$89,3,0)*0.475*44/12</f>
        <v>22.051128307411272</v>
      </c>
      <c r="AB149" s="21">
        <f>EXP(-LN(2)/2)*AB148+(1-EXP(-LN(2)/2))/(LN(2)/2)*V149*Y149*VLOOKUP('Données projet'!$B$9,Paramètres!$A$1:$I$89,3,0)*0.475*44/12</f>
        <v>2.4931544616819496E-3</v>
      </c>
      <c r="AC149" s="22">
        <f t="shared" si="111"/>
        <v>70.109031222451364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8">
        <f t="shared" si="113"/>
        <v>290.48461815753905</v>
      </c>
      <c r="AN149" s="58">
        <f ca="1">AVERAGE(OFFSET($AM$3,0,0,'Données projet'!$E$10+1,1))-AVERAGE(OFFSET($H$3,0,0,'Données projet'!$E$10+1,1))</f>
        <v>447.44638185108147</v>
      </c>
      <c r="AO149" s="58">
        <f t="shared" si="144"/>
        <v>384.84260115068605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48.007706592072367</v>
      </c>
      <c r="AV149" s="21">
        <f>EXP(-LN(2)/25)*AV148+(1-EXP(-LN(2)/25))/(LN(2)/25)*Calculateur!AQ149*Calculateur!AS149*VLOOKUP('Données projet'!$B$10,Paramètres!$A$1:$I$89,3,0)*0.475*44/12</f>
        <v>9.3295377320081343</v>
      </c>
      <c r="AW149" s="21">
        <f>EXP(-LN(2)/2)*AW148+(1-EXP(-LN(2)/2))/(LN(2)/2)*AQ149*AT149*VLOOKUP('Données projet'!$B$10,Paramètres!$A$1:$I$89,3,0)*0.475*44/12</f>
        <v>2.6580074427613024E-9</v>
      </c>
      <c r="AX149" s="21">
        <f t="shared" si="114"/>
        <v>57.337244326738507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478.41534000000098</v>
      </c>
      <c r="BF149" s="13">
        <f t="shared" si="145"/>
        <v>107.50479816034752</v>
      </c>
      <c r="BG149" s="20">
        <f t="shared" si="115"/>
        <v>1020.4775739626069</v>
      </c>
      <c r="BH149" s="58">
        <f t="shared" si="116"/>
        <v>1310.9621921201392</v>
      </c>
      <c r="BI149" s="58">
        <f ca="1">AVERAGE(OFFSET($BH$3,0,0,'Données projet'!$E$11+1,1))-AVERAGE(OFFSET($H$3,0,0,'Données projet'!$E$11+1,1))</f>
        <v>724.99760740673071</v>
      </c>
      <c r="BJ149" s="58">
        <f t="shared" si="146"/>
        <v>318.24184272438208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53.85520059375169</v>
      </c>
      <c r="BQ149" s="21">
        <f>EXP(-LN(2)/25)*BQ148+(1-EXP(-LN(2)/25))/(LN(2)/25)*Calculateur!BL149*Calculateur!BN149*VLOOKUP('Données projet'!$B$11,Paramètres!$A$1:$I$89,3,0)*0.475*44/12</f>
        <v>24.712471378995389</v>
      </c>
      <c r="BR149" s="21">
        <f>EXP(-LN(2)/2)*BR148+(1-EXP(-LN(2)/2))/(LN(2)/2)*BL149*BO149*VLOOKUP('Données projet'!$B$11,Paramètres!$A$1:$I$89,3,0)*0.475*44/12</f>
        <v>2.7940524139539072E-3</v>
      </c>
      <c r="BS149" s="22">
        <f t="shared" si="117"/>
        <v>78.570466025161039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9.3350000000000026</v>
      </c>
      <c r="BY149" s="12">
        <f>IF('Données projet'!$A$114&gt;35,BY148+BX149-CG148,IF(A149&lt;'Données projet'!$A$114,$BV$205^A149,IF(A149='Données projet'!$A$114,'Données projet'!$B$114,BY148+BX149-CG148)))</f>
        <v>471.81000000000091</v>
      </c>
      <c r="BZ149" s="13">
        <f>BY149*VLOOKUP('Données projet'!$B$12,Paramètres!$A$1:$I$89,3,0)*VLOOKUP('Données projet'!$B$12,Paramètres!$A$1:$I$89,5,0)</f>
        <v>448.97439600000092</v>
      </c>
      <c r="CA149" s="13">
        <f t="shared" si="147"/>
        <v>101.63775143026291</v>
      </c>
      <c r="CB149" s="20">
        <f t="shared" si="118"/>
        <v>958.98282344104257</v>
      </c>
      <c r="CC149" s="58">
        <f t="shared" si="119"/>
        <v>1249.4674415985749</v>
      </c>
      <c r="CD149" s="58">
        <f ca="1">AVERAGE(OFFSET($CC$3,0,0,'Données projet'!$E$12+1,1))-AVERAGE(OFFSET($H$3,0,0,'Données projet'!$E$12+1,1))</f>
        <v>684.45757350513315</v>
      </c>
      <c r="CE149" s="58">
        <f t="shared" si="148"/>
        <v>301.78148341369194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50.541034403366972</v>
      </c>
      <c r="CL149" s="21">
        <f>EXP(-LN(2)/25)*CL148+(1-EXP(-LN(2)/25))/(LN(2)/25)*Calculateur!CG149*Calculateur!CI149*VLOOKUP('Données projet'!$B$12,Paramètres!$A$1:$I$89,3,0)*0.475*44/12</f>
        <v>23.191703909518743</v>
      </c>
      <c r="CM149" s="21">
        <f>EXP(-LN(2)/2)*CM148+(1-EXP(-LN(2)/2))/(LN(2)/2)*CG149*CJ149*VLOOKUP('Données projet'!$B$12,Paramètres!$A$1:$I$89,3,0)*0.475*44/12</f>
        <v>2.6221107269413639E-3</v>
      </c>
      <c r="CN149" s="22">
        <f t="shared" si="120"/>
        <v>73.735360423612661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8" t="e">
        <f t="shared" si="122"/>
        <v>#N/A</v>
      </c>
      <c r="CY149" s="58" t="e">
        <f ca="1">AVERAGE(OFFSET($CX$3,0,0,'Données projet'!$E$13+1,1))-AVERAGE(OFFSET($H$3,0,0,'Données projet'!$E$13+1,1))</f>
        <v>#N/A</v>
      </c>
      <c r="CZ149" s="58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8" t="e">
        <f t="shared" si="125"/>
        <v>#N/A</v>
      </c>
      <c r="DT149" s="58" t="e">
        <f ca="1">AVERAGE(OFFSET($DS$3,0,0,'Données projet'!$E$14+1,1))-AVERAGE(OFFSET($H$3,0,0,'Données projet'!$E$14+1,1))</f>
        <v>#N/A</v>
      </c>
      <c r="DU149" s="58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8" t="e">
        <f t="shared" si="128"/>
        <v>#N/A</v>
      </c>
      <c r="EO149" s="58" t="e">
        <f ca="1">AVERAGE(OFFSET($EN$3,0,0,'Données projet'!$E$15+1,1))-AVERAGE(OFFSET($H$3,0,0,'Données projet'!$E$15+1,1))</f>
        <v>#N/A</v>
      </c>
      <c r="EP149" s="58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8" t="e">
        <f t="shared" si="131"/>
        <v>#N/A</v>
      </c>
      <c r="FJ149" s="58" t="e">
        <f ca="1">AVERAGE(OFFSET($FI$3,0,0,'Données projet'!$E$16+1,1))-AVERAGE(OFFSET($H$3,0,0,'Données projet'!$E$16+1,1))</f>
        <v>#N/A</v>
      </c>
      <c r="FK149" s="58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8" t="e">
        <f t="shared" si="134"/>
        <v>#N/A</v>
      </c>
      <c r="GE149" s="58" t="e">
        <f ca="1">AVERAGE(OFFSET($GD$3,0,0,'Données projet'!$E$17+1,1))-AVERAGE(OFFSET($H$3,0,0,'Données projet'!$E$17+1,1))</f>
        <v>#N/A</v>
      </c>
      <c r="GF149" s="58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69.223077679326977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8" t="e">
        <f t="shared" si="137"/>
        <v>#N/A</v>
      </c>
      <c r="GZ149" s="58" t="e">
        <f ca="1">AVERAGE(OFFSET($GY$3,0,0,'Données projet'!$E$18+1,1))-AVERAGE(OFFSET($H$3,0,0,'Données projet'!$E$18+1,1))</f>
        <v>#N/A</v>
      </c>
      <c r="HA149" s="58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2">
        <f>'Scénario référence'!$B$16*5+'Scénario référence'!$B$17*0+'Scénario référence'!$B$18*5</f>
        <v>2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7.333333333333333</v>
      </c>
      <c r="H150" s="66">
        <f t="shared" si="110"/>
        <v>227.33333333333334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9.3350000000000026</v>
      </c>
      <c r="N150" s="13">
        <f>IF('Données projet'!$A$36&gt;35,N149+M150-V149,IF(A150&lt;'Données projet'!$A$36,$K$205^A150,IF(A150='Données projet'!$A$36,'Données projet'!$B$36,N149+M150-V149)))</f>
        <v>481.14500000000089</v>
      </c>
      <c r="O150" s="13">
        <f>N150*VLOOKUP('Données projet'!$B$9,Paramètres!$A$1:$I$89,3,0)*VLOOKUP('Données projet'!$B$9,Paramètres!$A$1:$I$89,5,0)</f>
        <v>435.33999600000078</v>
      </c>
      <c r="P150" s="13">
        <f t="shared" si="141"/>
        <v>98.905624251508897</v>
      </c>
      <c r="Q150" s="20">
        <f t="shared" si="108"/>
        <v>930.4777886047126</v>
      </c>
      <c r="R150" s="58">
        <f t="shared" si="109"/>
        <v>1221.011825601772</v>
      </c>
      <c r="S150" s="58">
        <f ca="1">AVERAGE(OFFSET($R$3,0,0,'Données projet'!$E$9+1,1))-AVERAGE(OFFSET($H$3,0,0,'Données projet'!$E$9+1,1))</f>
        <v>654.0179680178212</v>
      </c>
      <c r="T150" s="58">
        <f t="shared" si="142"/>
        <v>289.42065570013369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47.113072486079218</v>
      </c>
      <c r="AA150" s="21">
        <f>EXP(-LN(2)/25)*AA149+(1-EXP(-LN(2)/25))/(LN(2)/25)*Calculateur!V150*Calculateur!X150*VLOOKUP('Données projet'!$B$9,Paramètres!$A$1:$I$89,3,0)*0.475*44/12</f>
        <v>21.448139044226672</v>
      </c>
      <c r="AB150" s="21">
        <f>EXP(-LN(2)/2)*AB149+(1-EXP(-LN(2)/2))/(LN(2)/2)*V150*Y150*VLOOKUP('Données projet'!$B$9,Paramètres!$A$1:$I$89,3,0)*0.475*44/12</f>
        <v>1.7629264264008031E-3</v>
      </c>
      <c r="AC150" s="22">
        <f t="shared" si="111"/>
        <v>68.562974456732277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8">
        <f t="shared" si="113"/>
        <v>290.53403699706621</v>
      </c>
      <c r="AN150" s="58">
        <f ca="1">AVERAGE(OFFSET($AM$3,0,0,'Données projet'!$E$10+1,1))-AVERAGE(OFFSET($H$3,0,0,'Données projet'!$E$10+1,1))</f>
        <v>447.44638185108147</v>
      </c>
      <c r="AO150" s="58">
        <f t="shared" si="144"/>
        <v>384.84260115068605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47.066304747611511</v>
      </c>
      <c r="AV150" s="21">
        <f>EXP(-LN(2)/25)*AV149+(1-EXP(-LN(2)/25))/(LN(2)/25)*Calculateur!AQ150*Calculateur!AS150*VLOOKUP('Données projet'!$B$10,Paramètres!$A$1:$I$89,3,0)*0.475*44/12</f>
        <v>9.0744210321073062</v>
      </c>
      <c r="AW150" s="21">
        <f>EXP(-LN(2)/2)*AW149+(1-EXP(-LN(2)/2))/(LN(2)/2)*AQ150*AT150*VLOOKUP('Données projet'!$B$10,Paramètres!$A$1:$I$89,3,0)*0.475*44/12</f>
        <v>1.8794950872208309E-9</v>
      </c>
      <c r="AX150" s="21">
        <f t="shared" si="114"/>
        <v>56.140725781598313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487.88103000000092</v>
      </c>
      <c r="BF150" s="13">
        <f t="shared" si="145"/>
        <v>109.38209953839079</v>
      </c>
      <c r="BG150" s="20">
        <f t="shared" si="115"/>
        <v>1040.2332839460321</v>
      </c>
      <c r="BH150" s="58">
        <f t="shared" si="116"/>
        <v>1330.7673209430914</v>
      </c>
      <c r="BI150" s="58">
        <f ca="1">AVERAGE(OFFSET($BH$3,0,0,'Données projet'!$E$11+1,1))-AVERAGE(OFFSET($H$3,0,0,'Données projet'!$E$11+1,1))</f>
        <v>724.99760740673071</v>
      </c>
      <c r="BJ150" s="58">
        <f t="shared" si="146"/>
        <v>318.24184272438208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52.799132958537065</v>
      </c>
      <c r="BQ150" s="21">
        <f>EXP(-LN(2)/25)*BQ149+(1-EXP(-LN(2)/25))/(LN(2)/25)*Calculateur!BL150*Calculateur!BN150*VLOOKUP('Données projet'!$B$11,Paramètres!$A$1:$I$89,3,0)*0.475*44/12</f>
        <v>24.036707549564372</v>
      </c>
      <c r="BR150" s="21">
        <f>EXP(-LN(2)/2)*BR149+(1-EXP(-LN(2)/2))/(LN(2)/2)*BL150*BO150*VLOOKUP('Données projet'!$B$11,Paramètres!$A$1:$I$89,3,0)*0.475*44/12</f>
        <v>1.9756934088974503E-3</v>
      </c>
      <c r="BS150" s="22">
        <f t="shared" si="117"/>
        <v>76.837816201510336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9.3350000000000026</v>
      </c>
      <c r="BY150" s="12">
        <f>IF('Données projet'!$A$114&gt;35,BY149+BX150-CG149,IF(A150&lt;'Données projet'!$A$114,$BV$205^A150,IF(A150='Données projet'!$A$114,'Données projet'!$B$114,BY149+BX150-CG149)))</f>
        <v>481.14500000000089</v>
      </c>
      <c r="BZ150" s="13">
        <f>BY150*VLOOKUP('Données projet'!$B$12,Paramètres!$A$1:$I$89,3,0)*VLOOKUP('Données projet'!$B$12,Paramètres!$A$1:$I$89,5,0)</f>
        <v>457.85758200000089</v>
      </c>
      <c r="CA150" s="13">
        <f t="shared" si="147"/>
        <v>103.4125995680798</v>
      </c>
      <c r="CB150" s="20">
        <f t="shared" si="118"/>
        <v>977.54556623107385</v>
      </c>
      <c r="CC150" s="58">
        <f t="shared" si="119"/>
        <v>1268.0796032281332</v>
      </c>
      <c r="CD150" s="58">
        <f ca="1">AVERAGE(OFFSET($CC$3,0,0,'Données projet'!$E$12+1,1))-AVERAGE(OFFSET($H$3,0,0,'Données projet'!$E$12+1,1))</f>
        <v>684.45757350513315</v>
      </c>
      <c r="CE150" s="58">
        <f t="shared" si="148"/>
        <v>301.78148341369194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49.549955545704016</v>
      </c>
      <c r="CL150" s="21">
        <f>EXP(-LN(2)/25)*CL149+(1-EXP(-LN(2)/25))/(LN(2)/25)*Calculateur!CG150*Calculateur!CI150*VLOOKUP('Données projet'!$B$12,Paramètres!$A$1:$I$89,3,0)*0.475*44/12</f>
        <v>22.557525546514249</v>
      </c>
      <c r="CM150" s="21">
        <f>EXP(-LN(2)/2)*CM149+(1-EXP(-LN(2)/2))/(LN(2)/2)*CG150*CJ150*VLOOKUP('Données projet'!$B$12,Paramètres!$A$1:$I$89,3,0)*0.475*44/12</f>
        <v>1.8541122760422262E-3</v>
      </c>
      <c r="CN150" s="22">
        <f t="shared" si="120"/>
        <v>72.1093352044943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8" t="e">
        <f t="shared" si="122"/>
        <v>#N/A</v>
      </c>
      <c r="CY150" s="58" t="e">
        <f ca="1">AVERAGE(OFFSET($CX$3,0,0,'Données projet'!$E$13+1,1))-AVERAGE(OFFSET($H$3,0,0,'Données projet'!$E$13+1,1))</f>
        <v>#N/A</v>
      </c>
      <c r="CZ150" s="58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8" t="e">
        <f t="shared" si="125"/>
        <v>#N/A</v>
      </c>
      <c r="DT150" s="58" t="e">
        <f ca="1">AVERAGE(OFFSET($DS$3,0,0,'Données projet'!$E$14+1,1))-AVERAGE(OFFSET($H$3,0,0,'Données projet'!$E$14+1,1))</f>
        <v>#N/A</v>
      </c>
      <c r="DU150" s="58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8" t="e">
        <f t="shared" si="128"/>
        <v>#N/A</v>
      </c>
      <c r="EO150" s="58" t="e">
        <f ca="1">AVERAGE(OFFSET($EN$3,0,0,'Données projet'!$E$15+1,1))-AVERAGE(OFFSET($H$3,0,0,'Données projet'!$E$15+1,1))</f>
        <v>#N/A</v>
      </c>
      <c r="EP150" s="58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8" t="e">
        <f t="shared" si="131"/>
        <v>#N/A</v>
      </c>
      <c r="FJ150" s="58" t="e">
        <f ca="1">AVERAGE(OFFSET($FI$3,0,0,'Données projet'!$E$16+1,1))-AVERAGE(OFFSET($H$3,0,0,'Données projet'!$E$16+1,1))</f>
        <v>#N/A</v>
      </c>
      <c r="FK150" s="58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8" t="e">
        <f t="shared" si="134"/>
        <v>#N/A</v>
      </c>
      <c r="GE150" s="58" t="e">
        <f ca="1">AVERAGE(OFFSET($GD$3,0,0,'Données projet'!$E$17+1,1))-AVERAGE(OFFSET($H$3,0,0,'Données projet'!$E$17+1,1))</f>
        <v>#N/A</v>
      </c>
      <c r="GF150" s="58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69.23655554465256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8" t="e">
        <f t="shared" si="137"/>
        <v>#N/A</v>
      </c>
      <c r="GZ150" s="58" t="e">
        <f ca="1">AVERAGE(OFFSET($GY$3,0,0,'Données projet'!$E$18+1,1))-AVERAGE(OFFSET($H$3,0,0,'Données projet'!$E$18+1,1))</f>
        <v>#N/A</v>
      </c>
      <c r="HA150" s="58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2">
        <f>'Scénario référence'!$B$16*5+'Scénario référence'!$B$17*0+'Scénario référence'!$B$18*5</f>
        <v>2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7.333333333333333</v>
      </c>
      <c r="H151" s="66">
        <f t="shared" si="110"/>
        <v>227.33333333333334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9.3350000000000026</v>
      </c>
      <c r="N151" s="13">
        <f>IF('Données projet'!$A$36&gt;35,N150+M151-V150,IF(A151&lt;'Données projet'!$A$36,$K$205^A151,IF(A151='Données projet'!$A$36,'Données projet'!$B$36,N150+M151-V150)))</f>
        <v>490.48000000000087</v>
      </c>
      <c r="O151" s="13">
        <f>N151*VLOOKUP('Données projet'!$B$9,Paramètres!$A$1:$I$89,3,0)*VLOOKUP('Données projet'!$B$9,Paramètres!$A$1:$I$89,5,0)</f>
        <v>443.78630400000077</v>
      </c>
      <c r="P151" s="13">
        <f t="shared" si="141"/>
        <v>100.59929067522565</v>
      </c>
      <c r="Q151" s="20">
        <f t="shared" si="108"/>
        <v>948.13824405935259</v>
      </c>
      <c r="R151" s="58">
        <f t="shared" si="109"/>
        <v>1238.7208425895574</v>
      </c>
      <c r="S151" s="58">
        <f ca="1">AVERAGE(OFFSET($R$3,0,0,'Données projet'!$E$9+1,1))-AVERAGE(OFFSET($H$3,0,0,'Données projet'!$E$9+1,1))</f>
        <v>654.0179680178212</v>
      </c>
      <c r="T151" s="58">
        <f t="shared" si="142"/>
        <v>289.42065570013369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46.189213870763965</v>
      </c>
      <c r="AA151" s="21">
        <f>EXP(-LN(2)/25)*AA150+(1-EXP(-LN(2)/25))/(LN(2)/25)*Calculateur!V151*Calculateur!X151*VLOOKUP('Données projet'!$B$9,Paramètres!$A$1:$I$89,3,0)*0.475*44/12</f>
        <v>20.861638554153682</v>
      </c>
      <c r="AB151" s="21">
        <f>EXP(-LN(2)/2)*AB150+(1-EXP(-LN(2)/2))/(LN(2)/2)*V151*Y151*VLOOKUP('Données projet'!$B$9,Paramètres!$A$1:$I$89,3,0)*0.475*44/12</f>
        <v>1.2465772308409748E-3</v>
      </c>
      <c r="AC151" s="22">
        <f t="shared" si="111"/>
        <v>67.052099002148495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8">
        <f t="shared" si="113"/>
        <v>290.5825985302115</v>
      </c>
      <c r="AN151" s="58">
        <f ca="1">AVERAGE(OFFSET($AM$3,0,0,'Données projet'!$E$10+1,1))-AVERAGE(OFFSET($H$3,0,0,'Données projet'!$E$10+1,1))</f>
        <v>447.44638185108147</v>
      </c>
      <c r="AO151" s="58">
        <f t="shared" si="144"/>
        <v>384.84260115068605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46.143363219122101</v>
      </c>
      <c r="AV151" s="21">
        <f>EXP(-LN(2)/25)*AV150+(1-EXP(-LN(2)/25))/(LN(2)/25)*Calculateur!AQ151*Calculateur!AS151*VLOOKUP('Données projet'!$B$10,Paramètres!$A$1:$I$89,3,0)*0.475*44/12</f>
        <v>8.8262805117812704</v>
      </c>
      <c r="AW151" s="21">
        <f>EXP(-LN(2)/2)*AW150+(1-EXP(-LN(2)/2))/(LN(2)/2)*AQ151*AT151*VLOOKUP('Données projet'!$B$10,Paramètres!$A$1:$I$89,3,0)*0.475*44/12</f>
        <v>1.3290037213806512E-9</v>
      </c>
      <c r="AX151" s="21">
        <f t="shared" si="114"/>
        <v>54.969643732232377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497.34672000000091</v>
      </c>
      <c r="BF151" s="13">
        <f t="shared" si="145"/>
        <v>111.25516581491246</v>
      </c>
      <c r="BG151" s="20">
        <f t="shared" si="115"/>
        <v>1059.9816177943073</v>
      </c>
      <c r="BH151" s="58">
        <f t="shared" si="116"/>
        <v>1350.564216324512</v>
      </c>
      <c r="BI151" s="58">
        <f ca="1">AVERAGE(OFFSET($BH$3,0,0,'Données projet'!$E$11+1,1))-AVERAGE(OFFSET($H$3,0,0,'Données projet'!$E$11+1,1))</f>
        <v>724.99760740673071</v>
      </c>
      <c r="BJ151" s="58">
        <f t="shared" si="146"/>
        <v>318.24184272438208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51.76377416551135</v>
      </c>
      <c r="BQ151" s="21">
        <f>EXP(-LN(2)/25)*BQ150+(1-EXP(-LN(2)/25))/(LN(2)/25)*Calculateur!BL151*Calculateur!BN151*VLOOKUP('Données projet'!$B$11,Paramètres!$A$1:$I$89,3,0)*0.475*44/12</f>
        <v>23.379422517586022</v>
      </c>
      <c r="BR151" s="21">
        <f>EXP(-LN(2)/2)*BR150+(1-EXP(-LN(2)/2))/(LN(2)/2)*BL151*BO151*VLOOKUP('Données projet'!$B$11,Paramètres!$A$1:$I$89,3,0)*0.475*44/12</f>
        <v>1.3970262069769536E-3</v>
      </c>
      <c r="BS151" s="22">
        <f t="shared" si="117"/>
        <v>75.144593709304345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9.3350000000000026</v>
      </c>
      <c r="BY151" s="12">
        <f>IF('Données projet'!$A$114&gt;35,BY150+BX151-CG150,IF(A151&lt;'Données projet'!$A$114,$BV$205^A151,IF(A151='Données projet'!$A$114,'Données projet'!$B$114,BY150+BX151-CG150)))</f>
        <v>490.48000000000087</v>
      </c>
      <c r="BZ151" s="13">
        <f>BY151*VLOOKUP('Données projet'!$B$12,Paramètres!$A$1:$I$89,3,0)*VLOOKUP('Données projet'!$B$12,Paramètres!$A$1:$I$89,5,0)</f>
        <v>466.74076800000086</v>
      </c>
      <c r="CA151" s="13">
        <f t="shared" si="147"/>
        <v>105.18344373395189</v>
      </c>
      <c r="CB151" s="20">
        <f t="shared" si="118"/>
        <v>996.10133543663414</v>
      </c>
      <c r="CC151" s="58">
        <f t="shared" si="119"/>
        <v>1286.6839339668388</v>
      </c>
      <c r="CD151" s="58">
        <f ca="1">AVERAGE(OFFSET($CC$3,0,0,'Données projet'!$E$12+1,1))-AVERAGE(OFFSET($H$3,0,0,'Données projet'!$E$12+1,1))</f>
        <v>684.45757350513315</v>
      </c>
      <c r="CE151" s="58">
        <f t="shared" si="148"/>
        <v>301.78148341369194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48.57831113994142</v>
      </c>
      <c r="CL151" s="21">
        <f>EXP(-LN(2)/25)*CL150+(1-EXP(-LN(2)/25))/(LN(2)/25)*Calculateur!CG151*Calculateur!CI151*VLOOKUP('Données projet'!$B$12,Paramètres!$A$1:$I$89,3,0)*0.475*44/12</f>
        <v>21.940688824196105</v>
      </c>
      <c r="CM151" s="21">
        <f>EXP(-LN(2)/2)*CM150+(1-EXP(-LN(2)/2))/(LN(2)/2)*CG151*CJ151*VLOOKUP('Données projet'!$B$12,Paramètres!$A$1:$I$89,3,0)*0.475*44/12</f>
        <v>1.3110553634706821E-3</v>
      </c>
      <c r="CN151" s="22">
        <f t="shared" si="120"/>
        <v>70.520311019500994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8" t="e">
        <f t="shared" si="122"/>
        <v>#N/A</v>
      </c>
      <c r="CY151" s="58" t="e">
        <f ca="1">AVERAGE(OFFSET($CX$3,0,0,'Données projet'!$E$13+1,1))-AVERAGE(OFFSET($H$3,0,0,'Données projet'!$E$13+1,1))</f>
        <v>#N/A</v>
      </c>
      <c r="CZ151" s="58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8" t="e">
        <f t="shared" si="125"/>
        <v>#N/A</v>
      </c>
      <c r="DT151" s="58" t="e">
        <f ca="1">AVERAGE(OFFSET($DS$3,0,0,'Données projet'!$E$14+1,1))-AVERAGE(OFFSET($H$3,0,0,'Données projet'!$E$14+1,1))</f>
        <v>#N/A</v>
      </c>
      <c r="DU151" s="58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8" t="e">
        <f t="shared" si="128"/>
        <v>#N/A</v>
      </c>
      <c r="EO151" s="58" t="e">
        <f ca="1">AVERAGE(OFFSET($EN$3,0,0,'Données projet'!$E$15+1,1))-AVERAGE(OFFSET($H$3,0,0,'Données projet'!$E$15+1,1))</f>
        <v>#N/A</v>
      </c>
      <c r="EP151" s="58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8" t="e">
        <f t="shared" si="131"/>
        <v>#N/A</v>
      </c>
      <c r="FJ151" s="58" t="e">
        <f ca="1">AVERAGE(OFFSET($FI$3,0,0,'Données projet'!$E$16+1,1))-AVERAGE(OFFSET($H$3,0,0,'Données projet'!$E$16+1,1))</f>
        <v>#N/A</v>
      </c>
      <c r="FK151" s="58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8" t="e">
        <f t="shared" si="134"/>
        <v>#N/A</v>
      </c>
      <c r="GE151" s="58" t="e">
        <f ca="1">AVERAGE(OFFSET($GD$3,0,0,'Données projet'!$E$17+1,1))-AVERAGE(OFFSET($H$3,0,0,'Données projet'!$E$17+1,1))</f>
        <v>#N/A</v>
      </c>
      <c r="GF151" s="58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69.249799599146726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8" t="e">
        <f t="shared" si="137"/>
        <v>#N/A</v>
      </c>
      <c r="GZ151" s="58" t="e">
        <f ca="1">AVERAGE(OFFSET($GY$3,0,0,'Données projet'!$E$18+1,1))-AVERAGE(OFFSET($H$3,0,0,'Données projet'!$E$18+1,1))</f>
        <v>#N/A</v>
      </c>
      <c r="HA151" s="58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2">
        <f>'Scénario référence'!$B$16*5+'Scénario référence'!$B$17*0+'Scénario référence'!$B$18*5</f>
        <v>2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7.333333333333333</v>
      </c>
      <c r="H152" s="66">
        <f t="shared" si="110"/>
        <v>227.33333333333334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9.3350000000000026</v>
      </c>
      <c r="N152" s="13">
        <f>IF('Données projet'!$A$36&gt;35,N151+M152-V151,IF(A152&lt;'Données projet'!$A$36,$K$205^A152,IF(A152='Données projet'!$A$36,'Données projet'!$B$36,N151+M152-V151)))</f>
        <v>499.81500000000085</v>
      </c>
      <c r="O152" s="13">
        <f>N152*VLOOKUP('Données projet'!$B$9,Paramètres!$A$1:$I$89,3,0)*VLOOKUP('Données projet'!$B$9,Paramètres!$A$1:$I$89,5,0)</f>
        <v>452.2326120000007</v>
      </c>
      <c r="P152" s="13">
        <f t="shared" si="141"/>
        <v>102.28920891735658</v>
      </c>
      <c r="Q152" s="20">
        <f t="shared" si="108"/>
        <v>965.79217143106382</v>
      </c>
      <c r="R152" s="58">
        <f t="shared" si="109"/>
        <v>1256.4224890603809</v>
      </c>
      <c r="S152" s="58">
        <f ca="1">AVERAGE(OFFSET($R$3,0,0,'Données projet'!$E$9+1,1))-AVERAGE(OFFSET($H$3,0,0,'Données projet'!$E$9+1,1))</f>
        <v>654.0179680178212</v>
      </c>
      <c r="T152" s="58">
        <f t="shared" si="142"/>
        <v>289.42065570013369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45.283471559396929</v>
      </c>
      <c r="AA152" s="21">
        <f>EXP(-LN(2)/25)*AA151+(1-EXP(-LN(2)/25))/(LN(2)/25)*Calculateur!V152*Calculateur!X152*VLOOKUP('Données projet'!$B$9,Paramètres!$A$1:$I$89,3,0)*0.475*44/12</f>
        <v>20.291175950824456</v>
      </c>
      <c r="AB152" s="21">
        <f>EXP(-LN(2)/2)*AB151+(1-EXP(-LN(2)/2))/(LN(2)/2)*V152*Y152*VLOOKUP('Données projet'!$B$9,Paramètres!$A$1:$I$89,3,0)*0.475*44/12</f>
        <v>8.8146321320040153E-4</v>
      </c>
      <c r="AC152" s="22">
        <f t="shared" si="111"/>
        <v>65.575528973434587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8">
        <f t="shared" si="113"/>
        <v>290.63031762932405</v>
      </c>
      <c r="AN152" s="58">
        <f ca="1">AVERAGE(OFFSET($AM$3,0,0,'Données projet'!$E$10+1,1))-AVERAGE(OFFSET($H$3,0,0,'Données projet'!$E$10+1,1))</f>
        <v>447.44638185108147</v>
      </c>
      <c r="AO152" s="58">
        <f t="shared" si="144"/>
        <v>384.84260115068605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45.238520011067628</v>
      </c>
      <c r="AV152" s="21">
        <f>EXP(-LN(2)/25)*AV151+(1-EXP(-LN(2)/25))/(LN(2)/25)*Calculateur!AQ152*Calculateur!AS152*VLOOKUP('Données projet'!$B$10,Paramètres!$A$1:$I$89,3,0)*0.475*44/12</f>
        <v>8.5849254070326921</v>
      </c>
      <c r="AW152" s="21">
        <f>EXP(-LN(2)/2)*AW151+(1-EXP(-LN(2)/2))/(LN(2)/2)*AQ152*AT152*VLOOKUP('Données projet'!$B$10,Paramètres!$A$1:$I$89,3,0)*0.475*44/12</f>
        <v>9.3974754361041547E-10</v>
      </c>
      <c r="AX152" s="21">
        <f t="shared" si="114"/>
        <v>53.82344541904007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506.81241000000091</v>
      </c>
      <c r="BF152" s="13">
        <f t="shared" si="145"/>
        <v>113.12408688761556</v>
      </c>
      <c r="BG152" s="20">
        <f t="shared" si="115"/>
        <v>1079.7227320792654</v>
      </c>
      <c r="BH152" s="58">
        <f t="shared" si="116"/>
        <v>1370.3530497085826</v>
      </c>
      <c r="BI152" s="58">
        <f ca="1">AVERAGE(OFFSET($BH$3,0,0,'Données projet'!$E$11+1,1))-AVERAGE(OFFSET($H$3,0,0,'Données projet'!$E$11+1,1))</f>
        <v>724.99760740673071</v>
      </c>
      <c r="BJ152" s="58">
        <f t="shared" si="146"/>
        <v>318.24184272438208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50.748718126910362</v>
      </c>
      <c r="BQ152" s="21">
        <f>EXP(-LN(2)/25)*BQ151+(1-EXP(-LN(2)/25))/(LN(2)/25)*Calculateur!BL152*Calculateur!BN152*VLOOKUP('Données projet'!$B$11,Paramètres!$A$1:$I$89,3,0)*0.475*44/12</f>
        <v>22.740110979372236</v>
      </c>
      <c r="BR152" s="21">
        <f>EXP(-LN(2)/2)*BR151+(1-EXP(-LN(2)/2))/(LN(2)/2)*BL152*BO152*VLOOKUP('Données projet'!$B$11,Paramètres!$A$1:$I$89,3,0)*0.475*44/12</f>
        <v>9.8784670444872517E-4</v>
      </c>
      <c r="BS152" s="22">
        <f t="shared" si="117"/>
        <v>73.489816952987042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9.3350000000000026</v>
      </c>
      <c r="BY152" s="12">
        <f>IF('Données projet'!$A$114&gt;35,BY151+BX152-CG151,IF(A152&lt;'Données projet'!$A$114,$BV$205^A152,IF(A152='Données projet'!$A$114,'Données projet'!$B$114,BY151+BX152-CG151)))</f>
        <v>499.81500000000085</v>
      </c>
      <c r="BZ152" s="13">
        <f>BY152*VLOOKUP('Données projet'!$B$12,Paramètres!$A$1:$I$89,3,0)*VLOOKUP('Données projet'!$B$12,Paramètres!$A$1:$I$89,5,0)</f>
        <v>475.62395400000082</v>
      </c>
      <c r="CA152" s="13">
        <f t="shared" si="147"/>
        <v>106.95036891943845</v>
      </c>
      <c r="CB152" s="20">
        <f t="shared" si="118"/>
        <v>1014.6502790846899</v>
      </c>
      <c r="CC152" s="58">
        <f t="shared" si="119"/>
        <v>1305.2805967140071</v>
      </c>
      <c r="CD152" s="58">
        <f ca="1">AVERAGE(OFFSET($CC$3,0,0,'Données projet'!$E$12+1,1))-AVERAGE(OFFSET($H$3,0,0,'Données projet'!$E$12+1,1))</f>
        <v>684.45757350513315</v>
      </c>
      <c r="CE152" s="58">
        <f t="shared" si="148"/>
        <v>301.78148341369194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47.625720088331256</v>
      </c>
      <c r="CL152" s="21">
        <f>EXP(-LN(2)/25)*CL151+(1-EXP(-LN(2)/25))/(LN(2)/25)*Calculateur!CG152*Calculateur!CI152*VLOOKUP('Données projet'!$B$12,Paramètres!$A$1:$I$89,3,0)*0.475*44/12</f>
        <v>21.340719534487782</v>
      </c>
      <c r="CM152" s="21">
        <f>EXP(-LN(2)/2)*CM151+(1-EXP(-LN(2)/2))/(LN(2)/2)*CG152*CJ152*VLOOKUP('Données projet'!$B$12,Paramètres!$A$1:$I$89,3,0)*0.475*44/12</f>
        <v>9.270561380211132E-4</v>
      </c>
      <c r="CN152" s="22">
        <f t="shared" si="120"/>
        <v>68.967366678957063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8" t="e">
        <f t="shared" si="122"/>
        <v>#N/A</v>
      </c>
      <c r="CY152" s="58" t="e">
        <f ca="1">AVERAGE(OFFSET($CX$3,0,0,'Données projet'!$E$13+1,1))-AVERAGE(OFFSET($H$3,0,0,'Données projet'!$E$13+1,1))</f>
        <v>#N/A</v>
      </c>
      <c r="CZ152" s="58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8" t="e">
        <f t="shared" si="125"/>
        <v>#N/A</v>
      </c>
      <c r="DT152" s="58" t="e">
        <f ca="1">AVERAGE(OFFSET($DS$3,0,0,'Données projet'!$E$14+1,1))-AVERAGE(OFFSET($H$3,0,0,'Données projet'!$E$14+1,1))</f>
        <v>#N/A</v>
      </c>
      <c r="DU152" s="58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8" t="e">
        <f t="shared" si="128"/>
        <v>#N/A</v>
      </c>
      <c r="EO152" s="58" t="e">
        <f ca="1">AVERAGE(OFFSET($EN$3,0,0,'Données projet'!$E$15+1,1))-AVERAGE(OFFSET($H$3,0,0,'Données projet'!$E$15+1,1))</f>
        <v>#N/A</v>
      </c>
      <c r="EP152" s="58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8" t="e">
        <f t="shared" si="131"/>
        <v>#N/A</v>
      </c>
      <c r="FJ152" s="58" t="e">
        <f ca="1">AVERAGE(OFFSET($FI$3,0,0,'Données projet'!$E$16+1,1))-AVERAGE(OFFSET($H$3,0,0,'Données projet'!$E$16+1,1))</f>
        <v>#N/A</v>
      </c>
      <c r="FK152" s="58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8" t="e">
        <f t="shared" si="134"/>
        <v>#N/A</v>
      </c>
      <c r="GE152" s="58" t="e">
        <f ca="1">AVERAGE(OFFSET($GD$3,0,0,'Données projet'!$E$17+1,1))-AVERAGE(OFFSET($H$3,0,0,'Données projet'!$E$17+1,1))</f>
        <v>#N/A</v>
      </c>
      <c r="GF152" s="58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69.262813898904696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8" t="e">
        <f t="shared" si="137"/>
        <v>#N/A</v>
      </c>
      <c r="GZ152" s="58" t="e">
        <f ca="1">AVERAGE(OFFSET($GY$3,0,0,'Données projet'!$E$18+1,1))-AVERAGE(OFFSET($H$3,0,0,'Données projet'!$E$18+1,1))</f>
        <v>#N/A</v>
      </c>
      <c r="HA152" s="58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2">
        <f>'Scénario référence'!$B$16*5+'Scénario référence'!$B$17*0+'Scénario référence'!$B$18*5</f>
        <v>2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7.333333333333333</v>
      </c>
      <c r="H153" s="66">
        <f t="shared" si="110"/>
        <v>227.33333333333334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9.3350000000000026</v>
      </c>
      <c r="N153" s="13">
        <f>IF('Données projet'!$A$36&gt;35,N152+M153-V152,IF(A153&lt;'Données projet'!$A$36,$K$205^A153,IF(A153='Données projet'!$A$36,'Données projet'!$B$36,N152+M153-V152)))</f>
        <v>509.15000000000083</v>
      </c>
      <c r="O153" s="13">
        <f>N153*VLOOKUP('Données projet'!$B$9,Paramètres!$A$1:$I$89,3,0)*VLOOKUP('Données projet'!$B$9,Paramètres!$A$1:$I$89,5,0)</f>
        <v>460.67892000000074</v>
      </c>
      <c r="P153" s="13">
        <f t="shared" si="141"/>
        <v>103.97545705513664</v>
      </c>
      <c r="Q153" s="20">
        <f t="shared" si="108"/>
        <v>983.43970670436431</v>
      </c>
      <c r="R153" s="58">
        <f t="shared" si="109"/>
        <v>1274.1169156131084</v>
      </c>
      <c r="S153" s="58">
        <f ca="1">AVERAGE(OFFSET($R$3,0,0,'Données projet'!$E$9+1,1))-AVERAGE(OFFSET($H$3,0,0,'Données projet'!$E$9+1,1))</f>
        <v>654.0179680178212</v>
      </c>
      <c r="T153" s="58">
        <f t="shared" si="142"/>
        <v>289.42065570013369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44.395490302307536</v>
      </c>
      <c r="AA153" s="21">
        <f>EXP(-LN(2)/25)*AA152+(1-EXP(-LN(2)/25))/(LN(2)/25)*Calculateur!V153*Calculateur!X153*VLOOKUP('Données projet'!$B$9,Paramètres!$A$1:$I$89,3,0)*0.475*44/12</f>
        <v>19.736312677382596</v>
      </c>
      <c r="AB153" s="21">
        <f>EXP(-LN(2)/2)*AB152+(1-EXP(-LN(2)/2))/(LN(2)/2)*V153*Y153*VLOOKUP('Données projet'!$B$9,Paramètres!$A$1:$I$89,3,0)*0.475*44/12</f>
        <v>6.2328861542048741E-4</v>
      </c>
      <c r="AC153" s="22">
        <f t="shared" si="111"/>
        <v>64.132426268305551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8">
        <f t="shared" si="113"/>
        <v>290.67720890875091</v>
      </c>
      <c r="AN153" s="58">
        <f ca="1">AVERAGE(OFFSET($AM$3,0,0,'Données projet'!$E$10+1,1))-AVERAGE(OFFSET($H$3,0,0,'Données projet'!$E$10+1,1))</f>
        <v>447.44638185108147</v>
      </c>
      <c r="AO153" s="58">
        <f t="shared" si="144"/>
        <v>384.84260115068605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44.351420226423237</v>
      </c>
      <c r="AV153" s="21">
        <f>EXP(-LN(2)/25)*AV152+(1-EXP(-LN(2)/25))/(LN(2)/25)*Calculateur!AQ153*Calculateur!AS153*VLOOKUP('Données projet'!$B$10,Paramètres!$A$1:$I$89,3,0)*0.475*44/12</f>
        <v>8.3501701703157778</v>
      </c>
      <c r="AW153" s="21">
        <f>EXP(-LN(2)/2)*AW152+(1-EXP(-LN(2)/2))/(LN(2)/2)*AQ153*AT153*VLOOKUP('Données projet'!$B$10,Paramètres!$A$1:$I$89,3,0)*0.475*44/12</f>
        <v>6.6450186069032559E-10</v>
      </c>
      <c r="AX153" s="21">
        <f t="shared" si="114"/>
        <v>52.701590397403514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516.2781000000009</v>
      </c>
      <c r="BF153" s="13">
        <f t="shared" si="145"/>
        <v>114.98894910398533</v>
      </c>
      <c r="BG153" s="20">
        <f t="shared" si="115"/>
        <v>1099.4567771894424</v>
      </c>
      <c r="BH153" s="58">
        <f t="shared" si="116"/>
        <v>1390.1339860981866</v>
      </c>
      <c r="BI153" s="58">
        <f ca="1">AVERAGE(OFFSET($BH$3,0,0,'Données projet'!$E$11+1,1))-AVERAGE(OFFSET($H$3,0,0,'Données projet'!$E$11+1,1))</f>
        <v>724.99760740673071</v>
      </c>
      <c r="BJ153" s="58">
        <f t="shared" si="146"/>
        <v>318.24184272438208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49.753566718103286</v>
      </c>
      <c r="BQ153" s="21">
        <f>EXP(-LN(2)/25)*BQ152+(1-EXP(-LN(2)/25))/(LN(2)/25)*Calculateur!BL153*Calculateur!BN153*VLOOKUP('Données projet'!$B$11,Paramètres!$A$1:$I$89,3,0)*0.475*44/12</f>
        <v>22.118281448790839</v>
      </c>
      <c r="BR153" s="21">
        <f>EXP(-LN(2)/2)*BR152+(1-EXP(-LN(2)/2))/(LN(2)/2)*BL153*BO153*VLOOKUP('Données projet'!$B$11,Paramètres!$A$1:$I$89,3,0)*0.475*44/12</f>
        <v>6.9851310348847679E-4</v>
      </c>
      <c r="BS153" s="22">
        <f t="shared" si="117"/>
        <v>71.872546679997612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9.3350000000000026</v>
      </c>
      <c r="BY153" s="12">
        <f>IF('Données projet'!$A$114&gt;35,BY152+BX153-CG152,IF(A153&lt;'Données projet'!$A$114,$BV$205^A153,IF(A153='Données projet'!$A$114,'Données projet'!$B$114,BY152+BX153-CG152)))</f>
        <v>509.15000000000083</v>
      </c>
      <c r="BZ153" s="13">
        <f>BY153*VLOOKUP('Données projet'!$B$12,Paramètres!$A$1:$I$89,3,0)*VLOOKUP('Données projet'!$B$12,Paramètres!$A$1:$I$89,5,0)</f>
        <v>484.50714000000085</v>
      </c>
      <c r="CA153" s="13">
        <f t="shared" si="147"/>
        <v>108.71345675963302</v>
      </c>
      <c r="CB153" s="20">
        <f t="shared" si="118"/>
        <v>1033.1925393563622</v>
      </c>
      <c r="CC153" s="58">
        <f t="shared" si="119"/>
        <v>1323.8697482651064</v>
      </c>
      <c r="CD153" s="58">
        <f ca="1">AVERAGE(OFFSET($CC$3,0,0,'Données projet'!$E$12+1,1))-AVERAGE(OFFSET($H$3,0,0,'Données projet'!$E$12+1,1))</f>
        <v>684.45757350513315</v>
      </c>
      <c r="CE153" s="58">
        <f t="shared" si="148"/>
        <v>301.78148341369194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46.691808766219999</v>
      </c>
      <c r="CL153" s="21">
        <f>EXP(-LN(2)/25)*CL152+(1-EXP(-LN(2)/25))/(LN(2)/25)*Calculateur!CG153*Calculateur!CI153*VLOOKUP('Données projet'!$B$12,Paramètres!$A$1:$I$89,3,0)*0.475*44/12</f>
        <v>20.757156436557548</v>
      </c>
      <c r="CM153" s="21">
        <f>EXP(-LN(2)/2)*CM152+(1-EXP(-LN(2)/2))/(LN(2)/2)*CG153*CJ153*VLOOKUP('Données projet'!$B$12,Paramètres!$A$1:$I$89,3,0)*0.475*44/12</f>
        <v>6.5552768173534118E-4</v>
      </c>
      <c r="CN153" s="22">
        <f t="shared" si="120"/>
        <v>67.449620730459273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8" t="e">
        <f t="shared" si="122"/>
        <v>#N/A</v>
      </c>
      <c r="CY153" s="58" t="e">
        <f ca="1">AVERAGE(OFFSET($CX$3,0,0,'Données projet'!$E$13+1,1))-AVERAGE(OFFSET($H$3,0,0,'Données projet'!$E$13+1,1))</f>
        <v>#N/A</v>
      </c>
      <c r="CZ153" s="58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8" t="e">
        <f t="shared" si="125"/>
        <v>#N/A</v>
      </c>
      <c r="DT153" s="58" t="e">
        <f ca="1">AVERAGE(OFFSET($DS$3,0,0,'Données projet'!$E$14+1,1))-AVERAGE(OFFSET($H$3,0,0,'Données projet'!$E$14+1,1))</f>
        <v>#N/A</v>
      </c>
      <c r="DU153" s="58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8" t="e">
        <f t="shared" si="128"/>
        <v>#N/A</v>
      </c>
      <c r="EO153" s="58" t="e">
        <f ca="1">AVERAGE(OFFSET($EN$3,0,0,'Données projet'!$E$15+1,1))-AVERAGE(OFFSET($H$3,0,0,'Données projet'!$E$15+1,1))</f>
        <v>#N/A</v>
      </c>
      <c r="EP153" s="58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8" t="e">
        <f t="shared" si="131"/>
        <v>#N/A</v>
      </c>
      <c r="FJ153" s="58" t="e">
        <f ca="1">AVERAGE(OFFSET($FI$3,0,0,'Données projet'!$E$16+1,1))-AVERAGE(OFFSET($H$3,0,0,'Données projet'!$E$16+1,1))</f>
        <v>#N/A</v>
      </c>
      <c r="FK153" s="58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8" t="e">
        <f t="shared" si="134"/>
        <v>#N/A</v>
      </c>
      <c r="GE153" s="58" t="e">
        <f ca="1">AVERAGE(OFFSET($GD$3,0,0,'Données projet'!$E$17+1,1))-AVERAGE(OFFSET($H$3,0,0,'Données projet'!$E$17+1,1))</f>
        <v>#N/A</v>
      </c>
      <c r="GF153" s="58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69.275602429657482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8" t="e">
        <f t="shared" si="137"/>
        <v>#N/A</v>
      </c>
      <c r="GZ153" s="58" t="e">
        <f ca="1">AVERAGE(OFFSET($GY$3,0,0,'Données projet'!$E$18+1,1))-AVERAGE(OFFSET($H$3,0,0,'Données projet'!$E$18+1,1))</f>
        <v>#N/A</v>
      </c>
      <c r="HA153" s="58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2">
        <f>'Scénario référence'!$B$16*5+'Scénario référence'!$B$17*0+'Scénario référence'!$B$18*5</f>
        <v>2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7.333333333333333</v>
      </c>
      <c r="H154" s="66">
        <f t="shared" si="110"/>
        <v>227.33333333333334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9.3350000000000026</v>
      </c>
      <c r="N154" s="13">
        <f>IF('Données projet'!$A$36&gt;35,N153+M154-V153,IF(A154&lt;'Données projet'!$A$36,$K$205^A154,IF(A154='Données projet'!$A$36,'Données projet'!$B$36,N153+M154-V153)))</f>
        <v>518.48500000000081</v>
      </c>
      <c r="O154" s="13">
        <f>N154*VLOOKUP('Données projet'!$B$9,Paramètres!$A$1:$I$89,3,0)*VLOOKUP('Données projet'!$B$9,Paramètres!$A$1:$I$89,5,0)</f>
        <v>469.12522800000067</v>
      </c>
      <c r="P154" s="13">
        <f t="shared" si="141"/>
        <v>105.65811013888603</v>
      </c>
      <c r="Q154" s="20">
        <f t="shared" ref="Q154:Q203" si="162">(O154+P154)*0.475*44/12</f>
        <v>1001.0809805918944</v>
      </c>
      <c r="R154" s="58">
        <f t="shared" si="109"/>
        <v>1291.8042673212005</v>
      </c>
      <c r="S154" s="58">
        <f ca="1">AVERAGE(OFFSET($R$3,0,0,'Données projet'!$E$9+1,1))-AVERAGE(OFFSET($H$3,0,0,'Données projet'!$E$9+1,1))</f>
        <v>654.0179680178212</v>
      </c>
      <c r="T154" s="58">
        <f t="shared" si="142"/>
        <v>289.42065570013369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43.524921816054579</v>
      </c>
      <c r="AA154" s="21">
        <f>EXP(-LN(2)/25)*AA153+(1-EXP(-LN(2)/25))/(LN(2)/25)*Calculateur!V154*Calculateur!X154*VLOOKUP('Données projet'!$B$9,Paramètres!$A$1:$I$89,3,0)*0.475*44/12</f>
        <v>19.196622169331992</v>
      </c>
      <c r="AB154" s="21">
        <f>EXP(-LN(2)/2)*AB153+(1-EXP(-LN(2)/2))/(LN(2)/2)*V154*Y154*VLOOKUP('Données projet'!$B$9,Paramètres!$A$1:$I$89,3,0)*0.475*44/12</f>
        <v>4.4073160660020077E-4</v>
      </c>
      <c r="AC154" s="22">
        <f t="shared" ref="AC154:AC203" si="163">SUM(Z154:AB154)</f>
        <v>62.721984716993177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8">
        <f t="shared" si="113"/>
        <v>290.72328672931297</v>
      </c>
      <c r="AN154" s="58">
        <f ca="1">AVERAGE(OFFSET($AM$3,0,0,'Données projet'!$E$10+1,1))-AVERAGE(OFFSET($H$3,0,0,'Données projet'!$E$10+1,1))</f>
        <v>447.44638185108147</v>
      </c>
      <c r="AO154" s="58">
        <f t="shared" si="144"/>
        <v>384.84260115068605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43.481715927478284</v>
      </c>
      <c r="AV154" s="21">
        <f>EXP(-LN(2)/25)*AV153+(1-EXP(-LN(2)/25))/(LN(2)/25)*Calculateur!AQ154*Calculateur!AS154*VLOOKUP('Données projet'!$B$10,Paramètres!$A$1:$I$89,3,0)*0.475*44/12</f>
        <v>8.1218343278921274</v>
      </c>
      <c r="AW154" s="21">
        <f>EXP(-LN(2)/2)*AW153+(1-EXP(-LN(2)/2))/(LN(2)/2)*AQ154*AT154*VLOOKUP('Données projet'!$B$10,Paramètres!$A$1:$I$89,3,0)*0.475*44/12</f>
        <v>4.6987377180520774E-10</v>
      </c>
      <c r="AX154" s="21">
        <f t="shared" ref="AX154:AX203" si="166">SUM(AU154:AW154)</f>
        <v>51.603550255840283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525.7437900000009</v>
      </c>
      <c r="BF154" s="13">
        <f t="shared" ref="BF154:BF203" si="167">EXP(-1.0587+0.8836*LN(BE154)+0.284)</f>
        <v>116.84983546396843</v>
      </c>
      <c r="BG154" s="20">
        <f t="shared" ref="BG154:BG203" si="168">(BE154+BF154)*0.475*44/12</f>
        <v>1119.18389768308</v>
      </c>
      <c r="BH154" s="58">
        <f t="shared" si="116"/>
        <v>1409.9071844123862</v>
      </c>
      <c r="BI154" s="58">
        <f ca="1">AVERAGE(OFFSET($BH$3,0,0,'Données projet'!$E$11+1,1))-AVERAGE(OFFSET($H$3,0,0,'Données projet'!$E$11+1,1))</f>
        <v>724.99760740673071</v>
      </c>
      <c r="BJ154" s="58">
        <f t="shared" si="146"/>
        <v>318.24184272438208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48.777929621440492</v>
      </c>
      <c r="BQ154" s="21">
        <f>EXP(-LN(2)/25)*BQ153+(1-EXP(-LN(2)/25))/(LN(2)/25)*Calculateur!BL154*Calculateur!BN154*VLOOKUP('Données projet'!$B$11,Paramètres!$A$1:$I$89,3,0)*0.475*44/12</f>
        <v>21.513455879423784</v>
      </c>
      <c r="BR154" s="21">
        <f>EXP(-LN(2)/2)*BR153+(1-EXP(-LN(2)/2))/(LN(2)/2)*BL154*BO154*VLOOKUP('Données projet'!$B$11,Paramètres!$A$1:$I$89,3,0)*0.475*44/12</f>
        <v>4.9392335222436259E-4</v>
      </c>
      <c r="BS154" s="22">
        <f t="shared" ref="BS154:BS203" si="169">SUM(BP154:BR154)</f>
        <v>70.291879424216503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9.3350000000000026</v>
      </c>
      <c r="BY154" s="12">
        <f>IF('Données projet'!$A$114&gt;35,BY153+BX154-CG153,IF(A154&lt;'Données projet'!$A$114,$BV$205^A154,IF(A154='Données projet'!$A$114,'Données projet'!$B$114,BY153+BX154-CG153)))</f>
        <v>518.48500000000081</v>
      </c>
      <c r="BZ154" s="13">
        <f>BY154*VLOOKUP('Données projet'!$B$12,Paramètres!$A$1:$I$89,3,0)*VLOOKUP('Données projet'!$B$12,Paramètres!$A$1:$I$89,5,0)</f>
        <v>493.39032600000081</v>
      </c>
      <c r="CA154" s="13">
        <f t="shared" ref="CA154:CA203" si="170">EXP(-1.0587+0.8836*LN(BZ154)+0.284)</f>
        <v>110.47278572478149</v>
      </c>
      <c r="CB154" s="20">
        <f t="shared" ref="CB154:CB203" si="171">(BZ154+CA154)*0.475*44/12</f>
        <v>1051.7282529206625</v>
      </c>
      <c r="CC154" s="58">
        <f t="shared" si="119"/>
        <v>1342.4515396499687</v>
      </c>
      <c r="CD154" s="58">
        <f ca="1">AVERAGE(OFFSET($CC$3,0,0,'Données projet'!$E$12+1,1))-AVERAGE(OFFSET($H$3,0,0,'Données projet'!$E$12+1,1))</f>
        <v>684.45757350513315</v>
      </c>
      <c r="CE154" s="58">
        <f t="shared" si="148"/>
        <v>301.78148341369194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45.776210875505683</v>
      </c>
      <c r="CL154" s="21">
        <f>EXP(-LN(2)/25)*CL153+(1-EXP(-LN(2)/25))/(LN(2)/25)*Calculateur!CG154*Calculateur!CI154*VLOOKUP('Données projet'!$B$12,Paramètres!$A$1:$I$89,3,0)*0.475*44/12</f>
        <v>20.189550902228465</v>
      </c>
      <c r="CM154" s="21">
        <f>EXP(-LN(2)/2)*CM153+(1-EXP(-LN(2)/2))/(LN(2)/2)*CG154*CJ154*VLOOKUP('Données projet'!$B$12,Paramètres!$A$1:$I$89,3,0)*0.475*44/12</f>
        <v>4.6352806901055671E-4</v>
      </c>
      <c r="CN154" s="22">
        <f t="shared" ref="CN154:CN203" si="172">SUM(CK154:CM154)</f>
        <v>65.96622530580315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8" t="e">
        <f t="shared" si="122"/>
        <v>#N/A</v>
      </c>
      <c r="CY154" s="58" t="e">
        <f ca="1">AVERAGE(OFFSET($CX$3,0,0,'Données projet'!$E$13+1,1))-AVERAGE(OFFSET($H$3,0,0,'Données projet'!$E$13+1,1))</f>
        <v>#N/A</v>
      </c>
      <c r="CZ154" s="58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8" t="e">
        <f t="shared" si="125"/>
        <v>#N/A</v>
      </c>
      <c r="DT154" s="58" t="e">
        <f ca="1">AVERAGE(OFFSET($DS$3,0,0,'Données projet'!$E$14+1,1))-AVERAGE(OFFSET($H$3,0,0,'Données projet'!$E$14+1,1))</f>
        <v>#N/A</v>
      </c>
      <c r="DU154" s="58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8" t="e">
        <f t="shared" si="128"/>
        <v>#N/A</v>
      </c>
      <c r="EO154" s="58" t="e">
        <f ca="1">AVERAGE(OFFSET($EN$3,0,0,'Données projet'!$E$15+1,1))-AVERAGE(OFFSET($H$3,0,0,'Données projet'!$E$15+1,1))</f>
        <v>#N/A</v>
      </c>
      <c r="EP154" s="58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8" t="e">
        <f t="shared" si="131"/>
        <v>#N/A</v>
      </c>
      <c r="FJ154" s="58" t="e">
        <f ca="1">AVERAGE(OFFSET($FI$3,0,0,'Données projet'!$E$16+1,1))-AVERAGE(OFFSET($H$3,0,0,'Données projet'!$E$16+1,1))</f>
        <v>#N/A</v>
      </c>
      <c r="FK154" s="58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8" t="e">
        <f t="shared" si="134"/>
        <v>#N/A</v>
      </c>
      <c r="GE154" s="58" t="e">
        <f ca="1">AVERAGE(OFFSET($GD$3,0,0,'Données projet'!$E$17+1,1))-AVERAGE(OFFSET($H$3,0,0,'Données projet'!$E$17+1,1))</f>
        <v>#N/A</v>
      </c>
      <c r="GF154" s="58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69.288169107992587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8" t="e">
        <f t="shared" si="137"/>
        <v>#N/A</v>
      </c>
      <c r="GZ154" s="58" t="e">
        <f ca="1">AVERAGE(OFFSET($GY$3,0,0,'Données projet'!$E$18+1,1))-AVERAGE(OFFSET($H$3,0,0,'Données projet'!$E$18+1,1))</f>
        <v>#N/A</v>
      </c>
      <c r="HA154" s="58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2">
        <f>'Scénario référence'!$B$16*5+'Scénario référence'!$B$17*0+'Scénario référence'!$B$18*5</f>
        <v>2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7.333333333333333</v>
      </c>
      <c r="H155" s="66">
        <f t="shared" si="110"/>
        <v>227.33333333333334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9.3350000000000026</v>
      </c>
      <c r="N155" s="13">
        <f>IF('Données projet'!$A$36&gt;35,N154+M155-V154,IF(A155&lt;'Données projet'!$A$36,$K$205^A155,IF(A155='Données projet'!$A$36,'Données projet'!$B$36,N154+M155-V154)))</f>
        <v>527.82000000000085</v>
      </c>
      <c r="O155" s="13">
        <f>N155*VLOOKUP('Données projet'!$B$9,Paramètres!$A$1:$I$89,3,0)*VLOOKUP('Données projet'!$B$9,Paramètres!$A$1:$I$89,5,0)</f>
        <v>477.57153600000072</v>
      </c>
      <c r="P155" s="13">
        <f t="shared" si="141"/>
        <v>107.3372403617045</v>
      </c>
      <c r="Q155" s="20">
        <f t="shared" si="162"/>
        <v>1018.71611882997</v>
      </c>
      <c r="R155" s="58">
        <f t="shared" si="109"/>
        <v>1309.4846840326659</v>
      </c>
      <c r="S155" s="58">
        <f ca="1">AVERAGE(OFFSET($R$3,0,0,'Données projet'!$E$9+1,1))-AVERAGE(OFFSET($H$3,0,0,'Données projet'!$E$9+1,1))</f>
        <v>654.0179680178212</v>
      </c>
      <c r="T155" s="58">
        <f t="shared" si="142"/>
        <v>289.42065570013369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42.6714246468227</v>
      </c>
      <c r="AA155" s="21">
        <f>EXP(-LN(2)/25)*AA154+(1-EXP(-LN(2)/25))/(LN(2)/25)*Calculateur!V155*Calculateur!X155*VLOOKUP('Données projet'!$B$9,Paramètres!$A$1:$I$89,3,0)*0.475*44/12</f>
        <v>18.671689526605125</v>
      </c>
      <c r="AB155" s="21">
        <f>EXP(-LN(2)/2)*AB154+(1-EXP(-LN(2)/2))/(LN(2)/2)*V155*Y155*VLOOKUP('Données projet'!$B$9,Paramètres!$A$1:$I$89,3,0)*0.475*44/12</f>
        <v>3.1164430771024371E-4</v>
      </c>
      <c r="AC155" s="22">
        <f t="shared" si="163"/>
        <v>61.343425817735529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8">
        <f t="shared" si="113"/>
        <v>290.76856520270275</v>
      </c>
      <c r="AN155" s="58">
        <f ca="1">AVERAGE(OFFSET($AM$3,0,0,'Données projet'!$E$10+1,1))-AVERAGE(OFFSET($H$3,0,0,'Données projet'!$E$10+1,1))</f>
        <v>447.44638185108147</v>
      </c>
      <c r="AO155" s="58">
        <f t="shared" si="144"/>
        <v>384.84260115068605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42.6290659993684</v>
      </c>
      <c r="AV155" s="21">
        <f>EXP(-LN(2)/25)*AV154+(1-EXP(-LN(2)/25))/(LN(2)/25)*Calculateur!AQ155*Calculateur!AS155*VLOOKUP('Données projet'!$B$10,Paramètres!$A$1:$I$89,3,0)*0.475*44/12</f>
        <v>7.8997423410872125</v>
      </c>
      <c r="AW155" s="21">
        <f>EXP(-LN(2)/2)*AW154+(1-EXP(-LN(2)/2))/(LN(2)/2)*AQ155*AT155*VLOOKUP('Données projet'!$B$10,Paramètres!$A$1:$I$89,3,0)*0.475*44/12</f>
        <v>3.322509303451628E-10</v>
      </c>
      <c r="AX155" s="21">
        <f t="shared" si="166"/>
        <v>50.528808340787862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535.20948000000089</v>
      </c>
      <c r="BF155" s="13">
        <f t="shared" si="167"/>
        <v>118.70682580764394</v>
      </c>
      <c r="BG155" s="20">
        <f t="shared" si="168"/>
        <v>1138.9042326149813</v>
      </c>
      <c r="BH155" s="58">
        <f t="shared" si="116"/>
        <v>1429.6727978176773</v>
      </c>
      <c r="BI155" s="58">
        <f ca="1">AVERAGE(OFFSET($BH$3,0,0,'Données projet'!$E$11+1,1))-AVERAGE(OFFSET($H$3,0,0,'Données projet'!$E$11+1,1))</f>
        <v>724.99760740673071</v>
      </c>
      <c r="BJ155" s="58">
        <f t="shared" si="146"/>
        <v>318.24184272438208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47.821424173163386</v>
      </c>
      <c r="BQ155" s="21">
        <f>EXP(-LN(2)/25)*BQ154+(1-EXP(-LN(2)/25))/(LN(2)/25)*Calculateur!BL155*Calculateur!BN155*VLOOKUP('Données projet'!$B$11,Paramètres!$A$1:$I$89,3,0)*0.475*44/12</f>
        <v>20.925169297057465</v>
      </c>
      <c r="BR155" s="21">
        <f>EXP(-LN(2)/2)*BR154+(1-EXP(-LN(2)/2))/(LN(2)/2)*BL155*BO155*VLOOKUP('Données projet'!$B$11,Paramètres!$A$1:$I$89,3,0)*0.475*44/12</f>
        <v>3.492565517442384E-4</v>
      </c>
      <c r="BS155" s="22">
        <f t="shared" si="169"/>
        <v>68.746942726772602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9.3350000000000026</v>
      </c>
      <c r="BY155" s="12">
        <f>IF('Données projet'!$A$114&gt;35,BY154+BX155-CG154,IF(A155&lt;'Données projet'!$A$114,$BV$205^A155,IF(A155='Données projet'!$A$114,'Données projet'!$B$114,BY154+BX155-CG154)))</f>
        <v>527.82000000000085</v>
      </c>
      <c r="BZ155" s="13">
        <f>BY155*VLOOKUP('Données projet'!$B$12,Paramètres!$A$1:$I$89,3,0)*VLOOKUP('Données projet'!$B$12,Paramètres!$A$1:$I$89,5,0)</f>
        <v>502.27351200000078</v>
      </c>
      <c r="CA155" s="13">
        <f t="shared" si="170"/>
        <v>112.22843129771096</v>
      </c>
      <c r="CB155" s="20">
        <f t="shared" si="171"/>
        <v>1070.2575512435144</v>
      </c>
      <c r="CC155" s="58">
        <f t="shared" si="119"/>
        <v>1361.0261164462104</v>
      </c>
      <c r="CD155" s="58">
        <f ca="1">AVERAGE(OFFSET($CC$3,0,0,'Données projet'!$E$12+1,1))-AVERAGE(OFFSET($H$3,0,0,'Données projet'!$E$12+1,1))</f>
        <v>684.45757350513315</v>
      </c>
      <c r="CE155" s="58">
        <f t="shared" si="148"/>
        <v>301.78148341369194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44.878567300968705</v>
      </c>
      <c r="CL155" s="21">
        <f>EXP(-LN(2)/25)*CL154+(1-EXP(-LN(2)/25))/(LN(2)/25)*Calculateur!CG155*Calculateur!CI155*VLOOKUP('Données projet'!$B$12,Paramètres!$A$1:$I$89,3,0)*0.475*44/12</f>
        <v>19.637466571084691</v>
      </c>
      <c r="CM155" s="21">
        <f>EXP(-LN(2)/2)*CM154+(1-EXP(-LN(2)/2))/(LN(2)/2)*CG155*CJ155*VLOOKUP('Données projet'!$B$12,Paramètres!$A$1:$I$89,3,0)*0.475*44/12</f>
        <v>3.2776384086767064E-4</v>
      </c>
      <c r="CN155" s="22">
        <f t="shared" si="172"/>
        <v>64.51636163589427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8" t="e">
        <f t="shared" si="122"/>
        <v>#N/A</v>
      </c>
      <c r="CY155" s="58" t="e">
        <f ca="1">AVERAGE(OFFSET($CX$3,0,0,'Données projet'!$E$13+1,1))-AVERAGE(OFFSET($H$3,0,0,'Données projet'!$E$13+1,1))</f>
        <v>#N/A</v>
      </c>
      <c r="CZ155" s="58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8" t="e">
        <f t="shared" si="125"/>
        <v>#N/A</v>
      </c>
      <c r="DT155" s="58" t="e">
        <f ca="1">AVERAGE(OFFSET($DS$3,0,0,'Données projet'!$E$14+1,1))-AVERAGE(OFFSET($H$3,0,0,'Données projet'!$E$14+1,1))</f>
        <v>#N/A</v>
      </c>
      <c r="DU155" s="58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8" t="e">
        <f t="shared" si="128"/>
        <v>#N/A</v>
      </c>
      <c r="EO155" s="58" t="e">
        <f ca="1">AVERAGE(OFFSET($EN$3,0,0,'Données projet'!$E$15+1,1))-AVERAGE(OFFSET($H$3,0,0,'Données projet'!$E$15+1,1))</f>
        <v>#N/A</v>
      </c>
      <c r="EP155" s="58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8" t="e">
        <f t="shared" si="131"/>
        <v>#N/A</v>
      </c>
      <c r="FJ155" s="58" t="e">
        <f ca="1">AVERAGE(OFFSET($FI$3,0,0,'Données projet'!$E$16+1,1))-AVERAGE(OFFSET($H$3,0,0,'Données projet'!$E$16+1,1))</f>
        <v>#N/A</v>
      </c>
      <c r="FK155" s="58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8" t="e">
        <f t="shared" si="134"/>
        <v>#N/A</v>
      </c>
      <c r="GE155" s="58" t="e">
        <f ca="1">AVERAGE(OFFSET($GD$3,0,0,'Données projet'!$E$17+1,1))-AVERAGE(OFFSET($H$3,0,0,'Données projet'!$E$17+1,1))</f>
        <v>#N/A</v>
      </c>
      <c r="GF155" s="58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69.300517782553442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8" t="e">
        <f t="shared" si="137"/>
        <v>#N/A</v>
      </c>
      <c r="GZ155" s="58" t="e">
        <f ca="1">AVERAGE(OFFSET($GY$3,0,0,'Données projet'!$E$18+1,1))-AVERAGE(OFFSET($H$3,0,0,'Données projet'!$E$18+1,1))</f>
        <v>#N/A</v>
      </c>
      <c r="HA155" s="58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2">
        <f>'Scénario référence'!$B$16*5+'Scénario référence'!$B$17*0+'Scénario référence'!$B$18*5</f>
        <v>2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7.333333333333333</v>
      </c>
      <c r="H156" s="66">
        <f t="shared" si="110"/>
        <v>227.33333333333334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9.3350000000000026</v>
      </c>
      <c r="N156" s="13">
        <f>IF('Données projet'!$A$36&gt;35,N155+M156-V155,IF(A156&lt;'Données projet'!$A$36,$K$205^A156,IF(A156='Données projet'!$A$36,'Données projet'!$B$36,N155+M156-V155)))</f>
        <v>537.15500000000088</v>
      </c>
      <c r="O156" s="13">
        <f>N156*VLOOKUP('Données projet'!$B$9,Paramètres!$A$1:$I$89,3,0)*VLOOKUP('Données projet'!$B$9,Paramètres!$A$1:$I$89,5,0)</f>
        <v>486.01784400000076</v>
      </c>
      <c r="P156" s="13">
        <f t="shared" si="141"/>
        <v>109.01291721682281</v>
      </c>
      <c r="Q156" s="20">
        <f t="shared" si="162"/>
        <v>1036.3452424526342</v>
      </c>
      <c r="R156" s="58">
        <f t="shared" si="109"/>
        <v>1327.1583006484343</v>
      </c>
      <c r="S156" s="58">
        <f ca="1">AVERAGE(OFFSET($R$3,0,0,'Données projet'!$E$9+1,1))-AVERAGE(OFFSET($H$3,0,0,'Données projet'!$E$9+1,1))</f>
        <v>654.0179680178212</v>
      </c>
      <c r="T156" s="58">
        <f t="shared" si="142"/>
        <v>289.42065570013369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41.834664036497585</v>
      </c>
      <c r="AA156" s="21">
        <f>EXP(-LN(2)/25)*AA155+(1-EXP(-LN(2)/25))/(LN(2)/25)*Calculateur!V156*Calculateur!X156*VLOOKUP('Données projet'!$B$9,Paramètres!$A$1:$I$89,3,0)*0.475*44/12</f>
        <v>18.161111194598629</v>
      </c>
      <c r="AB156" s="21">
        <f>EXP(-LN(2)/2)*AB155+(1-EXP(-LN(2)/2))/(LN(2)/2)*V156*Y156*VLOOKUP('Données projet'!$B$9,Paramètres!$A$1:$I$89,3,0)*0.475*44/12</f>
        <v>2.2036580330010038E-4</v>
      </c>
      <c r="AC156" s="22">
        <f t="shared" si="163"/>
        <v>59.995995596899519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8">
        <f t="shared" si="113"/>
        <v>290.81305819580683</v>
      </c>
      <c r="AN156" s="58">
        <f ca="1">AVERAGE(OFFSET($AM$3,0,0,'Données projet'!$E$10+1,1))-AVERAGE(OFFSET($H$3,0,0,'Données projet'!$E$10+1,1))</f>
        <v>447.44638185108147</v>
      </c>
      <c r="AO156" s="58">
        <f t="shared" si="144"/>
        <v>384.84260115068605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41.793136016283647</v>
      </c>
      <c r="AV156" s="21">
        <f>EXP(-LN(2)/25)*AV155+(1-EXP(-LN(2)/25))/(LN(2)/25)*Calculateur!AQ156*Calculateur!AS156*VLOOKUP('Données projet'!$B$10,Paramètres!$A$1:$I$89,3,0)*0.475*44/12</f>
        <v>7.6837234713407883</v>
      </c>
      <c r="AW156" s="21">
        <f>EXP(-LN(2)/2)*AW155+(1-EXP(-LN(2)/2))/(LN(2)/2)*AQ156*AT156*VLOOKUP('Données projet'!$B$10,Paramètres!$A$1:$I$89,3,0)*0.475*44/12</f>
        <v>2.3493688590260387E-10</v>
      </c>
      <c r="AX156" s="21">
        <f t="shared" si="166"/>
        <v>49.476859487859372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544.67517000000089</v>
      </c>
      <c r="BF156" s="13">
        <f t="shared" si="167"/>
        <v>120.55999698924055</v>
      </c>
      <c r="BG156" s="20">
        <f t="shared" si="168"/>
        <v>1158.6179158395955</v>
      </c>
      <c r="BH156" s="58">
        <f t="shared" si="116"/>
        <v>1449.4309740353956</v>
      </c>
      <c r="BI156" s="58">
        <f ca="1">AVERAGE(OFFSET($BH$3,0,0,'Données projet'!$E$11+1,1))-AVERAGE(OFFSET($H$3,0,0,'Données projet'!$E$11+1,1))</f>
        <v>724.99760740673071</v>
      </c>
      <c r="BJ156" s="58">
        <f t="shared" si="146"/>
        <v>318.24184272438208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46.88367521331628</v>
      </c>
      <c r="BQ156" s="21">
        <f>EXP(-LN(2)/25)*BQ155+(1-EXP(-LN(2)/25))/(LN(2)/25)*Calculateur!BL156*Calculateur!BN156*VLOOKUP('Données projet'!$B$11,Paramètres!$A$1:$I$89,3,0)*0.475*44/12</f>
        <v>20.352969442222602</v>
      </c>
      <c r="BR156" s="21">
        <f>EXP(-LN(2)/2)*BR155+(1-EXP(-LN(2)/2))/(LN(2)/2)*BL156*BO156*VLOOKUP('Données projet'!$B$11,Paramètres!$A$1:$I$89,3,0)*0.475*44/12</f>
        <v>2.4696167611218129E-4</v>
      </c>
      <c r="BS156" s="22">
        <f t="shared" si="169"/>
        <v>67.236891617214994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9.3350000000000026</v>
      </c>
      <c r="BY156" s="12">
        <f>IF('Données projet'!$A$114&gt;35,BY155+BX156-CG155,IF(A156&lt;'Données projet'!$A$114,$BV$205^A156,IF(A156='Données projet'!$A$114,'Données projet'!$B$114,BY155+BX156-CG155)))</f>
        <v>537.15500000000088</v>
      </c>
      <c r="BZ156" s="13">
        <f>BY156*VLOOKUP('Données projet'!$B$12,Paramètres!$A$1:$I$89,3,0)*VLOOKUP('Données projet'!$B$12,Paramètres!$A$1:$I$89,5,0)</f>
        <v>511.15669800000086</v>
      </c>
      <c r="CA156" s="13">
        <f t="shared" si="170"/>
        <v>113.98046613835052</v>
      </c>
      <c r="CB156" s="20">
        <f t="shared" si="171"/>
        <v>1088.7805608742954</v>
      </c>
      <c r="CC156" s="58">
        <f t="shared" si="119"/>
        <v>1379.5936190700954</v>
      </c>
      <c r="CD156" s="58">
        <f ca="1">AVERAGE(OFFSET($CC$3,0,0,'Données projet'!$E$12+1,1))-AVERAGE(OFFSET($H$3,0,0,'Données projet'!$E$12+1,1))</f>
        <v>684.45757350513315</v>
      </c>
      <c r="CE156" s="58">
        <f t="shared" si="148"/>
        <v>301.78148341369194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43.99852596941988</v>
      </c>
      <c r="CL156" s="21">
        <f>EXP(-LN(2)/25)*CL155+(1-EXP(-LN(2)/25))/(LN(2)/25)*Calculateur!CG156*Calculateur!CI156*VLOOKUP('Données projet'!$B$12,Paramètres!$A$1:$I$89,3,0)*0.475*44/12</f>
        <v>19.100479015008894</v>
      </c>
      <c r="CM156" s="21">
        <f>EXP(-LN(2)/2)*CM155+(1-EXP(-LN(2)/2))/(LN(2)/2)*CG156*CJ156*VLOOKUP('Données projet'!$B$12,Paramètres!$A$1:$I$89,3,0)*0.475*44/12</f>
        <v>2.3176403450527838E-4</v>
      </c>
      <c r="CN156" s="22">
        <f t="shared" si="172"/>
        <v>63.099236748463277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8" t="e">
        <f t="shared" si="122"/>
        <v>#N/A</v>
      </c>
      <c r="CY156" s="58" t="e">
        <f ca="1">AVERAGE(OFFSET($CX$3,0,0,'Données projet'!$E$13+1,1))-AVERAGE(OFFSET($H$3,0,0,'Données projet'!$E$13+1,1))</f>
        <v>#N/A</v>
      </c>
      <c r="CZ156" s="58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8" t="e">
        <f t="shared" si="125"/>
        <v>#N/A</v>
      </c>
      <c r="DT156" s="58" t="e">
        <f ca="1">AVERAGE(OFFSET($DS$3,0,0,'Données projet'!$E$14+1,1))-AVERAGE(OFFSET($H$3,0,0,'Données projet'!$E$14+1,1))</f>
        <v>#N/A</v>
      </c>
      <c r="DU156" s="58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8" t="e">
        <f t="shared" si="128"/>
        <v>#N/A</v>
      </c>
      <c r="EO156" s="58" t="e">
        <f ca="1">AVERAGE(OFFSET($EN$3,0,0,'Données projet'!$E$15+1,1))-AVERAGE(OFFSET($H$3,0,0,'Données projet'!$E$15+1,1))</f>
        <v>#N/A</v>
      </c>
      <c r="EP156" s="58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8" t="e">
        <f t="shared" si="131"/>
        <v>#N/A</v>
      </c>
      <c r="FJ156" s="58" t="e">
        <f ca="1">AVERAGE(OFFSET($FI$3,0,0,'Données projet'!$E$16+1,1))-AVERAGE(OFFSET($H$3,0,0,'Données projet'!$E$16+1,1))</f>
        <v>#N/A</v>
      </c>
      <c r="FK156" s="58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8" t="e">
        <f t="shared" si="134"/>
        <v>#N/A</v>
      </c>
      <c r="GE156" s="58" t="e">
        <f ca="1">AVERAGE(OFFSET($GD$3,0,0,'Données projet'!$E$17+1,1))-AVERAGE(OFFSET($H$3,0,0,'Données projet'!$E$17+1,1))</f>
        <v>#N/A</v>
      </c>
      <c r="GF156" s="58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69.312652235218181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8" t="e">
        <f t="shared" si="137"/>
        <v>#N/A</v>
      </c>
      <c r="GZ156" s="58" t="e">
        <f ca="1">AVERAGE(OFFSET($GY$3,0,0,'Données projet'!$E$18+1,1))-AVERAGE(OFFSET($H$3,0,0,'Données projet'!$E$18+1,1))</f>
        <v>#N/A</v>
      </c>
      <c r="HA156" s="58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2">
        <f>'Scénario référence'!$B$16*5+'Scénario référence'!$B$17*0+'Scénario référence'!$B$18*5</f>
        <v>2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7.333333333333333</v>
      </c>
      <c r="H157" s="66">
        <f t="shared" si="110"/>
        <v>227.33333333333334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546.49</v>
      </c>
      <c r="L157" s="12">
        <f>VLOOKUP(A157,'Données projet'!$A$35:$I$55,9,0)</f>
        <v>9.3350000000000026</v>
      </c>
      <c r="M157" s="12">
        <f t="array" ref="M157">INDEX(L:L,MIN(IF(ISNUMBER(L157:L353),ROW(L157:L353),"")))</f>
        <v>9.3350000000000026</v>
      </c>
      <c r="N157" s="13">
        <f>IF('Données projet'!$A$36&gt;35,N156+M157-V156,IF(A157&lt;'Données projet'!$A$36,$K$205^A157,IF(A157='Données projet'!$A$36,'Données projet'!$B$36,N156+M157-V156)))</f>
        <v>546.49000000000092</v>
      </c>
      <c r="O157" s="13">
        <f>N157*VLOOKUP('Données projet'!$B$9,Paramètres!$A$1:$I$89,3,0)*VLOOKUP('Données projet'!$B$9,Paramètres!$A$1:$I$89,5,0)</f>
        <v>494.46415200000081</v>
      </c>
      <c r="P157" s="13">
        <f t="shared" si="141"/>
        <v>110.68520764370523</v>
      </c>
      <c r="Q157" s="20">
        <f t="shared" si="162"/>
        <v>1053.9684680461214</v>
      </c>
      <c r="R157" s="58">
        <f t="shared" si="109"/>
        <v>1344.8252473810664</v>
      </c>
      <c r="S157" s="58">
        <f ca="1">AVERAGE(OFFSET($R$3,0,0,'Données projet'!$E$9+1,1))-AVERAGE(OFFSET($H$3,0,0,'Données projet'!$E$9+1,1))</f>
        <v>654.0179680178212</v>
      </c>
      <c r="T157" s="58">
        <f t="shared" si="142"/>
        <v>289.42065570013369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61.050000000000011</v>
      </c>
      <c r="W157" s="16">
        <f>IF(ISNA(VLOOKUP(A157,'Données projet'!$A$35:$I$55,5,0)),0%,VLOOKUP(A157,'Données projet'!$A$35:$I$55,5,0)*VLOOKUP('Données projet'!$B$9,Paramètres!$A$1:$I$89,7,0))</f>
        <v>0.215</v>
      </c>
      <c r="X157" s="16">
        <f>IF(ISNA(VLOOKUP(A157,'Données projet'!$A$35:$I$55,6,0)),0%,VLOOKUP(A157,'Données projet'!$A$35:$I$55,6,0)*VLOOKUP('Données projet'!$B$9,Paramètres!$A$1:$I$89,7,0))</f>
        <v>8.6000000000000007E-2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54.143075455710473</v>
      </c>
      <c r="AA157" s="21">
        <f>EXP(-LN(2)/25)*AA156+(1-EXP(-LN(2)/25))/(LN(2)/25)*Calculateur!V157*Calculateur!X157*VLOOKUP('Données projet'!$B$9,Paramètres!$A$1:$I$89,3,0)*0.475*44/12</f>
        <v>22.895322941669175</v>
      </c>
      <c r="AB157" s="21">
        <f>EXP(-LN(2)/2)*AB156+(1-EXP(-LN(2)/2))/(LN(2)/2)*V157*Y157*VLOOKUP('Données projet'!$B$9,Paramètres!$A$1:$I$89,3,0)*0.475*44/12</f>
        <v>1.5582215385512185E-4</v>
      </c>
      <c r="AC157" s="22">
        <f t="shared" si="163"/>
        <v>77.038554219533509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8">
        <f t="shared" si="113"/>
        <v>290.85677933495191</v>
      </c>
      <c r="AN157" s="58">
        <f ca="1">AVERAGE(OFFSET($AM$3,0,0,'Données projet'!$E$10+1,1))-AVERAGE(OFFSET($H$3,0,0,'Données projet'!$E$10+1,1))</f>
        <v>447.44638185108147</v>
      </c>
      <c r="AO157" s="58">
        <f t="shared" si="144"/>
        <v>384.84260115068605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40.973598110300237</v>
      </c>
      <c r="AV157" s="21">
        <f>EXP(-LN(2)/25)*AV156+(1-EXP(-LN(2)/25))/(LN(2)/25)*Calculateur!AQ157*Calculateur!AS157*VLOOKUP('Données projet'!$B$10,Paramètres!$A$1:$I$89,3,0)*0.475*44/12</f>
        <v>7.4736116489475188</v>
      </c>
      <c r="AW157" s="21">
        <f>EXP(-LN(2)/2)*AW156+(1-EXP(-LN(2)/2))/(LN(2)/2)*AQ157*AT157*VLOOKUP('Données projet'!$B$10,Paramètres!$A$1:$I$89,3,0)*0.475*44/12</f>
        <v>1.661254651725814E-10</v>
      </c>
      <c r="AX157" s="21">
        <f t="shared" si="166"/>
        <v>48.44720975941388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554.140860000001</v>
      </c>
      <c r="BF157" s="13">
        <f t="shared" si="167"/>
        <v>122.40942303871579</v>
      </c>
      <c r="BG157" s="20">
        <f t="shared" si="168"/>
        <v>1178.3250762924317</v>
      </c>
      <c r="BH157" s="58">
        <f t="shared" si="116"/>
        <v>1469.1818556273768</v>
      </c>
      <c r="BI157" s="58">
        <f ca="1">AVERAGE(OFFSET($BH$3,0,0,'Données projet'!$E$11+1,1))-AVERAGE(OFFSET($H$3,0,0,'Données projet'!$E$11+1,1))</f>
        <v>724.99760740673071</v>
      </c>
      <c r="BJ157" s="58">
        <f t="shared" si="146"/>
        <v>318.24184272438208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60.67758456243417</v>
      </c>
      <c r="BQ157" s="21">
        <f>EXP(-LN(2)/25)*BQ156+(1-EXP(-LN(2)/25))/(LN(2)/25)*Calculateur!BL157*Calculateur!BN157*VLOOKUP('Données projet'!$B$11,Paramètres!$A$1:$I$89,3,0)*0.475*44/12</f>
        <v>25.658551572560288</v>
      </c>
      <c r="BR157" s="21">
        <f>EXP(-LN(2)/2)*BR156+(1-EXP(-LN(2)/2))/(LN(2)/2)*BL157*BO157*VLOOKUP('Données projet'!$B$11,Paramètres!$A$1:$I$89,3,0)*0.475*44/12</f>
        <v>1.746282758721192E-4</v>
      </c>
      <c r="BS157" s="22">
        <f t="shared" si="169"/>
        <v>86.336310763270333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9.3350000000000026</v>
      </c>
      <c r="BX157" s="12">
        <f t="array" ref="BX157">INDEX(BW:BW,MIN(IF(ISNUMBER(BW157:BW353),ROW(BW157:BW353),"")))</f>
        <v>9.3350000000000026</v>
      </c>
      <c r="BY157" s="12">
        <f>IF('Données projet'!$A$114&gt;35,BY156+BX157-CG156,IF(A157&lt;'Données projet'!$A$114,$BV$205^A157,IF(A157='Données projet'!$A$114,'Données projet'!$B$114,BY156+BX157-CG156)))</f>
        <v>546.49000000000092</v>
      </c>
      <c r="BZ157" s="13">
        <f>BY157*VLOOKUP('Données projet'!$B$12,Paramètres!$A$1:$I$89,3,0)*VLOOKUP('Données projet'!$B$12,Paramètres!$A$1:$I$89,5,0)</f>
        <v>520.03988400000094</v>
      </c>
      <c r="CA157" s="13">
        <f t="shared" si="170"/>
        <v>115.72896023649152</v>
      </c>
      <c r="CB157" s="20">
        <f t="shared" si="171"/>
        <v>1107.2974037118909</v>
      </c>
      <c r="CC157" s="58">
        <f t="shared" si="119"/>
        <v>1398.1541830468359</v>
      </c>
      <c r="CD157" s="58">
        <f ca="1">AVERAGE(OFFSET($CC$3,0,0,'Données projet'!$E$12+1,1))-AVERAGE(OFFSET($H$3,0,0,'Données projet'!$E$12+1,1))</f>
        <v>684.45757350513315</v>
      </c>
      <c r="CE157" s="58">
        <f t="shared" si="148"/>
        <v>301.78148341369194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61.050000000000011</v>
      </c>
      <c r="CH157" s="16">
        <f>IF(ISNA(VLOOKUP(A157,'Données projet'!$A$113:$I$133,5,0)),0%,VLOOKUP(A157,'Données projet'!$A$113:$I$133,5,0)*VLOOKUP('Données projet'!$B$12,Paramètres!$A$1:$I$89,7,0))</f>
        <v>0.215</v>
      </c>
      <c r="CI157" s="16">
        <f>IF(ISNA(VLOOKUP(A157,'Données projet'!$A$113:$I$133,6,0)),0%,VLOOKUP(A157,'Données projet'!$A$113:$I$133,6,0)*VLOOKUP('Données projet'!$B$12,Paramètres!$A$1:$I$89,7,0))</f>
        <v>8.6000000000000007E-2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56.943579358592061</v>
      </c>
      <c r="CL157" s="21">
        <f>EXP(-LN(2)/25)*CL156+(1-EXP(-LN(2)/25))/(LN(2)/25)*Calculateur!CG157*Calculateur!CI157*VLOOKUP('Données projet'!$B$12,Paramètres!$A$1:$I$89,3,0)*0.475*44/12</f>
        <v>24.079563783479642</v>
      </c>
      <c r="CM157" s="21">
        <f>EXP(-LN(2)/2)*CM156+(1-EXP(-LN(2)/2))/(LN(2)/2)*CG157*CJ157*VLOOKUP('Données projet'!$B$12,Paramètres!$A$1:$I$89,3,0)*0.475*44/12</f>
        <v>1.6388192043383535E-4</v>
      </c>
      <c r="CN157" s="22">
        <f t="shared" si="172"/>
        <v>81.023307023992132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8" t="e">
        <f t="shared" si="122"/>
        <v>#N/A</v>
      </c>
      <c r="CY157" s="58" t="e">
        <f ca="1">AVERAGE(OFFSET($CX$3,0,0,'Données projet'!$E$13+1,1))-AVERAGE(OFFSET($H$3,0,0,'Données projet'!$E$13+1,1))</f>
        <v>#N/A</v>
      </c>
      <c r="CZ157" s="58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8" t="e">
        <f t="shared" si="125"/>
        <v>#N/A</v>
      </c>
      <c r="DT157" s="58" t="e">
        <f ca="1">AVERAGE(OFFSET($DS$3,0,0,'Données projet'!$E$14+1,1))-AVERAGE(OFFSET($H$3,0,0,'Données projet'!$E$14+1,1))</f>
        <v>#N/A</v>
      </c>
      <c r="DU157" s="58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8" t="e">
        <f t="shared" si="128"/>
        <v>#N/A</v>
      </c>
      <c r="EO157" s="58" t="e">
        <f ca="1">AVERAGE(OFFSET($EN$3,0,0,'Données projet'!$E$15+1,1))-AVERAGE(OFFSET($H$3,0,0,'Données projet'!$E$15+1,1))</f>
        <v>#N/A</v>
      </c>
      <c r="EP157" s="58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8" t="e">
        <f t="shared" si="131"/>
        <v>#N/A</v>
      </c>
      <c r="FJ157" s="58" t="e">
        <f ca="1">AVERAGE(OFFSET($FI$3,0,0,'Données projet'!$E$16+1,1))-AVERAGE(OFFSET($H$3,0,0,'Données projet'!$E$16+1,1))</f>
        <v>#N/A</v>
      </c>
      <c r="FK157" s="58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8" t="e">
        <f t="shared" si="134"/>
        <v>#N/A</v>
      </c>
      <c r="GE157" s="58" t="e">
        <f ca="1">AVERAGE(OFFSET($GD$3,0,0,'Données projet'!$E$17+1,1))-AVERAGE(OFFSET($H$3,0,0,'Données projet'!$E$17+1,1))</f>
        <v>#N/A</v>
      </c>
      <c r="GF157" s="58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69.324576182257758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8" t="e">
        <f t="shared" si="137"/>
        <v>#N/A</v>
      </c>
      <c r="GZ157" s="58" t="e">
        <f ca="1">AVERAGE(OFFSET($GY$3,0,0,'Données projet'!$E$18+1,1))-AVERAGE(OFFSET($H$3,0,0,'Données projet'!$E$18+1,1))</f>
        <v>#N/A</v>
      </c>
      <c r="HA157" s="58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2">
        <f>'Scénario référence'!$B$16*5+'Scénario référence'!$B$17*0+'Scénario référence'!$B$18*5</f>
        <v>2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7.333333333333333</v>
      </c>
      <c r="H158" s="66">
        <f t="shared" si="110"/>
        <v>227.33333333333334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9.4880000000000049</v>
      </c>
      <c r="N158" s="13">
        <f>IF('Données projet'!$A$36&gt;35,N157+M158-V157,IF(A158&lt;'Données projet'!$A$36,$K$205^A158,IF(A158='Données projet'!$A$36,'Données projet'!$B$36,N157+M158-V157)))</f>
        <v>494.92800000000096</v>
      </c>
      <c r="O158" s="13">
        <f>N158*VLOOKUP('Données projet'!$B$9,Paramètres!$A$1:$I$89,3,0)*VLOOKUP('Données projet'!$B$9,Paramètres!$A$1:$I$89,5,0)</f>
        <v>447.81085440000084</v>
      </c>
      <c r="P158" s="13">
        <f t="shared" si="141"/>
        <v>101.40497625718913</v>
      </c>
      <c r="Q158" s="20">
        <f t="shared" si="162"/>
        <v>956.55090506127237</v>
      </c>
      <c r="R158" s="58">
        <f t="shared" si="109"/>
        <v>1247.4506470713443</v>
      </c>
      <c r="S158" s="58">
        <f ca="1">AVERAGE(OFFSET($R$3,0,0,'Données projet'!$E$9+1,1))-AVERAGE(OFFSET($H$3,0,0,'Données projet'!$E$9+1,1))</f>
        <v>654.0179680178212</v>
      </c>
      <c r="T158" s="58">
        <f t="shared" si="142"/>
        <v>289.42065570013369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53.081362770039171</v>
      </c>
      <c r="AA158" s="21">
        <f>EXP(-LN(2)/25)*AA157+(1-EXP(-LN(2)/25))/(LN(2)/25)*Calculateur!V158*Calculateur!X158*VLOOKUP('Données projet'!$B$9,Paramètres!$A$1:$I$89,3,0)*0.475*44/12</f>
        <v>22.269249131816526</v>
      </c>
      <c r="AB158" s="21">
        <f>EXP(-LN(2)/2)*AB157+(1-EXP(-LN(2)/2))/(LN(2)/2)*V158*Y158*VLOOKUP('Données projet'!$B$9,Paramètres!$A$1:$I$89,3,0)*0.475*44/12</f>
        <v>1.1018290165005019E-4</v>
      </c>
      <c r="AC158" s="22">
        <f t="shared" si="163"/>
        <v>75.350722084757351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8">
        <f t="shared" si="113"/>
        <v>290.89974201007868</v>
      </c>
      <c r="AN158" s="58">
        <f ca="1">AVERAGE(OFFSET($AM$3,0,0,'Données projet'!$E$10+1,1))-AVERAGE(OFFSET($H$3,0,0,'Données projet'!$E$10+1,1))</f>
        <v>447.44638185108147</v>
      </c>
      <c r="AO158" s="58">
        <f t="shared" si="144"/>
        <v>384.84260115068605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40.170130842784395</v>
      </c>
      <c r="AV158" s="21">
        <f>EXP(-LN(2)/25)*AV157+(1-EXP(-LN(2)/25))/(LN(2)/25)*Calculateur!AQ158*Calculateur!AS158*VLOOKUP('Données projet'!$B$10,Paramètres!$A$1:$I$89,3,0)*0.475*44/12</f>
        <v>7.2692453453868939</v>
      </c>
      <c r="AW158" s="21">
        <f>EXP(-LN(2)/2)*AW157+(1-EXP(-LN(2)/2))/(LN(2)/2)*AQ158*AT158*VLOOKUP('Données projet'!$B$10,Paramètres!$A$1:$I$89,3,0)*0.475*44/12</f>
        <v>1.1746844295130193E-10</v>
      </c>
      <c r="AX158" s="21">
        <f t="shared" si="166"/>
        <v>47.439376188288755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501.85699200000107</v>
      </c>
      <c r="BF158" s="13">
        <f t="shared" si="167"/>
        <v>112.14619280341684</v>
      </c>
      <c r="BG158" s="20">
        <f t="shared" si="168"/>
        <v>1069.3888801992859</v>
      </c>
      <c r="BH158" s="58">
        <f t="shared" si="116"/>
        <v>1360.2886222093578</v>
      </c>
      <c r="BI158" s="58">
        <f ca="1">AVERAGE(OFFSET($BH$3,0,0,'Données projet'!$E$11+1,1))-AVERAGE(OFFSET($H$3,0,0,'Données projet'!$E$11+1,1))</f>
        <v>724.99760740673071</v>
      </c>
      <c r="BJ158" s="58">
        <f t="shared" si="146"/>
        <v>318.24184272438208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59.48773413883702</v>
      </c>
      <c r="BQ158" s="21">
        <f>EXP(-LN(2)/25)*BQ157+(1-EXP(-LN(2)/25))/(LN(2)/25)*Calculateur!BL158*Calculateur!BN158*VLOOKUP('Données projet'!$B$11,Paramètres!$A$1:$I$89,3,0)*0.475*44/12</f>
        <v>24.956917130484044</v>
      </c>
      <c r="BR158" s="21">
        <f>EXP(-LN(2)/2)*BR157+(1-EXP(-LN(2)/2))/(LN(2)/2)*BL158*BO158*VLOOKUP('Données projet'!$B$11,Paramètres!$A$1:$I$89,3,0)*0.475*44/12</f>
        <v>1.2348083805609065E-4</v>
      </c>
      <c r="BS158" s="22">
        <f t="shared" si="169"/>
        <v>84.444774750159127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9.4880000000000049</v>
      </c>
      <c r="BY158" s="12">
        <f>IF('Données projet'!$A$114&gt;35,BY157+BX158-CG157,IF(A158&lt;'Données projet'!$A$114,$BV$205^A158,IF(A158='Données projet'!$A$114,'Données projet'!$B$114,BY157+BX158-CG157)))</f>
        <v>494.92800000000096</v>
      </c>
      <c r="BZ158" s="13">
        <f>BY158*VLOOKUP('Données projet'!$B$12,Paramètres!$A$1:$I$89,3,0)*VLOOKUP('Données projet'!$B$12,Paramètres!$A$1:$I$89,5,0)</f>
        <v>470.97348480000096</v>
      </c>
      <c r="CA158" s="13">
        <f t="shared" si="170"/>
        <v>106.02584315355907</v>
      </c>
      <c r="CB158" s="20">
        <f t="shared" si="171"/>
        <v>1004.9404961857837</v>
      </c>
      <c r="CC158" s="58">
        <f t="shared" si="119"/>
        <v>1295.8402381958556</v>
      </c>
      <c r="CD158" s="58">
        <f ca="1">AVERAGE(OFFSET($CC$3,0,0,'Données projet'!$E$12+1,1))-AVERAGE(OFFSET($H$3,0,0,'Données projet'!$E$12+1,1))</f>
        <v>684.45757350513315</v>
      </c>
      <c r="CE158" s="58">
        <f t="shared" si="148"/>
        <v>301.78148341369194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55.826950499523967</v>
      </c>
      <c r="CL158" s="21">
        <f>EXP(-LN(2)/25)*CL157+(1-EXP(-LN(2)/25))/(LN(2)/25)*Calculateur!CG158*Calculateur!CI158*VLOOKUP('Données projet'!$B$12,Paramètres!$A$1:$I$89,3,0)*0.475*44/12</f>
        <v>23.421106845531167</v>
      </c>
      <c r="CM158" s="21">
        <f>EXP(-LN(2)/2)*CM157+(1-EXP(-LN(2)/2))/(LN(2)/2)*CG158*CJ158*VLOOKUP('Données projet'!$B$12,Paramètres!$A$1:$I$89,3,0)*0.475*44/12</f>
        <v>1.1588201725263922E-4</v>
      </c>
      <c r="CN158" s="22">
        <f t="shared" si="172"/>
        <v>79.248173227072385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8" t="e">
        <f t="shared" si="122"/>
        <v>#N/A</v>
      </c>
      <c r="CY158" s="58" t="e">
        <f ca="1">AVERAGE(OFFSET($CX$3,0,0,'Données projet'!$E$13+1,1))-AVERAGE(OFFSET($H$3,0,0,'Données projet'!$E$13+1,1))</f>
        <v>#N/A</v>
      </c>
      <c r="CZ158" s="58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8" t="e">
        <f t="shared" si="125"/>
        <v>#N/A</v>
      </c>
      <c r="DT158" s="58" t="e">
        <f ca="1">AVERAGE(OFFSET($DS$3,0,0,'Données projet'!$E$14+1,1))-AVERAGE(OFFSET($H$3,0,0,'Données projet'!$E$14+1,1))</f>
        <v>#N/A</v>
      </c>
      <c r="DU158" s="58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8" t="e">
        <f t="shared" si="128"/>
        <v>#N/A</v>
      </c>
      <c r="EO158" s="58" t="e">
        <f ca="1">AVERAGE(OFFSET($EN$3,0,0,'Données projet'!$E$15+1,1))-AVERAGE(OFFSET($H$3,0,0,'Données projet'!$E$15+1,1))</f>
        <v>#N/A</v>
      </c>
      <c r="EP158" s="58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8" t="e">
        <f t="shared" si="131"/>
        <v>#N/A</v>
      </c>
      <c r="FJ158" s="58" t="e">
        <f ca="1">AVERAGE(OFFSET($FI$3,0,0,'Données projet'!$E$16+1,1))-AVERAGE(OFFSET($H$3,0,0,'Données projet'!$E$16+1,1))</f>
        <v>#N/A</v>
      </c>
      <c r="FK158" s="58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8" t="e">
        <f t="shared" si="134"/>
        <v>#N/A</v>
      </c>
      <c r="GE158" s="58" t="e">
        <f ca="1">AVERAGE(OFFSET($GD$3,0,0,'Données projet'!$E$17+1,1))-AVERAGE(OFFSET($H$3,0,0,'Données projet'!$E$17+1,1))</f>
        <v>#N/A</v>
      </c>
      <c r="GF158" s="58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69.336293275474148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8" t="e">
        <f t="shared" si="137"/>
        <v>#N/A</v>
      </c>
      <c r="GZ158" s="58" t="e">
        <f ca="1">AVERAGE(OFFSET($GY$3,0,0,'Données projet'!$E$18+1,1))-AVERAGE(OFFSET($H$3,0,0,'Données projet'!$E$18+1,1))</f>
        <v>#N/A</v>
      </c>
      <c r="HA158" s="58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2">
        <f>'Scénario référence'!$B$16*5+'Scénario référence'!$B$17*0+'Scénario référence'!$B$18*5</f>
        <v>2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7.333333333333333</v>
      </c>
      <c r="H159" s="66">
        <f t="shared" si="110"/>
        <v>227.33333333333334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9.4880000000000049</v>
      </c>
      <c r="N159" s="13">
        <f>IF('Données projet'!$A$36&gt;35,N158+M159-V158,IF(A159&lt;'Données projet'!$A$36,$K$205^A159,IF(A159='Données projet'!$A$36,'Données projet'!$B$36,N158+M159-V158)))</f>
        <v>504.41600000000096</v>
      </c>
      <c r="O159" s="13">
        <f>N159*VLOOKUP('Données projet'!$B$9,Paramètres!$A$1:$I$89,3,0)*VLOOKUP('Données projet'!$B$9,Paramètres!$A$1:$I$89,5,0)</f>
        <v>456.39559680000082</v>
      </c>
      <c r="P159" s="13">
        <f t="shared" si="141"/>
        <v>103.12077454694855</v>
      </c>
      <c r="Q159" s="20">
        <f t="shared" si="162"/>
        <v>974.49101342927031</v>
      </c>
      <c r="R159" s="58">
        <f t="shared" si="109"/>
        <v>1265.4329728081057</v>
      </c>
      <c r="S159" s="58">
        <f ca="1">AVERAGE(OFFSET($R$3,0,0,'Données projet'!$E$9+1,1))-AVERAGE(OFFSET($H$3,0,0,'Données projet'!$E$9+1,1))</f>
        <v>654.0179680178212</v>
      </c>
      <c r="T159" s="58">
        <f t="shared" si="142"/>
        <v>289.42065570013369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52.040469622553083</v>
      </c>
      <c r="AA159" s="21">
        <f>EXP(-LN(2)/25)*AA158+(1-EXP(-LN(2)/25))/(LN(2)/25)*Calculateur!V159*Calculateur!X159*VLOOKUP('Données projet'!$B$9,Paramètres!$A$1:$I$89,3,0)*0.475*44/12</f>
        <v>21.660295343218088</v>
      </c>
      <c r="AB159" s="21">
        <f>EXP(-LN(2)/2)*AB158+(1-EXP(-LN(2)/2))/(LN(2)/2)*V159*Y159*VLOOKUP('Données projet'!$B$9,Paramètres!$A$1:$I$89,3,0)*0.475*44/12</f>
        <v>7.7911076927560926E-5</v>
      </c>
      <c r="AC159" s="22">
        <f t="shared" si="163"/>
        <v>73.7008428768481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8">
        <f t="shared" si="113"/>
        <v>290.94195937884217</v>
      </c>
      <c r="AN159" s="58">
        <f ca="1">AVERAGE(OFFSET($AM$3,0,0,'Données projet'!$E$10+1,1))-AVERAGE(OFFSET($H$3,0,0,'Données projet'!$E$10+1,1))</f>
        <v>447.44638185108147</v>
      </c>
      <c r="AO159" s="58">
        <f t="shared" si="144"/>
        <v>384.84260115068605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39.382419078317902</v>
      </c>
      <c r="AV159" s="21">
        <f>EXP(-LN(2)/25)*AV158+(1-EXP(-LN(2)/25))/(LN(2)/25)*Calculateur!AQ159*Calculateur!AS159*VLOOKUP('Données projet'!$B$10,Paramètres!$A$1:$I$89,3,0)*0.475*44/12</f>
        <v>7.0704674491442905</v>
      </c>
      <c r="AW159" s="21">
        <f>EXP(-LN(2)/2)*AW158+(1-EXP(-LN(2)/2))/(LN(2)/2)*AQ159*AT159*VLOOKUP('Données projet'!$B$10,Paramètres!$A$1:$I$89,3,0)*0.475*44/12</f>
        <v>8.3062732586290699E-11</v>
      </c>
      <c r="AX159" s="21">
        <f t="shared" si="166"/>
        <v>46.452886527545253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511.47782400000102</v>
      </c>
      <c r="BF159" s="13">
        <f t="shared" si="167"/>
        <v>114.04373524085221</v>
      </c>
      <c r="BG159" s="20">
        <f t="shared" si="168"/>
        <v>1089.4500490111525</v>
      </c>
      <c r="BH159" s="58">
        <f t="shared" si="116"/>
        <v>1380.392008389988</v>
      </c>
      <c r="BI159" s="58">
        <f ca="1">AVERAGE(OFFSET($BH$3,0,0,'Données projet'!$E$11+1,1))-AVERAGE(OFFSET($H$3,0,0,'Données projet'!$E$11+1,1))</f>
        <v>724.99760740673071</v>
      </c>
      <c r="BJ159" s="58">
        <f t="shared" si="146"/>
        <v>318.24184272438208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58.321215956309508</v>
      </c>
      <c r="BQ159" s="21">
        <f>EXP(-LN(2)/25)*BQ158+(1-EXP(-LN(2)/25))/(LN(2)/25)*Calculateur!BL159*Calculateur!BN159*VLOOKUP('Données projet'!$B$11,Paramètres!$A$1:$I$89,3,0)*0.475*44/12</f>
        <v>24.274468919123727</v>
      </c>
      <c r="BR159" s="21">
        <f>EXP(-LN(2)/2)*BR158+(1-EXP(-LN(2)/2))/(LN(2)/2)*BL159*BO159*VLOOKUP('Données projet'!$B$11,Paramètres!$A$1:$I$89,3,0)*0.475*44/12</f>
        <v>8.7314137936059599E-5</v>
      </c>
      <c r="BS159" s="22">
        <f t="shared" si="169"/>
        <v>82.595772189571179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9.4880000000000049</v>
      </c>
      <c r="BY159" s="12">
        <f>IF('Données projet'!$A$114&gt;35,BY158+BX159-CG158,IF(A159&lt;'Données projet'!$A$114,$BV$205^A159,IF(A159='Données projet'!$A$114,'Données projet'!$B$114,BY158+BX159-CG158)))</f>
        <v>504.41600000000096</v>
      </c>
      <c r="BZ159" s="13">
        <f>BY159*VLOOKUP('Données projet'!$B$12,Paramètres!$A$1:$I$89,3,0)*VLOOKUP('Données projet'!$B$12,Paramètres!$A$1:$I$89,5,0)</f>
        <v>480.0022656000009</v>
      </c>
      <c r="CA159" s="13">
        <f t="shared" si="170"/>
        <v>107.81982770015364</v>
      </c>
      <c r="CB159" s="20">
        <f t="shared" si="171"/>
        <v>1023.7901458311022</v>
      </c>
      <c r="CC159" s="58">
        <f t="shared" si="119"/>
        <v>1314.7321052099376</v>
      </c>
      <c r="CD159" s="58">
        <f ca="1">AVERAGE(OFFSET($CC$3,0,0,'Données projet'!$E$12+1,1))-AVERAGE(OFFSET($H$3,0,0,'Données projet'!$E$12+1,1))</f>
        <v>684.45757350513315</v>
      </c>
      <c r="CE159" s="58">
        <f t="shared" si="148"/>
        <v>301.78148341369194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54.732218051305843</v>
      </c>
      <c r="CL159" s="21">
        <f>EXP(-LN(2)/25)*CL158+(1-EXP(-LN(2)/25))/(LN(2)/25)*Calculateur!CG159*Calculateur!CI159*VLOOKUP('Données projet'!$B$12,Paramètres!$A$1:$I$89,3,0)*0.475*44/12</f>
        <v>22.780655447177637</v>
      </c>
      <c r="CM159" s="21">
        <f>EXP(-LN(2)/2)*CM158+(1-EXP(-LN(2)/2))/(LN(2)/2)*CG159*CJ159*VLOOKUP('Données projet'!$B$12,Paramètres!$A$1:$I$89,3,0)*0.475*44/12</f>
        <v>8.1940960216917688E-5</v>
      </c>
      <c r="CN159" s="22">
        <f t="shared" si="172"/>
        <v>77.512955439443701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8" t="e">
        <f t="shared" si="122"/>
        <v>#N/A</v>
      </c>
      <c r="CY159" s="58" t="e">
        <f ca="1">AVERAGE(OFFSET($CX$3,0,0,'Données projet'!$E$13+1,1))-AVERAGE(OFFSET($H$3,0,0,'Données projet'!$E$13+1,1))</f>
        <v>#N/A</v>
      </c>
      <c r="CZ159" s="58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8" t="e">
        <f t="shared" si="125"/>
        <v>#N/A</v>
      </c>
      <c r="DT159" s="58" t="e">
        <f ca="1">AVERAGE(OFFSET($DS$3,0,0,'Données projet'!$E$14+1,1))-AVERAGE(OFFSET($H$3,0,0,'Données projet'!$E$14+1,1))</f>
        <v>#N/A</v>
      </c>
      <c r="DU159" s="58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8" t="e">
        <f t="shared" si="128"/>
        <v>#N/A</v>
      </c>
      <c r="EO159" s="58" t="e">
        <f ca="1">AVERAGE(OFFSET($EN$3,0,0,'Données projet'!$E$15+1,1))-AVERAGE(OFFSET($H$3,0,0,'Données projet'!$E$15+1,1))</f>
        <v>#N/A</v>
      </c>
      <c r="EP159" s="58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8" t="e">
        <f t="shared" si="131"/>
        <v>#N/A</v>
      </c>
      <c r="FJ159" s="58" t="e">
        <f ca="1">AVERAGE(OFFSET($FI$3,0,0,'Données projet'!$E$16+1,1))-AVERAGE(OFFSET($H$3,0,0,'Données projet'!$E$16+1,1))</f>
        <v>#N/A</v>
      </c>
      <c r="FK159" s="58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8" t="e">
        <f t="shared" si="134"/>
        <v>#N/A</v>
      </c>
      <c r="GE159" s="58" t="e">
        <f ca="1">AVERAGE(OFFSET($GD$3,0,0,'Données projet'!$E$17+1,1))-AVERAGE(OFFSET($H$3,0,0,'Données projet'!$E$17+1,1))</f>
        <v>#N/A</v>
      </c>
      <c r="GF159" s="58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69.347807103318729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8" t="e">
        <f t="shared" si="137"/>
        <v>#N/A</v>
      </c>
      <c r="GZ159" s="58" t="e">
        <f ca="1">AVERAGE(OFFSET($GY$3,0,0,'Données projet'!$E$18+1,1))-AVERAGE(OFFSET($H$3,0,0,'Données projet'!$E$18+1,1))</f>
        <v>#N/A</v>
      </c>
      <c r="HA159" s="58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2">
        <f>'Scénario référence'!$B$16*5+'Scénario référence'!$B$17*0+'Scénario référence'!$B$18*5</f>
        <v>2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7.333333333333333</v>
      </c>
      <c r="H160" s="66">
        <f t="shared" si="110"/>
        <v>227.33333333333334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9.4880000000000049</v>
      </c>
      <c r="N160" s="13">
        <f>IF('Données projet'!$A$36&gt;35,N159+M160-V159,IF(A160&lt;'Données projet'!$A$36,$K$205^A160,IF(A160='Données projet'!$A$36,'Données projet'!$B$36,N159+M160-V159)))</f>
        <v>513.90400000000102</v>
      </c>
      <c r="O160" s="13">
        <f>N160*VLOOKUP('Données projet'!$B$9,Paramètres!$A$1:$I$89,3,0)*VLOOKUP('Données projet'!$B$9,Paramètres!$A$1:$I$89,5,0)</f>
        <v>464.98033920000091</v>
      </c>
      <c r="P160" s="13">
        <f t="shared" si="141"/>
        <v>104.83282002515982</v>
      </c>
      <c r="Q160" s="20">
        <f t="shared" si="162"/>
        <v>992.4245856504881</v>
      </c>
      <c r="R160" s="58">
        <f t="shared" si="109"/>
        <v>1283.4080300211226</v>
      </c>
      <c r="S160" s="58">
        <f ca="1">AVERAGE(OFFSET($R$3,0,0,'Données projet'!$E$9+1,1))-AVERAGE(OFFSET($H$3,0,0,'Données projet'!$E$9+1,1))</f>
        <v>654.0179680178212</v>
      </c>
      <c r="T160" s="58">
        <f t="shared" si="142"/>
        <v>289.42065570013369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51.019987754807069</v>
      </c>
      <c r="AA160" s="21">
        <f>EXP(-LN(2)/25)*AA159+(1-EXP(-LN(2)/25))/(LN(2)/25)*Calculateur!V160*Calculateur!X160*VLOOKUP('Données projet'!$B$9,Paramètres!$A$1:$I$89,3,0)*0.475*44/12</f>
        <v>21.067993427992363</v>
      </c>
      <c r="AB160" s="21">
        <f>EXP(-LN(2)/2)*AB159+(1-EXP(-LN(2)/2))/(LN(2)/2)*V160*Y160*VLOOKUP('Données projet'!$B$9,Paramètres!$A$1:$I$89,3,0)*0.475*44/12</f>
        <v>5.5091450825025096E-5</v>
      </c>
      <c r="AC160" s="22">
        <f t="shared" si="163"/>
        <v>72.088036274250257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8">
        <f t="shared" si="113"/>
        <v>290.98344437064145</v>
      </c>
      <c r="AN160" s="58">
        <f ca="1">AVERAGE(OFFSET($AM$3,0,0,'Données projet'!$E$10+1,1))-AVERAGE(OFFSET($H$3,0,0,'Données projet'!$E$10+1,1))</f>
        <v>447.44638185108147</v>
      </c>
      <c r="AO160" s="58">
        <f t="shared" si="144"/>
        <v>384.84260115068605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38.61015386109586</v>
      </c>
      <c r="AV160" s="21">
        <f>EXP(-LN(2)/25)*AV159+(1-EXP(-LN(2)/25))/(LN(2)/25)*Calculateur!AQ160*Calculateur!AS160*VLOOKUP('Données projet'!$B$10,Paramètres!$A$1:$I$89,3,0)*0.475*44/12</f>
        <v>6.8771251449277164</v>
      </c>
      <c r="AW160" s="21">
        <f>EXP(-LN(2)/2)*AW159+(1-EXP(-LN(2)/2))/(LN(2)/2)*AQ160*AT160*VLOOKUP('Données projet'!$B$10,Paramètres!$A$1:$I$89,3,0)*0.475*44/12</f>
        <v>5.8734221475650967E-11</v>
      </c>
      <c r="AX160" s="21">
        <f t="shared" si="166"/>
        <v>45.487279006082311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521.09865600000103</v>
      </c>
      <c r="BF160" s="13">
        <f t="shared" si="167"/>
        <v>115.93712735408282</v>
      </c>
      <c r="BG160" s="20">
        <f t="shared" si="168"/>
        <v>1109.5039893416961</v>
      </c>
      <c r="BH160" s="58">
        <f t="shared" si="116"/>
        <v>1400.4874337123306</v>
      </c>
      <c r="BI160" s="58">
        <f ca="1">AVERAGE(OFFSET($BH$3,0,0,'Données projet'!$E$11+1,1))-AVERAGE(OFFSET($H$3,0,0,'Données projet'!$E$11+1,1))</f>
        <v>724.99760740673071</v>
      </c>
      <c r="BJ160" s="58">
        <f t="shared" si="146"/>
        <v>318.24184272438208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57.177572483835526</v>
      </c>
      <c r="BQ160" s="21">
        <f>EXP(-LN(2)/25)*BQ159+(1-EXP(-LN(2)/25))/(LN(2)/25)*Calculateur!BL160*Calculateur!BN160*VLOOKUP('Données projet'!$B$11,Paramètres!$A$1:$I$89,3,0)*0.475*44/12</f>
        <v>23.610682289991448</v>
      </c>
      <c r="BR160" s="21">
        <f>EXP(-LN(2)/2)*BR159+(1-EXP(-LN(2)/2))/(LN(2)/2)*BL160*BO160*VLOOKUP('Données projet'!$B$11,Paramètres!$A$1:$I$89,3,0)*0.475*44/12</f>
        <v>6.1740419028045323E-5</v>
      </c>
      <c r="BS160" s="22">
        <f t="shared" si="169"/>
        <v>80.788316514246006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9.4880000000000049</v>
      </c>
      <c r="BY160" s="12">
        <f>IF('Données projet'!$A$114&gt;35,BY159+BX160-CG159,IF(A160&lt;'Données projet'!$A$114,$BV$205^A160,IF(A160='Données projet'!$A$114,'Données projet'!$B$114,BY159+BX160-CG159)))</f>
        <v>513.90400000000102</v>
      </c>
      <c r="BZ160" s="13">
        <f>BY160*VLOOKUP('Données projet'!$B$12,Paramètres!$A$1:$I$89,3,0)*VLOOKUP('Données projet'!$B$12,Paramètres!$A$1:$I$89,5,0)</f>
        <v>489.03104640000095</v>
      </c>
      <c r="CA160" s="13">
        <f t="shared" si="170"/>
        <v>109.60988842542025</v>
      </c>
      <c r="CB160" s="20">
        <f t="shared" si="171"/>
        <v>1042.6329614876088</v>
      </c>
      <c r="CC160" s="58">
        <f t="shared" si="119"/>
        <v>1333.6164058582435</v>
      </c>
      <c r="CD160" s="58">
        <f ca="1">AVERAGE(OFFSET($CC$3,0,0,'Données projet'!$E$12+1,1))-AVERAGE(OFFSET($H$3,0,0,'Données projet'!$E$12+1,1))</f>
        <v>684.45757350513315</v>
      </c>
      <c r="CE160" s="58">
        <f t="shared" si="148"/>
        <v>301.78148341369194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53.658952638676411</v>
      </c>
      <c r="CL160" s="21">
        <f>EXP(-LN(2)/25)*CL159+(1-EXP(-LN(2)/25))/(LN(2)/25)*Calculateur!CG160*Calculateur!CI160*VLOOKUP('Données projet'!$B$12,Paramètres!$A$1:$I$89,3,0)*0.475*44/12</f>
        <v>22.157717225991959</v>
      </c>
      <c r="CM160" s="21">
        <f>EXP(-LN(2)/2)*CM159+(1-EXP(-LN(2)/2))/(LN(2)/2)*CG160*CJ160*VLOOKUP('Données projet'!$B$12,Paramètres!$A$1:$I$89,3,0)*0.475*44/12</f>
        <v>5.7941008626319615E-5</v>
      </c>
      <c r="CN160" s="22">
        <f t="shared" si="172"/>
        <v>75.81672780567699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8" t="e">
        <f t="shared" si="122"/>
        <v>#N/A</v>
      </c>
      <c r="CY160" s="58" t="e">
        <f ca="1">AVERAGE(OFFSET($CX$3,0,0,'Données projet'!$E$13+1,1))-AVERAGE(OFFSET($H$3,0,0,'Données projet'!$E$13+1,1))</f>
        <v>#N/A</v>
      </c>
      <c r="CZ160" s="58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8" t="e">
        <f t="shared" si="125"/>
        <v>#N/A</v>
      </c>
      <c r="DT160" s="58" t="e">
        <f ca="1">AVERAGE(OFFSET($DS$3,0,0,'Données projet'!$E$14+1,1))-AVERAGE(OFFSET($H$3,0,0,'Données projet'!$E$14+1,1))</f>
        <v>#N/A</v>
      </c>
      <c r="DU160" s="58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8" t="e">
        <f t="shared" si="128"/>
        <v>#N/A</v>
      </c>
      <c r="EO160" s="58" t="e">
        <f ca="1">AVERAGE(OFFSET($EN$3,0,0,'Données projet'!$E$15+1,1))-AVERAGE(OFFSET($H$3,0,0,'Données projet'!$E$15+1,1))</f>
        <v>#N/A</v>
      </c>
      <c r="EP160" s="58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8" t="e">
        <f t="shared" si="131"/>
        <v>#N/A</v>
      </c>
      <c r="FJ160" s="58" t="e">
        <f ca="1">AVERAGE(OFFSET($FI$3,0,0,'Données projet'!$E$16+1,1))-AVERAGE(OFFSET($H$3,0,0,'Données projet'!$E$16+1,1))</f>
        <v>#N/A</v>
      </c>
      <c r="FK160" s="58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8" t="e">
        <f t="shared" si="134"/>
        <v>#N/A</v>
      </c>
      <c r="GE160" s="58" t="e">
        <f ca="1">AVERAGE(OFFSET($GD$3,0,0,'Données projet'!$E$17+1,1))-AVERAGE(OFFSET($H$3,0,0,'Données projet'!$E$17+1,1))</f>
        <v>#N/A</v>
      </c>
      <c r="GF160" s="58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69.359121191991264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8" t="e">
        <f t="shared" si="137"/>
        <v>#N/A</v>
      </c>
      <c r="GZ160" s="58" t="e">
        <f ca="1">AVERAGE(OFFSET($GY$3,0,0,'Données projet'!$E$18+1,1))-AVERAGE(OFFSET($H$3,0,0,'Données projet'!$E$18+1,1))</f>
        <v>#N/A</v>
      </c>
      <c r="HA160" s="58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2">
        <f>'Scénario référence'!$B$16*5+'Scénario référence'!$B$17*0+'Scénario référence'!$B$18*5</f>
        <v>2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7.333333333333333</v>
      </c>
      <c r="H161" s="66">
        <f t="shared" si="110"/>
        <v>227.33333333333334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9.4880000000000049</v>
      </c>
      <c r="N161" s="13">
        <f>IF('Données projet'!$A$36&gt;35,N160+M161-V160,IF(A161&lt;'Données projet'!$A$36,$K$205^A161,IF(A161='Données projet'!$A$36,'Données projet'!$B$36,N160+M161-V160)))</f>
        <v>523.39200000000108</v>
      </c>
      <c r="O161" s="13">
        <f>N161*VLOOKUP('Données projet'!$B$9,Paramètres!$A$1:$I$89,3,0)*VLOOKUP('Données projet'!$B$9,Paramètres!$A$1:$I$89,5,0)</f>
        <v>473.56508160000089</v>
      </c>
      <c r="P161" s="13">
        <f t="shared" si="141"/>
        <v>106.54118996921356</v>
      </c>
      <c r="Q161" s="20">
        <f t="shared" si="162"/>
        <v>1010.3517563163817</v>
      </c>
      <c r="R161" s="58">
        <f t="shared" si="109"/>
        <v>1301.3759660069545</v>
      </c>
      <c r="S161" s="58">
        <f ca="1">AVERAGE(OFFSET($R$3,0,0,'Données projet'!$E$9+1,1))-AVERAGE(OFFSET($H$3,0,0,'Données projet'!$E$9+1,1))</f>
        <v>654.0179680178212</v>
      </c>
      <c r="T161" s="58">
        <f t="shared" si="142"/>
        <v>289.42065570013369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50.019516914055075</v>
      </c>
      <c r="AA161" s="21">
        <f>EXP(-LN(2)/25)*AA160+(1-EXP(-LN(2)/25))/(LN(2)/25)*Calculateur!V161*Calculateur!X161*VLOOKUP('Données projet'!$B$9,Paramètres!$A$1:$I$89,3,0)*0.475*44/12</f>
        <v>20.491888039786289</v>
      </c>
      <c r="AB161" s="21">
        <f>EXP(-LN(2)/2)*AB160+(1-EXP(-LN(2)/2))/(LN(2)/2)*V161*Y161*VLOOKUP('Données projet'!$B$9,Paramètres!$A$1:$I$89,3,0)*0.475*44/12</f>
        <v>3.8955538463780463E-5</v>
      </c>
      <c r="AC161" s="22">
        <f t="shared" si="163"/>
        <v>70.511443909379821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8">
        <f t="shared" si="113"/>
        <v>291.02420969057965</v>
      </c>
      <c r="AN161" s="58">
        <f ca="1">AVERAGE(OFFSET($AM$3,0,0,'Données projet'!$E$10+1,1))-AVERAGE(OFFSET($H$3,0,0,'Données projet'!$E$10+1,1))</f>
        <v>447.44638185108147</v>
      </c>
      <c r="AO161" s="58">
        <f t="shared" si="144"/>
        <v>384.84260115068605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37.853032293748271</v>
      </c>
      <c r="AV161" s="21">
        <f>EXP(-LN(2)/25)*AV160+(1-EXP(-LN(2)/25))/(LN(2)/25)*Calculateur!AQ161*Calculateur!AS161*VLOOKUP('Données projet'!$B$10,Paramètres!$A$1:$I$89,3,0)*0.475*44/12</f>
        <v>6.6890697961873746</v>
      </c>
      <c r="AW161" s="21">
        <f>EXP(-LN(2)/2)*AW160+(1-EXP(-LN(2)/2))/(LN(2)/2)*AQ161*AT161*VLOOKUP('Données projet'!$B$10,Paramètres!$A$1:$I$89,3,0)*0.475*44/12</f>
        <v>4.1531366293145349E-11</v>
      </c>
      <c r="AX161" s="21">
        <f t="shared" si="166"/>
        <v>44.542102089977178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530.71948800000109</v>
      </c>
      <c r="BF161" s="13">
        <f t="shared" si="167"/>
        <v>117.82645460602643</v>
      </c>
      <c r="BG161" s="20">
        <f t="shared" si="168"/>
        <v>1129.5508500388312</v>
      </c>
      <c r="BH161" s="58">
        <f t="shared" si="116"/>
        <v>1420.5750597294041</v>
      </c>
      <c r="BI161" s="58">
        <f ca="1">AVERAGE(OFFSET($BH$3,0,0,'Données projet'!$E$11+1,1))-AVERAGE(OFFSET($H$3,0,0,'Données projet'!$E$11+1,1))</f>
        <v>724.99760740673071</v>
      </c>
      <c r="BJ161" s="58">
        <f t="shared" si="146"/>
        <v>318.24184272438208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56.05635516230312</v>
      </c>
      <c r="BQ161" s="21">
        <f>EXP(-LN(2)/25)*BQ160+(1-EXP(-LN(2)/25))/(LN(2)/25)*Calculateur!BL161*Calculateur!BN161*VLOOKUP('Données projet'!$B$11,Paramètres!$A$1:$I$89,3,0)*0.475*44/12</f>
        <v>22.965046941139814</v>
      </c>
      <c r="BR161" s="21">
        <f>EXP(-LN(2)/2)*BR160+(1-EXP(-LN(2)/2))/(LN(2)/2)*BL161*BO161*VLOOKUP('Données projet'!$B$11,Paramètres!$A$1:$I$89,3,0)*0.475*44/12</f>
        <v>4.36570689680298E-5</v>
      </c>
      <c r="BS161" s="22">
        <f t="shared" si="169"/>
        <v>79.021445760511909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9.4880000000000049</v>
      </c>
      <c r="BY161" s="12">
        <f>IF('Données projet'!$A$114&gt;35,BY160+BX161-CG160,IF(A161&lt;'Données projet'!$A$114,$BV$205^A161,IF(A161='Données projet'!$A$114,'Données projet'!$B$114,BY160+BX161-CG160)))</f>
        <v>523.39200000000108</v>
      </c>
      <c r="BZ161" s="13">
        <f>BY161*VLOOKUP('Données projet'!$B$12,Paramètres!$A$1:$I$89,3,0)*VLOOKUP('Données projet'!$B$12,Paramètres!$A$1:$I$89,5,0)</f>
        <v>498.05982720000105</v>
      </c>
      <c r="CA161" s="13">
        <f t="shared" si="170"/>
        <v>111.39610612815991</v>
      </c>
      <c r="CB161" s="20">
        <f t="shared" si="171"/>
        <v>1061.4690838798804</v>
      </c>
      <c r="CC161" s="58">
        <f t="shared" si="119"/>
        <v>1352.4932935704533</v>
      </c>
      <c r="CD161" s="58">
        <f ca="1">AVERAGE(OFFSET($CC$3,0,0,'Données projet'!$E$12+1,1))-AVERAGE(OFFSET($H$3,0,0,'Données projet'!$E$12+1,1))</f>
        <v>684.45757350513315</v>
      </c>
      <c r="CE161" s="58">
        <f t="shared" si="148"/>
        <v>301.78148341369194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52.606733306161381</v>
      </c>
      <c r="CL161" s="21">
        <f>EXP(-LN(2)/25)*CL160+(1-EXP(-LN(2)/25))/(LN(2)/25)*Calculateur!CG161*Calculateur!CI161*VLOOKUP('Données projet'!$B$12,Paramètres!$A$1:$I$89,3,0)*0.475*44/12</f>
        <v>21.551813283223503</v>
      </c>
      <c r="CM161" s="21">
        <f>EXP(-LN(2)/2)*CM160+(1-EXP(-LN(2)/2))/(LN(2)/2)*CG161*CJ161*VLOOKUP('Données projet'!$B$12,Paramètres!$A$1:$I$89,3,0)*0.475*44/12</f>
        <v>4.0970480108458851E-5</v>
      </c>
      <c r="CN161" s="22">
        <f t="shared" si="172"/>
        <v>74.158587559864998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8" t="e">
        <f t="shared" si="122"/>
        <v>#N/A</v>
      </c>
      <c r="CY161" s="58" t="e">
        <f ca="1">AVERAGE(OFFSET($CX$3,0,0,'Données projet'!$E$13+1,1))-AVERAGE(OFFSET($H$3,0,0,'Données projet'!$E$13+1,1))</f>
        <v>#N/A</v>
      </c>
      <c r="CZ161" s="58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8" t="e">
        <f t="shared" si="125"/>
        <v>#N/A</v>
      </c>
      <c r="DT161" s="58" t="e">
        <f ca="1">AVERAGE(OFFSET($DS$3,0,0,'Données projet'!$E$14+1,1))-AVERAGE(OFFSET($H$3,0,0,'Données projet'!$E$14+1,1))</f>
        <v>#N/A</v>
      </c>
      <c r="DU161" s="58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8" t="e">
        <f t="shared" si="128"/>
        <v>#N/A</v>
      </c>
      <c r="EO161" s="58" t="e">
        <f ca="1">AVERAGE(OFFSET($EN$3,0,0,'Données projet'!$E$15+1,1))-AVERAGE(OFFSET($H$3,0,0,'Données projet'!$E$15+1,1))</f>
        <v>#N/A</v>
      </c>
      <c r="EP161" s="58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8" t="e">
        <f t="shared" si="131"/>
        <v>#N/A</v>
      </c>
      <c r="FJ161" s="58" t="e">
        <f ca="1">AVERAGE(OFFSET($FI$3,0,0,'Données projet'!$E$16+1,1))-AVERAGE(OFFSET($H$3,0,0,'Données projet'!$E$16+1,1))</f>
        <v>#N/A</v>
      </c>
      <c r="FK161" s="58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8" t="e">
        <f t="shared" si="134"/>
        <v>#N/A</v>
      </c>
      <c r="GE161" s="58" t="e">
        <f ca="1">AVERAGE(OFFSET($GD$3,0,0,'Données projet'!$E$17+1,1))-AVERAGE(OFFSET($H$3,0,0,'Données projet'!$E$17+1,1))</f>
        <v>#N/A</v>
      </c>
      <c r="GF161" s="58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69.370239006519853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8" t="e">
        <f t="shared" si="137"/>
        <v>#N/A</v>
      </c>
      <c r="GZ161" s="58" t="e">
        <f ca="1">AVERAGE(OFFSET($GY$3,0,0,'Données projet'!$E$18+1,1))-AVERAGE(OFFSET($H$3,0,0,'Données projet'!$E$18+1,1))</f>
        <v>#N/A</v>
      </c>
      <c r="HA161" s="58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2">
        <f>'Scénario référence'!$B$16*5+'Scénario référence'!$B$17*0+'Scénario référence'!$B$18*5</f>
        <v>2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7.333333333333333</v>
      </c>
      <c r="H162" s="66">
        <f t="shared" si="110"/>
        <v>227.33333333333334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9.4880000000000049</v>
      </c>
      <c r="N162" s="13">
        <f>IF('Données projet'!$A$36&gt;35,N161+M162-V161,IF(A162&lt;'Données projet'!$A$36,$K$205^A162,IF(A162='Données projet'!$A$36,'Données projet'!$B$36,N161+M162-V161)))</f>
        <v>532.88000000000113</v>
      </c>
      <c r="O162" s="13">
        <f>N162*VLOOKUP('Données projet'!$B$9,Paramètres!$A$1:$I$89,3,0)*VLOOKUP('Données projet'!$B$9,Paramètres!$A$1:$I$89,5,0)</f>
        <v>482.14982400000099</v>
      </c>
      <c r="P162" s="13">
        <f t="shared" si="141"/>
        <v>108.24595869432409</v>
      </c>
      <c r="Q162" s="20">
        <f t="shared" si="162"/>
        <v>1028.272654859283</v>
      </c>
      <c r="R162" s="58">
        <f t="shared" si="109"/>
        <v>1319.3369226826305</v>
      </c>
      <c r="S162" s="58">
        <f ca="1">AVERAGE(OFFSET($R$3,0,0,'Données projet'!$E$9+1,1))-AVERAGE(OFFSET($H$3,0,0,'Données projet'!$E$9+1,1))</f>
        <v>654.0179680178212</v>
      </c>
      <c r="T162" s="58">
        <f t="shared" si="142"/>
        <v>289.42065570013369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49.038664696263268</v>
      </c>
      <c r="AA162" s="21">
        <f>EXP(-LN(2)/25)*AA161+(1-EXP(-LN(2)/25))/(LN(2)/25)*Calculateur!V162*Calculateur!X162*VLOOKUP('Données projet'!$B$9,Paramètres!$A$1:$I$89,3,0)*0.475*44/12</f>
        <v>19.931536283716778</v>
      </c>
      <c r="AB162" s="21">
        <f>EXP(-LN(2)/2)*AB161+(1-EXP(-LN(2)/2))/(LN(2)/2)*V162*Y162*VLOOKUP('Données projet'!$B$9,Paramètres!$A$1:$I$89,3,0)*0.475*44/12</f>
        <v>2.7545725412512548E-5</v>
      </c>
      <c r="AC162" s="22">
        <f t="shared" si="163"/>
        <v>68.970228525705465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8">
        <f t="shared" si="113"/>
        <v>291.06426782335444</v>
      </c>
      <c r="AN162" s="58">
        <f ca="1">AVERAGE(OFFSET($AM$3,0,0,'Données projet'!$E$10+1,1))-AVERAGE(OFFSET($H$3,0,0,'Données projet'!$E$10+1,1))</f>
        <v>447.44638185108147</v>
      </c>
      <c r="AO162" s="58">
        <f t="shared" si="144"/>
        <v>384.84260115068605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37.110757418537808</v>
      </c>
      <c r="AV162" s="21">
        <f>EXP(-LN(2)/25)*AV161+(1-EXP(-LN(2)/25))/(LN(2)/25)*Calculateur!AQ162*Calculateur!AS162*VLOOKUP('Données projet'!$B$10,Paramètres!$A$1:$I$89,3,0)*0.475*44/12</f>
        <v>6.506156830847738</v>
      </c>
      <c r="AW162" s="21">
        <f>EXP(-LN(2)/2)*AW161+(1-EXP(-LN(2)/2))/(LN(2)/2)*AQ162*AT162*VLOOKUP('Données projet'!$B$10,Paramètres!$A$1:$I$89,3,0)*0.475*44/12</f>
        <v>2.9367110737825484E-11</v>
      </c>
      <c r="AX162" s="21">
        <f t="shared" si="166"/>
        <v>43.616914249414911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540.34032000000116</v>
      </c>
      <c r="BF162" s="13">
        <f t="shared" si="167"/>
        <v>119.71179918365929</v>
      </c>
      <c r="BG162" s="20">
        <f t="shared" si="168"/>
        <v>1149.5907742448753</v>
      </c>
      <c r="BH162" s="58">
        <f t="shared" si="116"/>
        <v>1440.6550420682229</v>
      </c>
      <c r="BI162" s="58">
        <f ca="1">AVERAGE(OFFSET($BH$3,0,0,'Données projet'!$E$11+1,1))-AVERAGE(OFFSET($H$3,0,0,'Données projet'!$E$11+1,1))</f>
        <v>724.99760740673071</v>
      </c>
      <c r="BJ162" s="58">
        <f t="shared" si="146"/>
        <v>318.24184272438208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54.957124228570926</v>
      </c>
      <c r="BQ162" s="21">
        <f>EXP(-LN(2)/25)*BQ161+(1-EXP(-LN(2)/25))/(LN(2)/25)*Calculateur!BL162*Calculateur!BN162*VLOOKUP('Données projet'!$B$11,Paramètres!$A$1:$I$89,3,0)*0.475*44/12</f>
        <v>22.337066524855015</v>
      </c>
      <c r="BR162" s="21">
        <f>EXP(-LN(2)/2)*BR161+(1-EXP(-LN(2)/2))/(LN(2)/2)*BL162*BO162*VLOOKUP('Données projet'!$B$11,Paramètres!$A$1:$I$89,3,0)*0.475*44/12</f>
        <v>3.0870209514022662E-5</v>
      </c>
      <c r="BS162" s="22">
        <f t="shared" si="169"/>
        <v>77.294221623635451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9.4880000000000049</v>
      </c>
      <c r="BY162" s="12">
        <f>IF('Données projet'!$A$114&gt;35,BY161+BX162-CG161,IF(A162&lt;'Données projet'!$A$114,$BV$205^A162,IF(A162='Données projet'!$A$114,'Données projet'!$B$114,BY161+BX162-CG161)))</f>
        <v>532.88000000000113</v>
      </c>
      <c r="BZ162" s="13">
        <f>BY162*VLOOKUP('Données projet'!$B$12,Paramètres!$A$1:$I$89,3,0)*VLOOKUP('Données projet'!$B$12,Paramètres!$A$1:$I$89,5,0)</f>
        <v>507.0886080000011</v>
      </c>
      <c r="CA162" s="13">
        <f t="shared" si="170"/>
        <v>113.17855851001575</v>
      </c>
      <c r="CB162" s="20">
        <f t="shared" si="171"/>
        <v>1080.2986483382792</v>
      </c>
      <c r="CC162" s="58">
        <f t="shared" si="119"/>
        <v>1371.3629161616268</v>
      </c>
      <c r="CD162" s="58">
        <f ca="1">AVERAGE(OFFSET($CC$3,0,0,'Données projet'!$E$12+1,1))-AVERAGE(OFFSET($H$3,0,0,'Données projet'!$E$12+1,1))</f>
        <v>684.45757350513315</v>
      </c>
      <c r="CE162" s="58">
        <f t="shared" si="148"/>
        <v>301.78148341369194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51.575147352966553</v>
      </c>
      <c r="CL162" s="21">
        <f>EXP(-LN(2)/25)*CL161+(1-EXP(-LN(2)/25))/(LN(2)/25)*Calculateur!CG162*Calculateur!CI162*VLOOKUP('Données projet'!$B$12,Paramètres!$A$1:$I$89,3,0)*0.475*44/12</f>
        <v>20.962477815633154</v>
      </c>
      <c r="CM162" s="21">
        <f>EXP(-LN(2)/2)*CM161+(1-EXP(-LN(2)/2))/(LN(2)/2)*CG162*CJ162*VLOOKUP('Données projet'!$B$12,Paramètres!$A$1:$I$89,3,0)*0.475*44/12</f>
        <v>2.8970504313159811E-5</v>
      </c>
      <c r="CN162" s="22">
        <f t="shared" si="172"/>
        <v>72.537654139104021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8" t="e">
        <f t="shared" si="122"/>
        <v>#N/A</v>
      </c>
      <c r="CY162" s="58" t="e">
        <f ca="1">AVERAGE(OFFSET($CX$3,0,0,'Données projet'!$E$13+1,1))-AVERAGE(OFFSET($H$3,0,0,'Données projet'!$E$13+1,1))</f>
        <v>#N/A</v>
      </c>
      <c r="CZ162" s="58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8" t="e">
        <f t="shared" si="125"/>
        <v>#N/A</v>
      </c>
      <c r="DT162" s="58" t="e">
        <f ca="1">AVERAGE(OFFSET($DS$3,0,0,'Données projet'!$E$14+1,1))-AVERAGE(OFFSET($H$3,0,0,'Données projet'!$E$14+1,1))</f>
        <v>#N/A</v>
      </c>
      <c r="DU162" s="58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8" t="e">
        <f t="shared" si="128"/>
        <v>#N/A</v>
      </c>
      <c r="EO162" s="58" t="e">
        <f ca="1">AVERAGE(OFFSET($EN$3,0,0,'Données projet'!$E$15+1,1))-AVERAGE(OFFSET($H$3,0,0,'Données projet'!$E$15+1,1))</f>
        <v>#N/A</v>
      </c>
      <c r="EP162" s="58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8" t="e">
        <f t="shared" si="131"/>
        <v>#N/A</v>
      </c>
      <c r="FJ162" s="58" t="e">
        <f ca="1">AVERAGE(OFFSET($FI$3,0,0,'Données projet'!$E$16+1,1))-AVERAGE(OFFSET($H$3,0,0,'Données projet'!$E$16+1,1))</f>
        <v>#N/A</v>
      </c>
      <c r="FK162" s="58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8" t="e">
        <f t="shared" si="134"/>
        <v>#N/A</v>
      </c>
      <c r="GE162" s="58" t="e">
        <f ca="1">AVERAGE(OFFSET($GD$3,0,0,'Données projet'!$E$17+1,1))-AVERAGE(OFFSET($H$3,0,0,'Données projet'!$E$17+1,1))</f>
        <v>#N/A</v>
      </c>
      <c r="GF162" s="58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69.381163951822074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8" t="e">
        <f t="shared" si="137"/>
        <v>#N/A</v>
      </c>
      <c r="GZ162" s="58" t="e">
        <f ca="1">AVERAGE(OFFSET($GY$3,0,0,'Données projet'!$E$18+1,1))-AVERAGE(OFFSET($H$3,0,0,'Données projet'!$E$18+1,1))</f>
        <v>#N/A</v>
      </c>
      <c r="HA162" s="58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2">
        <f>'Scénario référence'!$B$16*5+'Scénario référence'!$B$17*0+'Scénario référence'!$B$18*5</f>
        <v>2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7.333333333333333</v>
      </c>
      <c r="H163" s="66">
        <f t="shared" si="110"/>
        <v>227.33333333333334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9.4880000000000049</v>
      </c>
      <c r="N163" s="13">
        <f>IF('Données projet'!$A$36&gt;35,N162+M163-V162,IF(A163&lt;'Données projet'!$A$36,$K$205^A163,IF(A163='Données projet'!$A$36,'Données projet'!$B$36,N162+M163-V162)))</f>
        <v>542.36800000000119</v>
      </c>
      <c r="O163" s="13">
        <f>N163*VLOOKUP('Données projet'!$B$9,Paramètres!$A$1:$I$89,3,0)*VLOOKUP('Données projet'!$B$9,Paramètres!$A$1:$I$89,5,0)</f>
        <v>490.73456640000109</v>
      </c>
      <c r="P163" s="13">
        <f t="shared" si="141"/>
        <v>109.94719771775897</v>
      </c>
      <c r="Q163" s="20">
        <f t="shared" si="162"/>
        <v>1046.1874058384321</v>
      </c>
      <c r="R163" s="58">
        <f t="shared" si="109"/>
        <v>1337.2910368755074</v>
      </c>
      <c r="S163" s="58">
        <f ca="1">AVERAGE(OFFSET($R$3,0,0,'Données projet'!$E$9+1,1))-AVERAGE(OFFSET($H$3,0,0,'Données projet'!$E$9+1,1))</f>
        <v>654.0179680178212</v>
      </c>
      <c r="T163" s="58">
        <f t="shared" si="142"/>
        <v>289.42065570013369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48.077046392201581</v>
      </c>
      <c r="AA163" s="21">
        <f>EXP(-LN(2)/25)*AA162+(1-EXP(-LN(2)/25))/(LN(2)/25)*Calculateur!V163*Calculateur!X163*VLOOKUP('Données projet'!$B$9,Paramètres!$A$1:$I$89,3,0)*0.475*44/12</f>
        <v>19.386507375884602</v>
      </c>
      <c r="AB163" s="21">
        <f>EXP(-LN(2)/2)*AB162+(1-EXP(-LN(2)/2))/(LN(2)/2)*V163*Y163*VLOOKUP('Données projet'!$B$9,Paramètres!$A$1:$I$89,3,0)*0.475*44/12</f>
        <v>1.9477769231890232E-5</v>
      </c>
      <c r="AC163" s="22">
        <f t="shared" si="163"/>
        <v>67.463573245855414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8">
        <f t="shared" si="113"/>
        <v>291.10363103708215</v>
      </c>
      <c r="AN163" s="58">
        <f ca="1">AVERAGE(OFFSET($AM$3,0,0,'Données projet'!$E$10+1,1))-AVERAGE(OFFSET($H$3,0,0,'Données projet'!$E$10+1,1))</f>
        <v>447.44638185108147</v>
      </c>
      <c r="AO163" s="58">
        <f t="shared" si="144"/>
        <v>384.84260115068605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36.383038100887255</v>
      </c>
      <c r="AV163" s="21">
        <f>EXP(-LN(2)/25)*AV162+(1-EXP(-LN(2)/25))/(LN(2)/25)*Calculateur!AQ163*Calculateur!AS163*VLOOKUP('Données projet'!$B$10,Paramètres!$A$1:$I$89,3,0)*0.475*44/12</f>
        <v>6.3282456301642886</v>
      </c>
      <c r="AW163" s="21">
        <f>EXP(-LN(2)/2)*AW162+(1-EXP(-LN(2)/2))/(LN(2)/2)*AQ163*AT163*VLOOKUP('Données projet'!$B$10,Paramètres!$A$1:$I$89,3,0)*0.475*44/12</f>
        <v>2.0765683146572675E-11</v>
      </c>
      <c r="AX163" s="21">
        <f t="shared" si="166"/>
        <v>42.711283731072314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549.96115200000122</v>
      </c>
      <c r="BF163" s="13">
        <f t="shared" si="167"/>
        <v>121.59324017964097</v>
      </c>
      <c r="BG163" s="20">
        <f t="shared" si="168"/>
        <v>1169.6238997128767</v>
      </c>
      <c r="BH163" s="58">
        <f t="shared" si="116"/>
        <v>1460.7275307499519</v>
      </c>
      <c r="BI163" s="58">
        <f ca="1">AVERAGE(OFFSET($BH$3,0,0,'Données projet'!$E$11+1,1))-AVERAGE(OFFSET($H$3,0,0,'Données projet'!$E$11+1,1))</f>
        <v>724.99760740673071</v>
      </c>
      <c r="BJ163" s="58">
        <f t="shared" si="146"/>
        <v>318.24184272438208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53.879448542984555</v>
      </c>
      <c r="BQ163" s="21">
        <f>EXP(-LN(2)/25)*BQ162+(1-EXP(-LN(2)/25))/(LN(2)/25)*Calculateur!BL163*Calculateur!BN163*VLOOKUP('Données projet'!$B$11,Paramètres!$A$1:$I$89,3,0)*0.475*44/12</f>
        <v>21.726258266077579</v>
      </c>
      <c r="BR163" s="21">
        <f>EXP(-LN(2)/2)*BR162+(1-EXP(-LN(2)/2))/(LN(2)/2)*BL163*BO163*VLOOKUP('Données projet'!$B$11,Paramètres!$A$1:$I$89,3,0)*0.475*44/12</f>
        <v>2.18285344840149E-5</v>
      </c>
      <c r="BS163" s="22">
        <f t="shared" si="169"/>
        <v>75.605728637596613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9.4880000000000049</v>
      </c>
      <c r="BY163" s="12">
        <f>IF('Données projet'!$A$114&gt;35,BY162+BX163-CG162,IF(A163&lt;'Données projet'!$A$114,$BV$205^A163,IF(A163='Données projet'!$A$114,'Données projet'!$B$114,BY162+BX163-CG162)))</f>
        <v>542.36800000000119</v>
      </c>
      <c r="BZ163" s="13">
        <f>BY163*VLOOKUP('Données projet'!$B$12,Paramètres!$A$1:$I$89,3,0)*VLOOKUP('Données projet'!$B$12,Paramètres!$A$1:$I$89,5,0)</f>
        <v>516.11738880000109</v>
      </c>
      <c r="CA163" s="13">
        <f t="shared" si="170"/>
        <v>114.95732034718567</v>
      </c>
      <c r="CB163" s="20">
        <f t="shared" si="171"/>
        <v>1099.121785098017</v>
      </c>
      <c r="CC163" s="58">
        <f t="shared" si="119"/>
        <v>1390.2254161350922</v>
      </c>
      <c r="CD163" s="58">
        <f ca="1">AVERAGE(OFFSET($CC$3,0,0,'Données projet'!$E$12+1,1))-AVERAGE(OFFSET($H$3,0,0,'Données projet'!$E$12+1,1))</f>
        <v>684.45757350513315</v>
      </c>
      <c r="CE163" s="58">
        <f t="shared" si="148"/>
        <v>301.78148341369194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50.563790171108572</v>
      </c>
      <c r="CL163" s="21">
        <f>EXP(-LN(2)/25)*CL162+(1-EXP(-LN(2)/25))/(LN(2)/25)*Calculateur!CG163*Calculateur!CI163*VLOOKUP('Données projet'!$B$12,Paramètres!$A$1:$I$89,3,0)*0.475*44/12</f>
        <v>20.389257757395868</v>
      </c>
      <c r="CM163" s="21">
        <f>EXP(-LN(2)/2)*CM162+(1-EXP(-LN(2)/2))/(LN(2)/2)*CG163*CJ163*VLOOKUP('Données projet'!$B$12,Paramètres!$A$1:$I$89,3,0)*0.475*44/12</f>
        <v>2.0485240054229429E-5</v>
      </c>
      <c r="CN163" s="22">
        <f t="shared" si="172"/>
        <v>70.953068413744504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8" t="e">
        <f t="shared" si="122"/>
        <v>#N/A</v>
      </c>
      <c r="CY163" s="58" t="e">
        <f ca="1">AVERAGE(OFFSET($CX$3,0,0,'Données projet'!$E$13+1,1))-AVERAGE(OFFSET($H$3,0,0,'Données projet'!$E$13+1,1))</f>
        <v>#N/A</v>
      </c>
      <c r="CZ163" s="58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8" t="e">
        <f t="shared" si="125"/>
        <v>#N/A</v>
      </c>
      <c r="DT163" s="58" t="e">
        <f ca="1">AVERAGE(OFFSET($DS$3,0,0,'Données projet'!$E$14+1,1))-AVERAGE(OFFSET($H$3,0,0,'Données projet'!$E$14+1,1))</f>
        <v>#N/A</v>
      </c>
      <c r="DU163" s="58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8" t="e">
        <f t="shared" si="128"/>
        <v>#N/A</v>
      </c>
      <c r="EO163" s="58" t="e">
        <f ca="1">AVERAGE(OFFSET($EN$3,0,0,'Données projet'!$E$15+1,1))-AVERAGE(OFFSET($H$3,0,0,'Données projet'!$E$15+1,1))</f>
        <v>#N/A</v>
      </c>
      <c r="EP163" s="58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8" t="e">
        <f t="shared" si="131"/>
        <v>#N/A</v>
      </c>
      <c r="FJ163" s="58" t="e">
        <f ca="1">AVERAGE(OFFSET($FI$3,0,0,'Données projet'!$E$16+1,1))-AVERAGE(OFFSET($H$3,0,0,'Données projet'!$E$16+1,1))</f>
        <v>#N/A</v>
      </c>
      <c r="FK163" s="58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8" t="e">
        <f t="shared" si="134"/>
        <v>#N/A</v>
      </c>
      <c r="GE163" s="58" t="e">
        <f ca="1">AVERAGE(OFFSET($GD$3,0,0,'Données projet'!$E$17+1,1))-AVERAGE(OFFSET($H$3,0,0,'Données projet'!$E$17+1,1))</f>
        <v>#N/A</v>
      </c>
      <c r="GF163" s="58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69.391899373747819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8" t="e">
        <f t="shared" si="137"/>
        <v>#N/A</v>
      </c>
      <c r="GZ163" s="58" t="e">
        <f ca="1">AVERAGE(OFFSET($GY$3,0,0,'Données projet'!$E$18+1,1))-AVERAGE(OFFSET($H$3,0,0,'Données projet'!$E$18+1,1))</f>
        <v>#N/A</v>
      </c>
      <c r="HA163" s="58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2">
        <f>'Scénario référence'!$B$16*5+'Scénario référence'!$B$17*0+'Scénario référence'!$B$18*5</f>
        <v>2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7.333333333333333</v>
      </c>
      <c r="H164" s="66">
        <f t="shared" si="110"/>
        <v>227.33333333333334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9.4880000000000049</v>
      </c>
      <c r="N164" s="13">
        <f>IF('Données projet'!$A$36&gt;35,N163+M164-V163,IF(A164&lt;'Données projet'!$A$36,$K$205^A164,IF(A164='Données projet'!$A$36,'Données projet'!$B$36,N163+M164-V163)))</f>
        <v>551.85600000000125</v>
      </c>
      <c r="O164" s="13">
        <f>N164*VLOOKUP('Données projet'!$B$9,Paramètres!$A$1:$I$89,3,0)*VLOOKUP('Données projet'!$B$9,Paramètres!$A$1:$I$89,5,0)</f>
        <v>499.31930880000107</v>
      </c>
      <c r="P164" s="13">
        <f t="shared" si="141"/>
        <v>111.64497591125094</v>
      </c>
      <c r="Q164" s="20">
        <f t="shared" si="162"/>
        <v>1064.0961292054305</v>
      </c>
      <c r="R164" s="58">
        <f t="shared" si="109"/>
        <v>1355.2384405924784</v>
      </c>
      <c r="S164" s="58">
        <f ca="1">AVERAGE(OFFSET($R$3,0,0,'Données projet'!$E$9+1,1))-AVERAGE(OFFSET($H$3,0,0,'Données projet'!$E$9+1,1))</f>
        <v>654.0179680178212</v>
      </c>
      <c r="T164" s="58">
        <f t="shared" si="142"/>
        <v>289.42065570013369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47.134284836553292</v>
      </c>
      <c r="AA164" s="21">
        <f>EXP(-LN(2)/25)*AA163+(1-EXP(-LN(2)/25))/(LN(2)/25)*Calculateur!V164*Calculateur!X164*VLOOKUP('Données projet'!$B$9,Paramètres!$A$1:$I$89,3,0)*0.475*44/12</f>
        <v>18.856382312198924</v>
      </c>
      <c r="AB164" s="21">
        <f>EXP(-LN(2)/2)*AB163+(1-EXP(-LN(2)/2))/(LN(2)/2)*V164*Y164*VLOOKUP('Données projet'!$B$9,Paramètres!$A$1:$I$89,3,0)*0.475*44/12</f>
        <v>1.3772862706256274E-5</v>
      </c>
      <c r="AC164" s="22">
        <f t="shared" si="163"/>
        <v>65.99068092161491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8">
        <f t="shared" si="113"/>
        <v>291.14231138705469</v>
      </c>
      <c r="AN164" s="58">
        <f ca="1">AVERAGE(OFFSET($AM$3,0,0,'Données projet'!$E$10+1,1))-AVERAGE(OFFSET($H$3,0,0,'Données projet'!$E$10+1,1))</f>
        <v>447.44638185108147</v>
      </c>
      <c r="AO164" s="58">
        <f t="shared" si="144"/>
        <v>384.84260115068605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35.669588915190872</v>
      </c>
      <c r="AV164" s="21">
        <f>EXP(-LN(2)/25)*AV163+(1-EXP(-LN(2)/25))/(LN(2)/25)*Calculateur!AQ164*Calculateur!AS164*VLOOKUP('Données projet'!$B$10,Paramètres!$A$1:$I$89,3,0)*0.475*44/12</f>
        <v>6.1551994206194722</v>
      </c>
      <c r="AW164" s="21">
        <f>EXP(-LN(2)/2)*AW163+(1-EXP(-LN(2)/2))/(LN(2)/2)*AQ164*AT164*VLOOKUP('Données projet'!$B$10,Paramètres!$A$1:$I$89,3,0)*0.475*44/12</f>
        <v>1.4683555368912742E-11</v>
      </c>
      <c r="AX164" s="21">
        <f t="shared" si="166"/>
        <v>41.824788335825033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559.58198400000128</v>
      </c>
      <c r="BF164" s="13">
        <f t="shared" si="167"/>
        <v>123.47085376087081</v>
      </c>
      <c r="BG164" s="20">
        <f t="shared" si="168"/>
        <v>1189.6503591001856</v>
      </c>
      <c r="BH164" s="58">
        <f t="shared" si="116"/>
        <v>1480.7926704872334</v>
      </c>
      <c r="BI164" s="58">
        <f ca="1">AVERAGE(OFFSET($BH$3,0,0,'Données projet'!$E$11+1,1))-AVERAGE(OFFSET($H$3,0,0,'Données projet'!$E$11+1,1))</f>
        <v>724.99760740673071</v>
      </c>
      <c r="BJ164" s="58">
        <f t="shared" si="146"/>
        <v>318.24184272438208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52.822905420275269</v>
      </c>
      <c r="BQ164" s="21">
        <f>EXP(-LN(2)/25)*BQ163+(1-EXP(-LN(2)/25))/(LN(2)/25)*Calculateur!BL164*Calculateur!BN164*VLOOKUP('Données projet'!$B$11,Paramètres!$A$1:$I$89,3,0)*0.475*44/12</f>
        <v>21.132152591257423</v>
      </c>
      <c r="BR164" s="21">
        <f>EXP(-LN(2)/2)*BR163+(1-EXP(-LN(2)/2))/(LN(2)/2)*BL164*BO164*VLOOKUP('Données projet'!$B$11,Paramètres!$A$1:$I$89,3,0)*0.475*44/12</f>
        <v>1.5435104757011331E-5</v>
      </c>
      <c r="BS164" s="22">
        <f t="shared" si="169"/>
        <v>73.955073446637442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9.4880000000000049</v>
      </c>
      <c r="BY164" s="12">
        <f>IF('Données projet'!$A$114&gt;35,BY163+BX164-CG163,IF(A164&lt;'Données projet'!$A$114,$BV$205^A164,IF(A164='Données projet'!$A$114,'Données projet'!$B$114,BY163+BX164-CG163)))</f>
        <v>551.85600000000125</v>
      </c>
      <c r="BZ164" s="13">
        <f>BY164*VLOOKUP('Données projet'!$B$12,Paramètres!$A$1:$I$89,3,0)*VLOOKUP('Données projet'!$B$12,Paramètres!$A$1:$I$89,5,0)</f>
        <v>525.14616960000114</v>
      </c>
      <c r="CA164" s="13">
        <f t="shared" si="170"/>
        <v>116.73246364978037</v>
      </c>
      <c r="CB164" s="20">
        <f t="shared" si="171"/>
        <v>1117.9386195767026</v>
      </c>
      <c r="CC164" s="58">
        <f t="shared" si="119"/>
        <v>1409.0809309637505</v>
      </c>
      <c r="CD164" s="58">
        <f ca="1">AVERAGE(OFFSET($CC$3,0,0,'Données projet'!$E$12+1,1))-AVERAGE(OFFSET($H$3,0,0,'Données projet'!$E$12+1,1))</f>
        <v>684.45757350513315</v>
      </c>
      <c r="CE164" s="58">
        <f t="shared" si="148"/>
        <v>301.78148341369194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49.572265086719852</v>
      </c>
      <c r="CL164" s="21">
        <f>EXP(-LN(2)/25)*CL163+(1-EXP(-LN(2)/25))/(LN(2)/25)*Calculateur!CG164*Calculateur!CI164*VLOOKUP('Données projet'!$B$12,Paramètres!$A$1:$I$89,3,0)*0.475*44/12</f>
        <v>19.831712431795413</v>
      </c>
      <c r="CM164" s="21">
        <f>EXP(-LN(2)/2)*CM163+(1-EXP(-LN(2)/2))/(LN(2)/2)*CG164*CJ164*VLOOKUP('Données projet'!$B$12,Paramètres!$A$1:$I$89,3,0)*0.475*44/12</f>
        <v>1.4485252156579909E-5</v>
      </c>
      <c r="CN164" s="22">
        <f t="shared" si="172"/>
        <v>69.403992003767414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8" t="e">
        <f t="shared" si="122"/>
        <v>#N/A</v>
      </c>
      <c r="CY164" s="58" t="e">
        <f ca="1">AVERAGE(OFFSET($CX$3,0,0,'Données projet'!$E$13+1,1))-AVERAGE(OFFSET($H$3,0,0,'Données projet'!$E$13+1,1))</f>
        <v>#N/A</v>
      </c>
      <c r="CZ164" s="58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8" t="e">
        <f t="shared" si="125"/>
        <v>#N/A</v>
      </c>
      <c r="DT164" s="58" t="e">
        <f ca="1">AVERAGE(OFFSET($DS$3,0,0,'Données projet'!$E$14+1,1))-AVERAGE(OFFSET($H$3,0,0,'Données projet'!$E$14+1,1))</f>
        <v>#N/A</v>
      </c>
      <c r="DU164" s="58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8" t="e">
        <f t="shared" si="128"/>
        <v>#N/A</v>
      </c>
      <c r="EO164" s="58" t="e">
        <f ca="1">AVERAGE(OFFSET($EN$3,0,0,'Données projet'!$E$15+1,1))-AVERAGE(OFFSET($H$3,0,0,'Données projet'!$E$15+1,1))</f>
        <v>#N/A</v>
      </c>
      <c r="EP164" s="58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8" t="e">
        <f t="shared" si="131"/>
        <v>#N/A</v>
      </c>
      <c r="FJ164" s="58" t="e">
        <f ca="1">AVERAGE(OFFSET($FI$3,0,0,'Données projet'!$E$16+1,1))-AVERAGE(OFFSET($H$3,0,0,'Données projet'!$E$16+1,1))</f>
        <v>#N/A</v>
      </c>
      <c r="FK164" s="58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8" t="e">
        <f t="shared" si="134"/>
        <v>#N/A</v>
      </c>
      <c r="GE164" s="58" t="e">
        <f ca="1">AVERAGE(OFFSET($GD$3,0,0,'Données projet'!$E$17+1,1))-AVERAGE(OFFSET($H$3,0,0,'Données projet'!$E$17+1,1))</f>
        <v>#N/A</v>
      </c>
      <c r="GF164" s="58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69.402448560103963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8" t="e">
        <f t="shared" si="137"/>
        <v>#N/A</v>
      </c>
      <c r="GZ164" s="58" t="e">
        <f ca="1">AVERAGE(OFFSET($GY$3,0,0,'Données projet'!$E$18+1,1))-AVERAGE(OFFSET($H$3,0,0,'Données projet'!$E$18+1,1))</f>
        <v>#N/A</v>
      </c>
      <c r="HA164" s="58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2">
        <f>'Scénario référence'!$B$16*5+'Scénario référence'!$B$17*0+'Scénario référence'!$B$18*5</f>
        <v>2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7.333333333333333</v>
      </c>
      <c r="H165" s="66">
        <f t="shared" si="110"/>
        <v>227.33333333333334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9.4880000000000049</v>
      </c>
      <c r="N165" s="13">
        <f>IF('Données projet'!$A$36&gt;35,N164+M165-V164,IF(A165&lt;'Données projet'!$A$36,$K$205^A165,IF(A165='Données projet'!$A$36,'Données projet'!$B$36,N164+M165-V164)))</f>
        <v>561.3440000000013</v>
      </c>
      <c r="O165" s="13">
        <f>N165*VLOOKUP('Données projet'!$B$9,Paramètres!$A$1:$I$89,3,0)*VLOOKUP('Données projet'!$B$9,Paramètres!$A$1:$I$89,5,0)</f>
        <v>507.90405120000116</v>
      </c>
      <c r="P165" s="13">
        <f t="shared" si="141"/>
        <v>113.33935964263163</v>
      </c>
      <c r="Q165" s="20">
        <f t="shared" si="162"/>
        <v>1081.9989405509189</v>
      </c>
      <c r="R165" s="58">
        <f t="shared" si="109"/>
        <v>1373.1792612703434</v>
      </c>
      <c r="S165" s="58">
        <f ca="1">AVERAGE(OFFSET($R$3,0,0,'Données projet'!$E$9+1,1))-AVERAGE(OFFSET($H$3,0,0,'Données projet'!$E$9+1,1))</f>
        <v>654.0179680178212</v>
      </c>
      <c r="T165" s="58">
        <f t="shared" si="142"/>
        <v>289.42065570013369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46.210010259983498</v>
      </c>
      <c r="AA165" s="21">
        <f>EXP(-LN(2)/25)*AA164+(1-EXP(-LN(2)/25))/(LN(2)/25)*Calculateur!V165*Calculateur!X165*VLOOKUP('Données projet'!$B$9,Paramètres!$A$1:$I$89,3,0)*0.475*44/12</f>
        <v>18.340753546257798</v>
      </c>
      <c r="AB165" s="21">
        <f>EXP(-LN(2)/2)*AB164+(1-EXP(-LN(2)/2))/(LN(2)/2)*V165*Y165*VLOOKUP('Données projet'!$B$9,Paramètres!$A$1:$I$89,3,0)*0.475*44/12</f>
        <v>9.7388846159451158E-6</v>
      </c>
      <c r="AC165" s="22">
        <f t="shared" si="163"/>
        <v>64.550773545125907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8">
        <f t="shared" si="113"/>
        <v>291.18032071943151</v>
      </c>
      <c r="AN165" s="58">
        <f ca="1">AVERAGE(OFFSET($AM$3,0,0,'Données projet'!$E$10+1,1))-AVERAGE(OFFSET($H$3,0,0,'Données projet'!$E$10+1,1))</f>
        <v>447.44638185108147</v>
      </c>
      <c r="AO165" s="58">
        <f t="shared" si="144"/>
        <v>384.84260115068605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34.970130032864958</v>
      </c>
      <c r="AV165" s="21">
        <f>EXP(-LN(2)/25)*AV164+(1-EXP(-LN(2)/25))/(LN(2)/25)*Calculateur!AQ165*Calculateur!AS165*VLOOKUP('Données projet'!$B$10,Paramètres!$A$1:$I$89,3,0)*0.475*44/12</f>
        <v>5.9868851687747631</v>
      </c>
      <c r="AW165" s="21">
        <f>EXP(-LN(2)/2)*AW164+(1-EXP(-LN(2)/2))/(LN(2)/2)*AQ165*AT165*VLOOKUP('Données projet'!$B$10,Paramètres!$A$1:$I$89,3,0)*0.475*44/12</f>
        <v>1.0382841573286337E-11</v>
      </c>
      <c r="AX165" s="21">
        <f t="shared" si="166"/>
        <v>40.957015201650101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569.20281600000135</v>
      </c>
      <c r="BF165" s="13">
        <f t="shared" si="167"/>
        <v>125.34471332512402</v>
      </c>
      <c r="BG165" s="20">
        <f t="shared" si="168"/>
        <v>1209.6702802412601</v>
      </c>
      <c r="BH165" s="58">
        <f t="shared" si="116"/>
        <v>1500.8506009606849</v>
      </c>
      <c r="BI165" s="58">
        <f ca="1">AVERAGE(OFFSET($BH$3,0,0,'Données projet'!$E$11+1,1))-AVERAGE(OFFSET($H$3,0,0,'Données projet'!$E$11+1,1))</f>
        <v>724.99760740673071</v>
      </c>
      <c r="BJ165" s="58">
        <f t="shared" si="146"/>
        <v>318.24184272438208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51.787080463774636</v>
      </c>
      <c r="BQ165" s="21">
        <f>EXP(-LN(2)/25)*BQ164+(1-EXP(-LN(2)/25))/(LN(2)/25)*Calculateur!BL165*Calculateur!BN165*VLOOKUP('Données projet'!$B$11,Paramètres!$A$1:$I$89,3,0)*0.475*44/12</f>
        <v>20.554292767357882</v>
      </c>
      <c r="BR165" s="21">
        <f>EXP(-LN(2)/2)*BR164+(1-EXP(-LN(2)/2))/(LN(2)/2)*BL165*BO165*VLOOKUP('Données projet'!$B$11,Paramètres!$A$1:$I$89,3,0)*0.475*44/12</f>
        <v>1.091426724200745E-5</v>
      </c>
      <c r="BS165" s="22">
        <f t="shared" si="169"/>
        <v>72.341384145399758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9.4880000000000049</v>
      </c>
      <c r="BY165" s="12">
        <f>IF('Données projet'!$A$114&gt;35,BY164+BX165-CG164,IF(A165&lt;'Données projet'!$A$114,$BV$205^A165,IF(A165='Données projet'!$A$114,'Données projet'!$B$114,BY164+BX165-CG164)))</f>
        <v>561.3440000000013</v>
      </c>
      <c r="BZ165" s="13">
        <f>BY165*VLOOKUP('Données projet'!$B$12,Paramètres!$A$1:$I$89,3,0)*VLOOKUP('Données projet'!$B$12,Paramètres!$A$1:$I$89,5,0)</f>
        <v>534.17495040000119</v>
      </c>
      <c r="CA165" s="13">
        <f t="shared" si="170"/>
        <v>118.50405780990992</v>
      </c>
      <c r="CB165" s="20">
        <f t="shared" si="171"/>
        <v>1136.7492726322619</v>
      </c>
      <c r="CC165" s="58">
        <f t="shared" si="119"/>
        <v>1427.9295933516864</v>
      </c>
      <c r="CD165" s="58">
        <f ca="1">AVERAGE(OFFSET($CC$3,0,0,'Données projet'!$E$12+1,1))-AVERAGE(OFFSET($H$3,0,0,'Données projet'!$E$12+1,1))</f>
        <v>684.45757350513315</v>
      </c>
      <c r="CE165" s="58">
        <f t="shared" si="148"/>
        <v>301.78148341369194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48.600183204465409</v>
      </c>
      <c r="CL165" s="21">
        <f>EXP(-LN(2)/25)*CL164+(1-EXP(-LN(2)/25))/(LN(2)/25)*Calculateur!CG165*Calculateur!CI165*VLOOKUP('Données projet'!$B$12,Paramètres!$A$1:$I$89,3,0)*0.475*44/12</f>
        <v>19.289413212443538</v>
      </c>
      <c r="CM165" s="21">
        <f>EXP(-LN(2)/2)*CM164+(1-EXP(-LN(2)/2))/(LN(2)/2)*CG165*CJ165*VLOOKUP('Données projet'!$B$12,Paramètres!$A$1:$I$89,3,0)*0.475*44/12</f>
        <v>1.0242620027114716E-5</v>
      </c>
      <c r="CN165" s="22">
        <f t="shared" si="172"/>
        <v>67.889606659528965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8" t="e">
        <f t="shared" si="122"/>
        <v>#N/A</v>
      </c>
      <c r="CY165" s="58" t="e">
        <f ca="1">AVERAGE(OFFSET($CX$3,0,0,'Données projet'!$E$13+1,1))-AVERAGE(OFFSET($H$3,0,0,'Données projet'!$E$13+1,1))</f>
        <v>#N/A</v>
      </c>
      <c r="CZ165" s="58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8" t="e">
        <f t="shared" si="125"/>
        <v>#N/A</v>
      </c>
      <c r="DT165" s="58" t="e">
        <f ca="1">AVERAGE(OFFSET($DS$3,0,0,'Données projet'!$E$14+1,1))-AVERAGE(OFFSET($H$3,0,0,'Données projet'!$E$14+1,1))</f>
        <v>#N/A</v>
      </c>
      <c r="DU165" s="58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8" t="e">
        <f t="shared" si="128"/>
        <v>#N/A</v>
      </c>
      <c r="EO165" s="58" t="e">
        <f ca="1">AVERAGE(OFFSET($EN$3,0,0,'Données projet'!$E$15+1,1))-AVERAGE(OFFSET($H$3,0,0,'Données projet'!$E$15+1,1))</f>
        <v>#N/A</v>
      </c>
      <c r="EP165" s="58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8" t="e">
        <f t="shared" si="131"/>
        <v>#N/A</v>
      </c>
      <c r="FJ165" s="58" t="e">
        <f ca="1">AVERAGE(OFFSET($FI$3,0,0,'Données projet'!$E$16+1,1))-AVERAGE(OFFSET($H$3,0,0,'Données projet'!$E$16+1,1))</f>
        <v>#N/A</v>
      </c>
      <c r="FK165" s="58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8" t="e">
        <f t="shared" si="134"/>
        <v>#N/A</v>
      </c>
      <c r="GE165" s="58" t="e">
        <f ca="1">AVERAGE(OFFSET($GD$3,0,0,'Données projet'!$E$17+1,1))-AVERAGE(OFFSET($H$3,0,0,'Données projet'!$E$17+1,1))</f>
        <v>#N/A</v>
      </c>
      <c r="GF165" s="58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69.412814741661279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8" t="e">
        <f t="shared" si="137"/>
        <v>#N/A</v>
      </c>
      <c r="GZ165" s="58" t="e">
        <f ca="1">AVERAGE(OFFSET($GY$3,0,0,'Données projet'!$E$18+1,1))-AVERAGE(OFFSET($H$3,0,0,'Données projet'!$E$18+1,1))</f>
        <v>#N/A</v>
      </c>
      <c r="HA165" s="58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2">
        <f>'Scénario référence'!$B$16*5+'Scénario référence'!$B$17*0+'Scénario référence'!$B$18*5</f>
        <v>2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7.333333333333333</v>
      </c>
      <c r="H166" s="66">
        <f t="shared" si="110"/>
        <v>227.33333333333334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9.4880000000000049</v>
      </c>
      <c r="N166" s="13">
        <f>IF('Données projet'!$A$36&gt;35,N165+M166-V165,IF(A166&lt;'Données projet'!$A$36,$K$205^A166,IF(A166='Données projet'!$A$36,'Données projet'!$B$36,N165+M166-V165)))</f>
        <v>570.83200000000136</v>
      </c>
      <c r="O166" s="13">
        <f>N166*VLOOKUP('Données projet'!$B$9,Paramètres!$A$1:$I$89,3,0)*VLOOKUP('Données projet'!$B$9,Paramètres!$A$1:$I$89,5,0)</f>
        <v>516.48879360000115</v>
      </c>
      <c r="P166" s="13">
        <f t="shared" si="141"/>
        <v>115.03041290761819</v>
      </c>
      <c r="Q166" s="20">
        <f t="shared" si="162"/>
        <v>1099.8959513341035</v>
      </c>
      <c r="R166" s="58">
        <f t="shared" si="109"/>
        <v>1391.1136220089645</v>
      </c>
      <c r="S166" s="58">
        <f ca="1">AVERAGE(OFFSET($R$3,0,0,'Données projet'!$E$9+1,1))-AVERAGE(OFFSET($H$3,0,0,'Données projet'!$E$9+1,1))</f>
        <v>654.0179680178212</v>
      </c>
      <c r="T166" s="58">
        <f t="shared" si="142"/>
        <v>289.42065570013369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45.303860144108413</v>
      </c>
      <c r="AA166" s="21">
        <f>EXP(-LN(2)/25)*AA165+(1-EXP(-LN(2)/25))/(LN(2)/25)*Calculateur!V166*Calculateur!X166*VLOOKUP('Données projet'!$B$9,Paramètres!$A$1:$I$89,3,0)*0.475*44/12</f>
        <v>17.839224676037066</v>
      </c>
      <c r="AB166" s="21">
        <f>EXP(-LN(2)/2)*AB165+(1-EXP(-LN(2)/2))/(LN(2)/2)*V166*Y166*VLOOKUP('Données projet'!$B$9,Paramètres!$A$1:$I$89,3,0)*0.475*44/12</f>
        <v>6.886431353128137E-6</v>
      </c>
      <c r="AC166" s="22">
        <f t="shared" si="163"/>
        <v>63.143091706576826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8">
        <f t="shared" si="113"/>
        <v>291.21767067486775</v>
      </c>
      <c r="AN166" s="58">
        <f ca="1">AVERAGE(OFFSET($AM$3,0,0,'Données projet'!$E$10+1,1))-AVERAGE(OFFSET($H$3,0,0,'Données projet'!$E$10+1,1))</f>
        <v>447.44638185108147</v>
      </c>
      <c r="AO166" s="58">
        <f t="shared" si="144"/>
        <v>384.84260115068605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34.284387112593663</v>
      </c>
      <c r="AV166" s="21">
        <f>EXP(-LN(2)/25)*AV165+(1-EXP(-LN(2)/25))/(LN(2)/25)*Calculateur!AQ166*Calculateur!AS166*VLOOKUP('Données projet'!$B$10,Paramètres!$A$1:$I$89,3,0)*0.475*44/12</f>
        <v>5.823173478998009</v>
      </c>
      <c r="AW166" s="21">
        <f>EXP(-LN(2)/2)*AW165+(1-EXP(-LN(2)/2))/(LN(2)/2)*AQ166*AT166*VLOOKUP('Données projet'!$B$10,Paramètres!$A$1:$I$89,3,0)*0.475*44/12</f>
        <v>7.3417776844563709E-12</v>
      </c>
      <c r="AX166" s="21">
        <f t="shared" si="166"/>
        <v>40.107560591599011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578.82364800000141</v>
      </c>
      <c r="BF166" s="13">
        <f t="shared" si="167"/>
        <v>127.21488964679713</v>
      </c>
      <c r="BG166" s="20">
        <f t="shared" si="168"/>
        <v>1229.6837864015072</v>
      </c>
      <c r="BH166" s="58">
        <f t="shared" si="116"/>
        <v>1520.9014570763682</v>
      </c>
      <c r="BI166" s="58">
        <f ca="1">AVERAGE(OFFSET($BH$3,0,0,'Données projet'!$E$11+1,1))-AVERAGE(OFFSET($H$3,0,0,'Données projet'!$E$11+1,1))</f>
        <v>724.99760740673071</v>
      </c>
      <c r="BJ166" s="58">
        <f t="shared" si="146"/>
        <v>318.24184272438208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50.771567402880144</v>
      </c>
      <c r="BQ166" s="21">
        <f>EXP(-LN(2)/25)*BQ165+(1-EXP(-LN(2)/25))/(LN(2)/25)*Calculateur!BL166*Calculateur!BN166*VLOOKUP('Données projet'!$B$11,Paramètres!$A$1:$I$89,3,0)*0.475*44/12</f>
        <v>19.992234550731201</v>
      </c>
      <c r="BR166" s="21">
        <f>EXP(-LN(2)/2)*BR165+(1-EXP(-LN(2)/2))/(LN(2)/2)*BL166*BO166*VLOOKUP('Données projet'!$B$11,Paramètres!$A$1:$I$89,3,0)*0.475*44/12</f>
        <v>7.7175523785056654E-6</v>
      </c>
      <c r="BS166" s="22">
        <f t="shared" si="169"/>
        <v>70.763809671163727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9.4880000000000049</v>
      </c>
      <c r="BY166" s="12">
        <f>IF('Données projet'!$A$114&gt;35,BY165+BX166-CG165,IF(A166&lt;'Données projet'!$A$114,$BV$205^A166,IF(A166='Données projet'!$A$114,'Données projet'!$B$114,BY165+BX166-CG165)))</f>
        <v>570.83200000000136</v>
      </c>
      <c r="BZ166" s="13">
        <f>BY166*VLOOKUP('Données projet'!$B$12,Paramètres!$A$1:$I$89,3,0)*VLOOKUP('Données projet'!$B$12,Paramètres!$A$1:$I$89,5,0)</f>
        <v>543.20373120000136</v>
      </c>
      <c r="CA166" s="13">
        <f t="shared" si="170"/>
        <v>120.27216973947687</v>
      </c>
      <c r="CB166" s="20">
        <f t="shared" si="171"/>
        <v>1155.5538608029244</v>
      </c>
      <c r="CC166" s="58">
        <f t="shared" si="119"/>
        <v>1446.7715314777854</v>
      </c>
      <c r="CD166" s="58">
        <f ca="1">AVERAGE(OFFSET($CC$3,0,0,'Données projet'!$E$12+1,1))-AVERAGE(OFFSET($H$3,0,0,'Données projet'!$E$12+1,1))</f>
        <v>684.45757350513315</v>
      </c>
      <c r="CE166" s="58">
        <f t="shared" si="148"/>
        <v>301.78148341369194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47.647163255010575</v>
      </c>
      <c r="CL166" s="21">
        <f>EXP(-LN(2)/25)*CL165+(1-EXP(-LN(2)/25))/(LN(2)/25)*Calculateur!CG166*Calculateur!CI166*VLOOKUP('Données projet'!$B$12,Paramètres!$A$1:$I$89,3,0)*0.475*44/12</f>
        <v>18.761943193763116</v>
      </c>
      <c r="CM166" s="21">
        <f>EXP(-LN(2)/2)*CM165+(1-EXP(-LN(2)/2))/(LN(2)/2)*CG166*CJ166*VLOOKUP('Données projet'!$B$12,Paramètres!$A$1:$I$89,3,0)*0.475*44/12</f>
        <v>7.2426260782899553E-6</v>
      </c>
      <c r="CN166" s="22">
        <f t="shared" si="172"/>
        <v>66.409113691399767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8" t="e">
        <f t="shared" si="122"/>
        <v>#N/A</v>
      </c>
      <c r="CY166" s="58" t="e">
        <f ca="1">AVERAGE(OFFSET($CX$3,0,0,'Données projet'!$E$13+1,1))-AVERAGE(OFFSET($H$3,0,0,'Données projet'!$E$13+1,1))</f>
        <v>#N/A</v>
      </c>
      <c r="CZ166" s="58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8" t="e">
        <f t="shared" si="125"/>
        <v>#N/A</v>
      </c>
      <c r="DT166" s="58" t="e">
        <f ca="1">AVERAGE(OFFSET($DS$3,0,0,'Données projet'!$E$14+1,1))-AVERAGE(OFFSET($H$3,0,0,'Données projet'!$E$14+1,1))</f>
        <v>#N/A</v>
      </c>
      <c r="DU166" s="58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8" t="e">
        <f t="shared" si="128"/>
        <v>#N/A</v>
      </c>
      <c r="EO166" s="58" t="e">
        <f ca="1">AVERAGE(OFFSET($EN$3,0,0,'Données projet'!$E$15+1,1))-AVERAGE(OFFSET($H$3,0,0,'Données projet'!$E$15+1,1))</f>
        <v>#N/A</v>
      </c>
      <c r="EP166" s="58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8" t="e">
        <f t="shared" si="131"/>
        <v>#N/A</v>
      </c>
      <c r="FJ166" s="58" t="e">
        <f ca="1">AVERAGE(OFFSET($FI$3,0,0,'Données projet'!$E$16+1,1))-AVERAGE(OFFSET($H$3,0,0,'Données projet'!$E$16+1,1))</f>
        <v>#N/A</v>
      </c>
      <c r="FK166" s="58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8" t="e">
        <f t="shared" si="134"/>
        <v>#N/A</v>
      </c>
      <c r="GE166" s="58" t="e">
        <f ca="1">AVERAGE(OFFSET($GD$3,0,0,'Données projet'!$E$17+1,1))-AVERAGE(OFFSET($H$3,0,0,'Données projet'!$E$17+1,1))</f>
        <v>#N/A</v>
      </c>
      <c r="GF166" s="58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69.423001093143881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8" t="e">
        <f t="shared" si="137"/>
        <v>#N/A</v>
      </c>
      <c r="GZ166" s="58" t="e">
        <f ca="1">AVERAGE(OFFSET($GY$3,0,0,'Données projet'!$E$18+1,1))-AVERAGE(OFFSET($H$3,0,0,'Données projet'!$E$18+1,1))</f>
        <v>#N/A</v>
      </c>
      <c r="HA166" s="58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2">
        <f>'Scénario référence'!$B$16*5+'Scénario référence'!$B$17*0+'Scénario référence'!$B$18*5</f>
        <v>2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7.333333333333333</v>
      </c>
      <c r="H167" s="66">
        <f t="shared" si="110"/>
        <v>227.33333333333334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580.32000000000005</v>
      </c>
      <c r="L167" s="12">
        <f>VLOOKUP(A167,'Données projet'!$A$35:$I$55,9,0)</f>
        <v>9.4880000000000049</v>
      </c>
      <c r="M167" s="12">
        <f t="array" ref="M167">INDEX(L:L,MIN(IF(ISNUMBER(L167:L363),ROW(L167:L363),"")))</f>
        <v>9.4880000000000049</v>
      </c>
      <c r="N167" s="13">
        <f>IF('Données projet'!$A$36&gt;35,N166+M167-V166,IF(A167&lt;'Données projet'!$A$36,$K$205^A167,IF(A167='Données projet'!$A$36,'Données projet'!$B$36,N166+M167-V166)))</f>
        <v>580.32000000000141</v>
      </c>
      <c r="O167" s="13">
        <f>N167*VLOOKUP('Données projet'!$B$9,Paramètres!$A$1:$I$89,3,0)*VLOOKUP('Données projet'!$B$9,Paramètres!$A$1:$I$89,5,0)</f>
        <v>525.07353600000124</v>
      </c>
      <c r="P167" s="13">
        <f t="shared" si="141"/>
        <v>116.71819745258949</v>
      </c>
      <c r="Q167" s="20">
        <f t="shared" si="162"/>
        <v>1117.7872690965953</v>
      </c>
      <c r="R167" s="58">
        <f t="shared" si="109"/>
        <v>1409.0416417886677</v>
      </c>
      <c r="S167" s="58">
        <f ca="1">AVERAGE(OFFSET($R$3,0,0,'Données projet'!$E$9+1,1))-AVERAGE(OFFSET($H$3,0,0,'Données projet'!$E$9+1,1))</f>
        <v>654.0179680178212</v>
      </c>
      <c r="T167" s="58">
        <f t="shared" si="142"/>
        <v>289.42065570013369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66.020000000000095</v>
      </c>
      <c r="W167" s="16">
        <f>IF(ISNA(VLOOKUP(A167,'Données projet'!$A$35:$I$55,5,0)),0%,VLOOKUP(A167,'Données projet'!$A$35:$I$55,5,0)*VLOOKUP('Données projet'!$B$9,Paramètres!$A$1:$I$89,7,0))</f>
        <v>0.215</v>
      </c>
      <c r="X167" s="16">
        <f>IF(ISNA(VLOOKUP(A167,'Données projet'!$A$35:$I$55,6,0)),0%,VLOOKUP(A167,'Données projet'!$A$35:$I$55,6,0)*VLOOKUP('Données projet'!$B$9,Paramètres!$A$1:$I$89,7,0))</f>
        <v>8.6000000000000007E-2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58.613038082092139</v>
      </c>
      <c r="AA167" s="21">
        <f>EXP(-LN(2)/25)*AA166+(1-EXP(-LN(2)/25))/(LN(2)/25)*Calculateur!V167*Calculateur!X167*VLOOKUP('Données projet'!$B$9,Paramètres!$A$1:$I$89,3,0)*0.475*44/12</f>
        <v>23.008073260464958</v>
      </c>
      <c r="AB167" s="21">
        <f>EXP(-LN(2)/2)*AB166+(1-EXP(-LN(2)/2))/(LN(2)/2)*V167*Y167*VLOOKUP('Données projet'!$B$9,Paramètres!$A$1:$I$89,3,0)*0.475*44/12</f>
        <v>4.8694423079725579E-6</v>
      </c>
      <c r="AC167" s="22">
        <f t="shared" si="163"/>
        <v>81.621116211999407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8">
        <f t="shared" si="113"/>
        <v>291.25437269207913</v>
      </c>
      <c r="AN167" s="58">
        <f ca="1">AVERAGE(OFFSET($AM$3,0,0,'Données projet'!$E$10+1,1))-AVERAGE(OFFSET($H$3,0,0,'Données projet'!$E$10+1,1))</f>
        <v>447.44638185108147</v>
      </c>
      <c r="AO167" s="58">
        <f t="shared" si="144"/>
        <v>384.84260115068605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33.612091192727007</v>
      </c>
      <c r="AV167" s="21">
        <f>EXP(-LN(2)/25)*AV166+(1-EXP(-LN(2)/25))/(LN(2)/25)*Calculateur!AQ167*Calculateur!AS167*VLOOKUP('Données projet'!$B$10,Paramètres!$A$1:$I$89,3,0)*0.475*44/12</f>
        <v>5.6639384939874242</v>
      </c>
      <c r="AW167" s="21">
        <f>EXP(-LN(2)/2)*AW166+(1-EXP(-LN(2)/2))/(LN(2)/2)*AQ167*AT167*VLOOKUP('Données projet'!$B$10,Paramètres!$A$1:$I$89,3,0)*0.475*44/12</f>
        <v>5.1914207866431687E-12</v>
      </c>
      <c r="AX167" s="21">
        <f t="shared" si="166"/>
        <v>39.276029686719625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588.44448000000148</v>
      </c>
      <c r="BF167" s="13">
        <f t="shared" si="167"/>
        <v>129.08145101269025</v>
      </c>
      <c r="BG167" s="20">
        <f t="shared" si="168"/>
        <v>1249.6909965137713</v>
      </c>
      <c r="BH167" s="58">
        <f t="shared" si="116"/>
        <v>1540.9453692058437</v>
      </c>
      <c r="BI167" s="58">
        <f ca="1">AVERAGE(OFFSET($BH$3,0,0,'Données projet'!$E$11+1,1))-AVERAGE(OFFSET($H$3,0,0,'Données projet'!$E$11+1,1))</f>
        <v>724.99760740673071</v>
      </c>
      <c r="BJ167" s="58">
        <f t="shared" si="146"/>
        <v>318.24184272438208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65.687025436827426</v>
      </c>
      <c r="BQ167" s="21">
        <f>EXP(-LN(2)/25)*BQ166+(1-EXP(-LN(2)/25))/(LN(2)/25)*Calculateur!BL167*Calculateur!BN167*VLOOKUP('Données projet'!$B$11,Paramètres!$A$1:$I$89,3,0)*0.475*44/12</f>
        <v>25.784909688452114</v>
      </c>
      <c r="BR167" s="21">
        <f>EXP(-LN(2)/2)*BR166+(1-EXP(-LN(2)/2))/(LN(2)/2)*BL167*BO167*VLOOKUP('Données projet'!$B$11,Paramètres!$A$1:$I$89,3,0)*0.475*44/12</f>
        <v>5.4571336210037249E-6</v>
      </c>
      <c r="BS167" s="22">
        <f t="shared" si="169"/>
        <v>91.471940582413168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9.4880000000000049</v>
      </c>
      <c r="BX167" s="12">
        <f t="array" ref="BX167">INDEX(BW:BW,MIN(IF(ISNUMBER(BW167:BW363),ROW(BW167:BW363),"")))</f>
        <v>9.4880000000000049</v>
      </c>
      <c r="BY167" s="12">
        <f>IF('Données projet'!$A$114&gt;35,BY166+BX167-CG166,IF(A167&lt;'Données projet'!$A$114,$BV$205^A167,IF(A167='Données projet'!$A$114,'Données projet'!$B$114,BY166+BX167-CG166)))</f>
        <v>580.32000000000141</v>
      </c>
      <c r="BZ167" s="13">
        <f>BY167*VLOOKUP('Données projet'!$B$12,Paramètres!$A$1:$I$89,3,0)*VLOOKUP('Données projet'!$B$12,Paramètres!$A$1:$I$89,5,0)</f>
        <v>552.23251200000141</v>
      </c>
      <c r="CA167" s="13">
        <f t="shared" si="170"/>
        <v>122.03686399854614</v>
      </c>
      <c r="CB167" s="20">
        <f t="shared" si="171"/>
        <v>1174.3524965308034</v>
      </c>
      <c r="CC167" s="58">
        <f t="shared" si="119"/>
        <v>1465.6068692228757</v>
      </c>
      <c r="CD167" s="58">
        <f ca="1">AVERAGE(OFFSET($CC$3,0,0,'Données projet'!$E$12+1,1))-AVERAGE(OFFSET($H$3,0,0,'Données projet'!$E$12+1,1))</f>
        <v>684.45757350513315</v>
      </c>
      <c r="CE167" s="58">
        <f t="shared" si="148"/>
        <v>301.78148341369194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66.020000000000095</v>
      </c>
      <c r="CH167" s="16">
        <f>IF(ISNA(VLOOKUP(A167,'Données projet'!$A$113:$I$133,5,0)),0%,VLOOKUP(A167,'Données projet'!$A$113:$I$133,5,0)*VLOOKUP('Données projet'!$B$12,Paramètres!$A$1:$I$89,7,0))</f>
        <v>0.215</v>
      </c>
      <c r="CI167" s="16">
        <f>IF(ISNA(VLOOKUP(A167,'Données projet'!$A$113:$I$133,6,0)),0%,VLOOKUP(A167,'Données projet'!$A$113:$I$133,6,0)*VLOOKUP('Données projet'!$B$12,Paramètres!$A$1:$I$89,7,0))</f>
        <v>8.6000000000000007E-2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61.644746948407253</v>
      </c>
      <c r="CL167" s="21">
        <f>EXP(-LN(2)/25)*CL166+(1-EXP(-LN(2)/25))/(LN(2)/25)*Calculateur!CG167*Calculateur!CI167*VLOOKUP('Données projet'!$B$12,Paramètres!$A$1:$I$89,3,0)*0.475*44/12</f>
        <v>24.198146015316592</v>
      </c>
      <c r="CM167" s="21">
        <f>EXP(-LN(2)/2)*CM166+(1-EXP(-LN(2)/2))/(LN(2)/2)*CG167*CJ167*VLOOKUP('Données projet'!$B$12,Paramètres!$A$1:$I$89,3,0)*0.475*44/12</f>
        <v>5.1213100135573589E-6</v>
      </c>
      <c r="CN167" s="22">
        <f t="shared" si="172"/>
        <v>85.842898085033852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8" t="e">
        <f t="shared" si="122"/>
        <v>#N/A</v>
      </c>
      <c r="CY167" s="58" t="e">
        <f ca="1">AVERAGE(OFFSET($CX$3,0,0,'Données projet'!$E$13+1,1))-AVERAGE(OFFSET($H$3,0,0,'Données projet'!$E$13+1,1))</f>
        <v>#N/A</v>
      </c>
      <c r="CZ167" s="58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8" t="e">
        <f t="shared" si="125"/>
        <v>#N/A</v>
      </c>
      <c r="DT167" s="58" t="e">
        <f ca="1">AVERAGE(OFFSET($DS$3,0,0,'Données projet'!$E$14+1,1))-AVERAGE(OFFSET($H$3,0,0,'Données projet'!$E$14+1,1))</f>
        <v>#N/A</v>
      </c>
      <c r="DU167" s="58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8" t="e">
        <f t="shared" si="128"/>
        <v>#N/A</v>
      </c>
      <c r="EO167" s="58" t="e">
        <f ca="1">AVERAGE(OFFSET($EN$3,0,0,'Données projet'!$E$15+1,1))-AVERAGE(OFFSET($H$3,0,0,'Données projet'!$E$15+1,1))</f>
        <v>#N/A</v>
      </c>
      <c r="EP167" s="58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8" t="e">
        <f t="shared" si="131"/>
        <v>#N/A</v>
      </c>
      <c r="FJ167" s="58" t="e">
        <f ca="1">AVERAGE(OFFSET($FI$3,0,0,'Données projet'!$E$16+1,1))-AVERAGE(OFFSET($H$3,0,0,'Données projet'!$E$16+1,1))</f>
        <v>#N/A</v>
      </c>
      <c r="FK167" s="58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8" t="e">
        <f t="shared" si="134"/>
        <v>#N/A</v>
      </c>
      <c r="GE167" s="58" t="e">
        <f ca="1">AVERAGE(OFFSET($GD$3,0,0,'Données projet'!$E$17+1,1))-AVERAGE(OFFSET($H$3,0,0,'Données projet'!$E$17+1,1))</f>
        <v>#N/A</v>
      </c>
      <c r="GF167" s="58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69.433010734201531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8" t="e">
        <f t="shared" si="137"/>
        <v>#N/A</v>
      </c>
      <c r="GZ167" s="58" t="e">
        <f ca="1">AVERAGE(OFFSET($GY$3,0,0,'Données projet'!$E$18+1,1))-AVERAGE(OFFSET($H$3,0,0,'Données projet'!$E$18+1,1))</f>
        <v>#N/A</v>
      </c>
      <c r="HA167" s="58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2">
        <f>'Scénario référence'!$B$16*5+'Scénario référence'!$B$17*0+'Scénario référence'!$B$18*5</f>
        <v>2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7.333333333333333</v>
      </c>
      <c r="H168" s="66">
        <f t="shared" si="110"/>
        <v>227.33333333333334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9.6220000000000034</v>
      </c>
      <c r="N168" s="13">
        <f>IF('Données projet'!$A$36&gt;35,N167+M168-V167,IF(A168&lt;'Données projet'!$A$36,$K$205^A168,IF(A168='Données projet'!$A$36,'Données projet'!$B$36,N167+M168-V167)))</f>
        <v>523.92200000000128</v>
      </c>
      <c r="O168" s="13">
        <f>N168*VLOOKUP('Données projet'!$B$9,Paramètres!$A$1:$I$89,3,0)*VLOOKUP('Données projet'!$B$9,Paramètres!$A$1:$I$89,5,0)</f>
        <v>474.04462560000115</v>
      </c>
      <c r="P168" s="13">
        <f t="shared" si="141"/>
        <v>106.63651269520395</v>
      </c>
      <c r="Q168" s="20">
        <f t="shared" si="162"/>
        <v>1011.3529825308154</v>
      </c>
      <c r="R168" s="58">
        <f t="shared" si="109"/>
        <v>1302.6434205421538</v>
      </c>
      <c r="S168" s="58">
        <f ca="1">AVERAGE(OFFSET($R$3,0,0,'Données projet'!$E$9+1,1))-AVERAGE(OFFSET($H$3,0,0,'Données projet'!$E$9+1,1))</f>
        <v>654.0179680178212</v>
      </c>
      <c r="T168" s="58">
        <f t="shared" si="142"/>
        <v>289.42065570013369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57.463672155725483</v>
      </c>
      <c r="AA168" s="21">
        <f>EXP(-LN(2)/25)*AA167+(1-EXP(-LN(2)/25))/(LN(2)/25)*Calculateur!V168*Calculateur!X168*VLOOKUP('Données projet'!$B$9,Paramètres!$A$1:$I$89,3,0)*0.475*44/12</f>
        <v>22.378916287215556</v>
      </c>
      <c r="AB168" s="21">
        <f>EXP(-LN(2)/2)*AB167+(1-EXP(-LN(2)/2))/(LN(2)/2)*V168*Y168*VLOOKUP('Données projet'!$B$9,Paramètres!$A$1:$I$89,3,0)*0.475*44/12</f>
        <v>3.4432156765640685E-6</v>
      </c>
      <c r="AC168" s="22">
        <f t="shared" si="163"/>
        <v>79.842591886156711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8">
        <f t="shared" si="113"/>
        <v>291.29043801134526</v>
      </c>
      <c r="AN168" s="58">
        <f ca="1">AVERAGE(OFFSET($AM$3,0,0,'Données projet'!$E$10+1,1))-AVERAGE(OFFSET($H$3,0,0,'Données projet'!$E$10+1,1))</f>
        <v>447.44638185108147</v>
      </c>
      <c r="AO168" s="58">
        <f t="shared" si="144"/>
        <v>384.84260115068605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32.952978585788919</v>
      </c>
      <c r="AV168" s="21">
        <f>EXP(-LN(2)/25)*AV167+(1-EXP(-LN(2)/25))/(LN(2)/25)*Calculateur!AQ168*Calculateur!AS168*VLOOKUP('Données projet'!$B$10,Paramètres!$A$1:$I$89,3,0)*0.475*44/12</f>
        <v>5.5090577980157578</v>
      </c>
      <c r="AW168" s="21">
        <f>EXP(-LN(2)/2)*AW167+(1-EXP(-LN(2)/2))/(LN(2)/2)*AQ168*AT168*VLOOKUP('Données projet'!$B$10,Paramètres!$A$1:$I$89,3,0)*0.475*44/12</f>
        <v>3.6708888422281854E-12</v>
      </c>
      <c r="AX168" s="21">
        <f t="shared" si="166"/>
        <v>38.462036383808353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531.25690800000132</v>
      </c>
      <c r="BF168" s="13">
        <f t="shared" si="167"/>
        <v>117.93187429253524</v>
      </c>
      <c r="BG168" s="20">
        <f t="shared" si="168"/>
        <v>1130.6704624928343</v>
      </c>
      <c r="BH168" s="58">
        <f t="shared" si="116"/>
        <v>1421.9609005041727</v>
      </c>
      <c r="BI168" s="58">
        <f ca="1">AVERAGE(OFFSET($BH$3,0,0,'Données projet'!$E$11+1,1))-AVERAGE(OFFSET($H$3,0,0,'Données projet'!$E$11+1,1))</f>
        <v>724.99760740673071</v>
      </c>
      <c r="BJ168" s="58">
        <f t="shared" si="146"/>
        <v>318.24184272438208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64.39894293314066</v>
      </c>
      <c r="BQ168" s="21">
        <f>EXP(-LN(2)/25)*BQ167+(1-EXP(-LN(2)/25))/(LN(2)/25)*Calculateur!BL168*Calculateur!BN168*VLOOKUP('Données projet'!$B$11,Paramètres!$A$1:$I$89,3,0)*0.475*44/12</f>
        <v>25.079819977051923</v>
      </c>
      <c r="BR168" s="21">
        <f>EXP(-LN(2)/2)*BR167+(1-EXP(-LN(2)/2))/(LN(2)/2)*BL168*BO168*VLOOKUP('Données projet'!$B$11,Paramètres!$A$1:$I$89,3,0)*0.475*44/12</f>
        <v>3.8587761892528327E-6</v>
      </c>
      <c r="BS168" s="22">
        <f t="shared" si="169"/>
        <v>89.478766768968782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9.6220000000000034</v>
      </c>
      <c r="BY168" s="12">
        <f>IF('Données projet'!$A$114&gt;35,BY167+BX168-CG167,IF(A168&lt;'Données projet'!$A$114,$BV$205^A168,IF(A168='Données projet'!$A$114,'Données projet'!$B$114,BY167+BX168-CG167)))</f>
        <v>523.92200000000128</v>
      </c>
      <c r="BZ168" s="13">
        <f>BY168*VLOOKUP('Données projet'!$B$12,Paramètres!$A$1:$I$89,3,0)*VLOOKUP('Données projet'!$B$12,Paramètres!$A$1:$I$89,5,0)</f>
        <v>498.56417520000116</v>
      </c>
      <c r="CA168" s="13">
        <f t="shared" si="170"/>
        <v>111.49577256237113</v>
      </c>
      <c r="CB168" s="20">
        <f t="shared" si="171"/>
        <v>1062.5210756861318</v>
      </c>
      <c r="CC168" s="58">
        <f t="shared" si="119"/>
        <v>1353.8115136974702</v>
      </c>
      <c r="CD168" s="58">
        <f ca="1">AVERAGE(OFFSET($CC$3,0,0,'Données projet'!$E$12+1,1))-AVERAGE(OFFSET($H$3,0,0,'Données projet'!$E$12+1,1))</f>
        <v>684.45757350513315</v>
      </c>
      <c r="CE168" s="58">
        <f t="shared" si="148"/>
        <v>301.78148341369194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60.435931060331974</v>
      </c>
      <c r="CL168" s="21">
        <f>EXP(-LN(2)/25)*CL167+(1-EXP(-LN(2)/25))/(LN(2)/25)*Calculateur!CG168*Calculateur!CI168*VLOOKUP('Données projet'!$B$12,Paramètres!$A$1:$I$89,3,0)*0.475*44/12</f>
        <v>23.536446440002567</v>
      </c>
      <c r="CM168" s="21">
        <f>EXP(-LN(2)/2)*CM167+(1-EXP(-LN(2)/2))/(LN(2)/2)*CG168*CJ168*VLOOKUP('Données projet'!$B$12,Paramètres!$A$1:$I$89,3,0)*0.475*44/12</f>
        <v>3.6213130391449785E-6</v>
      </c>
      <c r="CN168" s="22">
        <f t="shared" si="172"/>
        <v>83.972381121647587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8" t="e">
        <f t="shared" si="122"/>
        <v>#N/A</v>
      </c>
      <c r="CY168" s="58" t="e">
        <f ca="1">AVERAGE(OFFSET($CX$3,0,0,'Données projet'!$E$13+1,1))-AVERAGE(OFFSET($H$3,0,0,'Données projet'!$E$13+1,1))</f>
        <v>#N/A</v>
      </c>
      <c r="CZ168" s="58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8" t="e">
        <f t="shared" si="125"/>
        <v>#N/A</v>
      </c>
      <c r="DT168" s="58" t="e">
        <f ca="1">AVERAGE(OFFSET($DS$3,0,0,'Données projet'!$E$14+1,1))-AVERAGE(OFFSET($H$3,0,0,'Données projet'!$E$14+1,1))</f>
        <v>#N/A</v>
      </c>
      <c r="DU168" s="58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8" t="e">
        <f t="shared" si="128"/>
        <v>#N/A</v>
      </c>
      <c r="EO168" s="58" t="e">
        <f ca="1">AVERAGE(OFFSET($EN$3,0,0,'Données projet'!$E$15+1,1))-AVERAGE(OFFSET($H$3,0,0,'Données projet'!$E$15+1,1))</f>
        <v>#N/A</v>
      </c>
      <c r="EP168" s="58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8" t="e">
        <f t="shared" si="131"/>
        <v>#N/A</v>
      </c>
      <c r="FJ168" s="58" t="e">
        <f ca="1">AVERAGE(OFFSET($FI$3,0,0,'Données projet'!$E$16+1,1))-AVERAGE(OFFSET($H$3,0,0,'Données projet'!$E$16+1,1))</f>
        <v>#N/A</v>
      </c>
      <c r="FK168" s="58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8" t="e">
        <f t="shared" si="134"/>
        <v>#N/A</v>
      </c>
      <c r="GE168" s="58" t="e">
        <f ca="1">AVERAGE(OFFSET($GD$3,0,0,'Données projet'!$E$17+1,1))-AVERAGE(OFFSET($H$3,0,0,'Données projet'!$E$17+1,1))</f>
        <v>#N/A</v>
      </c>
      <c r="GF168" s="58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69.442846730365034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8" t="e">
        <f t="shared" si="137"/>
        <v>#N/A</v>
      </c>
      <c r="GZ168" s="58" t="e">
        <f ca="1">AVERAGE(OFFSET($GY$3,0,0,'Données projet'!$E$18+1,1))-AVERAGE(OFFSET($H$3,0,0,'Données projet'!$E$18+1,1))</f>
        <v>#N/A</v>
      </c>
      <c r="HA168" s="58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2">
        <f>'Scénario référence'!$B$16*5+'Scénario référence'!$B$17*0+'Scénario référence'!$B$18*5</f>
        <v>2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7.333333333333333</v>
      </c>
      <c r="H169" s="66">
        <f t="shared" si="110"/>
        <v>227.33333333333334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9.6220000000000034</v>
      </c>
      <c r="N169" s="13">
        <f>IF('Données projet'!$A$36&gt;35,N168+M169-V168,IF(A169&lt;'Données projet'!$A$36,$K$205^A169,IF(A169='Données projet'!$A$36,'Données projet'!$B$36,N168+M169-V168)))</f>
        <v>533.54400000000123</v>
      </c>
      <c r="O169" s="13">
        <f>N169*VLOOKUP('Données projet'!$B$9,Paramètres!$A$1:$I$89,3,0)*VLOOKUP('Données projet'!$B$9,Paramètres!$A$1:$I$89,5,0)</f>
        <v>482.75061120000112</v>
      </c>
      <c r="P169" s="13">
        <f t="shared" si="141"/>
        <v>108.36513078962237</v>
      </c>
      <c r="Q169" s="20">
        <f t="shared" si="162"/>
        <v>1029.5265839652609</v>
      </c>
      <c r="R169" s="58">
        <f t="shared" si="109"/>
        <v>1320.8524616432062</v>
      </c>
      <c r="S169" s="58">
        <f ca="1">AVERAGE(OFFSET($R$3,0,0,'Données projet'!$E$9+1,1))-AVERAGE(OFFSET($H$3,0,0,'Données projet'!$E$9+1,1))</f>
        <v>654.0179680178212</v>
      </c>
      <c r="T169" s="58">
        <f t="shared" si="142"/>
        <v>289.42065570013369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56.336844594130881</v>
      </c>
      <c r="AA169" s="21">
        <f>EXP(-LN(2)/25)*AA168+(1-EXP(-LN(2)/25))/(LN(2)/25)*Calculateur!V169*Calculateur!X169*VLOOKUP('Données projet'!$B$9,Paramètres!$A$1:$I$89,3,0)*0.475*44/12</f>
        <v>21.766963644485589</v>
      </c>
      <c r="AB169" s="21">
        <f>EXP(-LN(2)/2)*AB168+(1-EXP(-LN(2)/2))/(LN(2)/2)*V169*Y169*VLOOKUP('Données projet'!$B$9,Paramètres!$A$1:$I$89,3,0)*0.475*44/12</f>
        <v>2.434721153986279E-6</v>
      </c>
      <c r="AC169" s="22">
        <f t="shared" si="163"/>
        <v>78.10381067333762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8">
        <f t="shared" si="113"/>
        <v>291.32587767795218</v>
      </c>
      <c r="AN169" s="58">
        <f ca="1">AVERAGE(OFFSET($AM$3,0,0,'Données projet'!$E$10+1,1))-AVERAGE(OFFSET($H$3,0,0,'Données projet'!$E$10+1,1))</f>
        <v>447.44638185108147</v>
      </c>
      <c r="AO169" s="58">
        <f t="shared" si="144"/>
        <v>384.84260115068605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32.306790775053891</v>
      </c>
      <c r="AV169" s="21">
        <f>EXP(-LN(2)/25)*AV168+(1-EXP(-LN(2)/25))/(LN(2)/25)*Calculateur!AQ169*Calculateur!AS169*VLOOKUP('Données projet'!$B$10,Paramètres!$A$1:$I$89,3,0)*0.475*44/12</f>
        <v>5.358412322820258</v>
      </c>
      <c r="AW169" s="21">
        <f>EXP(-LN(2)/2)*AW168+(1-EXP(-LN(2)/2))/(LN(2)/2)*AQ169*AT169*VLOOKUP('Données projet'!$B$10,Paramètres!$A$1:$I$89,3,0)*0.475*44/12</f>
        <v>2.5957103933215843E-12</v>
      </c>
      <c r="AX169" s="21">
        <f t="shared" si="166"/>
        <v>37.665203097876741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541.01361600000132</v>
      </c>
      <c r="BF169" s="13">
        <f t="shared" si="167"/>
        <v>119.84359445909256</v>
      </c>
      <c r="BG169" s="20">
        <f t="shared" si="168"/>
        <v>1150.9929748829218</v>
      </c>
      <c r="BH169" s="58">
        <f t="shared" si="116"/>
        <v>1442.3188525608671</v>
      </c>
      <c r="BI169" s="58">
        <f ca="1">AVERAGE(OFFSET($BH$3,0,0,'Données projet'!$E$11+1,1))-AVERAGE(OFFSET($H$3,0,0,'Données projet'!$E$11+1,1))</f>
        <v>724.99760740673071</v>
      </c>
      <c r="BJ169" s="58">
        <f t="shared" si="146"/>
        <v>318.24184272438208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63.136118941698435</v>
      </c>
      <c r="BQ169" s="21">
        <f>EXP(-LN(2)/25)*BQ168+(1-EXP(-LN(2)/25))/(LN(2)/25)*Calculateur!BL169*Calculateur!BN169*VLOOKUP('Données projet'!$B$11,Paramètres!$A$1:$I$89,3,0)*0.475*44/12</f>
        <v>24.394010980889025</v>
      </c>
      <c r="BR169" s="21">
        <f>EXP(-LN(2)/2)*BR168+(1-EXP(-LN(2)/2))/(LN(2)/2)*BL169*BO169*VLOOKUP('Données projet'!$B$11,Paramètres!$A$1:$I$89,3,0)*0.475*44/12</f>
        <v>2.7285668105018625E-6</v>
      </c>
      <c r="BS169" s="22">
        <f t="shared" si="169"/>
        <v>87.530132651154275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9.6220000000000034</v>
      </c>
      <c r="BY169" s="12">
        <f>IF('Données projet'!$A$114&gt;35,BY168+BX169-CG168,IF(A169&lt;'Données projet'!$A$114,$BV$205^A169,IF(A169='Données projet'!$A$114,'Données projet'!$B$114,BY168+BX169-CG168)))</f>
        <v>533.54400000000123</v>
      </c>
      <c r="BZ169" s="13">
        <f>BY169*VLOOKUP('Données projet'!$B$12,Paramètres!$A$1:$I$89,3,0)*VLOOKUP('Données projet'!$B$12,Paramètres!$A$1:$I$89,5,0)</f>
        <v>507.72047040000115</v>
      </c>
      <c r="CA169" s="13">
        <f t="shared" si="170"/>
        <v>113.30316109216449</v>
      </c>
      <c r="CB169" s="20">
        <f t="shared" si="171"/>
        <v>1081.6161581821882</v>
      </c>
      <c r="CC169" s="58">
        <f t="shared" si="119"/>
        <v>1372.9420358601335</v>
      </c>
      <c r="CD169" s="58">
        <f ca="1">AVERAGE(OFFSET($CC$3,0,0,'Données projet'!$E$12+1,1))-AVERAGE(OFFSET($H$3,0,0,'Données projet'!$E$12+1,1))</f>
        <v>684.45757350513315</v>
      </c>
      <c r="CE169" s="58">
        <f t="shared" si="148"/>
        <v>301.78148341369194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59.25081931451696</v>
      </c>
      <c r="CL169" s="21">
        <f>EXP(-LN(2)/25)*CL168+(1-EXP(-LN(2)/25))/(LN(2)/25)*Calculateur!CG169*Calculateur!CI169*VLOOKUP('Données projet'!$B$12,Paramètres!$A$1:$I$89,3,0)*0.475*44/12</f>
        <v>22.892841074372772</v>
      </c>
      <c r="CM169" s="21">
        <f>EXP(-LN(2)/2)*CM168+(1-EXP(-LN(2)/2))/(LN(2)/2)*CG169*CJ169*VLOOKUP('Données projet'!$B$12,Paramètres!$A$1:$I$89,3,0)*0.475*44/12</f>
        <v>2.5606550067786799E-6</v>
      </c>
      <c r="CN169" s="22">
        <f t="shared" si="172"/>
        <v>82.143662949544733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8" t="e">
        <f t="shared" si="122"/>
        <v>#N/A</v>
      </c>
      <c r="CY169" s="58" t="e">
        <f ca="1">AVERAGE(OFFSET($CX$3,0,0,'Données projet'!$E$13+1,1))-AVERAGE(OFFSET($H$3,0,0,'Données projet'!$E$13+1,1))</f>
        <v>#N/A</v>
      </c>
      <c r="CZ169" s="58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8" t="e">
        <f t="shared" si="125"/>
        <v>#N/A</v>
      </c>
      <c r="DT169" s="58" t="e">
        <f ca="1">AVERAGE(OFFSET($DS$3,0,0,'Données projet'!$E$14+1,1))-AVERAGE(OFFSET($H$3,0,0,'Données projet'!$E$14+1,1))</f>
        <v>#N/A</v>
      </c>
      <c r="DU169" s="58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8" t="e">
        <f t="shared" si="128"/>
        <v>#N/A</v>
      </c>
      <c r="EO169" s="58" t="e">
        <f ca="1">AVERAGE(OFFSET($EN$3,0,0,'Données projet'!$E$15+1,1))-AVERAGE(OFFSET($H$3,0,0,'Données projet'!$E$15+1,1))</f>
        <v>#N/A</v>
      </c>
      <c r="EP169" s="58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8" t="e">
        <f t="shared" si="131"/>
        <v>#N/A</v>
      </c>
      <c r="FJ169" s="58" t="e">
        <f ca="1">AVERAGE(OFFSET($FI$3,0,0,'Données projet'!$E$16+1,1))-AVERAGE(OFFSET($H$3,0,0,'Données projet'!$E$16+1,1))</f>
        <v>#N/A</v>
      </c>
      <c r="FK169" s="58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8" t="e">
        <f t="shared" si="134"/>
        <v>#N/A</v>
      </c>
      <c r="GE169" s="58" t="e">
        <f ca="1">AVERAGE(OFFSET($GD$3,0,0,'Données projet'!$E$17+1,1))-AVERAGE(OFFSET($H$3,0,0,'Données projet'!$E$17+1,1))</f>
        <v>#N/A</v>
      </c>
      <c r="GF169" s="58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69.452512093985092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8" t="e">
        <f t="shared" si="137"/>
        <v>#N/A</v>
      </c>
      <c r="GZ169" s="58" t="e">
        <f ca="1">AVERAGE(OFFSET($GY$3,0,0,'Données projet'!$E$18+1,1))-AVERAGE(OFFSET($H$3,0,0,'Données projet'!$E$18+1,1))</f>
        <v>#N/A</v>
      </c>
      <c r="HA169" s="58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2">
        <f>'Scénario référence'!$B$16*5+'Scénario référence'!$B$17*0+'Scénario référence'!$B$18*5</f>
        <v>2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7.333333333333333</v>
      </c>
      <c r="H170" s="66">
        <f t="shared" si="110"/>
        <v>227.33333333333334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9.6220000000000034</v>
      </c>
      <c r="N170" s="13">
        <f>IF('Données projet'!$A$36&gt;35,N169+M170-V169,IF(A170&lt;'Données projet'!$A$36,$K$205^A170,IF(A170='Données projet'!$A$36,'Données projet'!$B$36,N169+M170-V169)))</f>
        <v>543.16600000000119</v>
      </c>
      <c r="O170" s="13">
        <f>N170*VLOOKUP('Données projet'!$B$9,Paramètres!$A$1:$I$89,3,0)*VLOOKUP('Données projet'!$B$9,Paramètres!$A$1:$I$89,5,0)</f>
        <v>491.45659680000102</v>
      </c>
      <c r="P170" s="13">
        <f t="shared" si="141"/>
        <v>110.09012381497753</v>
      </c>
      <c r="Q170" s="20">
        <f t="shared" si="162"/>
        <v>1047.6938717377543</v>
      </c>
      <c r="R170" s="58">
        <f t="shared" si="109"/>
        <v>1339.0545742833222</v>
      </c>
      <c r="S170" s="58">
        <f ca="1">AVERAGE(OFFSET($R$3,0,0,'Données projet'!$E$9+1,1))-AVERAGE(OFFSET($H$3,0,0,'Données projet'!$E$9+1,1))</f>
        <v>654.0179680178212</v>
      </c>
      <c r="T170" s="58">
        <f t="shared" si="142"/>
        <v>289.42065570013369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55.232113433722205</v>
      </c>
      <c r="AA170" s="21">
        <f>EXP(-LN(2)/25)*AA169+(1-EXP(-LN(2)/25))/(LN(2)/25)*Calculateur!V170*Calculateur!X170*VLOOKUP('Données projet'!$B$9,Paramètres!$A$1:$I$89,3,0)*0.475*44/12</f>
        <v>21.171744878952261</v>
      </c>
      <c r="AB170" s="21">
        <f>EXP(-LN(2)/2)*AB169+(1-EXP(-LN(2)/2))/(LN(2)/2)*V170*Y170*VLOOKUP('Données projet'!$B$9,Paramètres!$A$1:$I$89,3,0)*0.475*44/12</f>
        <v>1.7216078382820342E-6</v>
      </c>
      <c r="AC170" s="22">
        <f t="shared" si="163"/>
        <v>76.403860034282303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8">
        <f t="shared" si="113"/>
        <v>291.36070254557467</v>
      </c>
      <c r="AN170" s="58">
        <f ca="1">AVERAGE(OFFSET($AM$3,0,0,'Données projet'!$E$10+1,1))-AVERAGE(OFFSET($H$3,0,0,'Données projet'!$E$10+1,1))</f>
        <v>447.44638185108147</v>
      </c>
      <c r="AO170" s="58">
        <f t="shared" si="144"/>
        <v>384.84260115068605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31.67327431315173</v>
      </c>
      <c r="AV170" s="21">
        <f>EXP(-LN(2)/25)*AV169+(1-EXP(-LN(2)/25))/(LN(2)/25)*Calculateur!AQ170*Calculateur!AS170*VLOOKUP('Données projet'!$B$10,Paramètres!$A$1:$I$89,3,0)*0.475*44/12</f>
        <v>5.211886256066081</v>
      </c>
      <c r="AW170" s="21">
        <f>EXP(-LN(2)/2)*AW169+(1-EXP(-LN(2)/2))/(LN(2)/2)*AQ170*AT170*VLOOKUP('Données projet'!$B$10,Paramètres!$A$1:$I$89,3,0)*0.475*44/12</f>
        <v>1.8354444211140927E-12</v>
      </c>
      <c r="AX170" s="21">
        <f t="shared" si="166"/>
        <v>36.885160569219643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550.77032400000132</v>
      </c>
      <c r="BF170" s="13">
        <f t="shared" si="167"/>
        <v>121.75130557491971</v>
      </c>
      <c r="BG170" s="20">
        <f t="shared" si="168"/>
        <v>1171.3085048429873</v>
      </c>
      <c r="BH170" s="58">
        <f t="shared" si="116"/>
        <v>1462.6692073885552</v>
      </c>
      <c r="BI170" s="58">
        <f ca="1">AVERAGE(OFFSET($BH$3,0,0,'Données projet'!$E$11+1,1))-AVERAGE(OFFSET($H$3,0,0,'Données projet'!$E$11+1,1))</f>
        <v>724.99760740673071</v>
      </c>
      <c r="BJ170" s="58">
        <f t="shared" si="146"/>
        <v>318.24184272438208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61.89805815848181</v>
      </c>
      <c r="BQ170" s="21">
        <f>EXP(-LN(2)/25)*BQ169+(1-EXP(-LN(2)/25))/(LN(2)/25)*Calculateur!BL170*Calculateur!BN170*VLOOKUP('Données projet'!$B$11,Paramètres!$A$1:$I$89,3,0)*0.475*44/12</f>
        <v>23.726955467791331</v>
      </c>
      <c r="BR170" s="21">
        <f>EXP(-LN(2)/2)*BR169+(1-EXP(-LN(2)/2))/(LN(2)/2)*BL170*BO170*VLOOKUP('Données projet'!$B$11,Paramètres!$A$1:$I$89,3,0)*0.475*44/12</f>
        <v>1.9293880946264163E-6</v>
      </c>
      <c r="BS170" s="22">
        <f t="shared" si="169"/>
        <v>85.625015555661236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9.6220000000000034</v>
      </c>
      <c r="BY170" s="12">
        <f>IF('Données projet'!$A$114&gt;35,BY169+BX170-CG169,IF(A170&lt;'Données projet'!$A$114,$BV$205^A170,IF(A170='Données projet'!$A$114,'Données projet'!$B$114,BY169+BX170-CG169)))</f>
        <v>543.16600000000119</v>
      </c>
      <c r="BZ170" s="13">
        <f>BY170*VLOOKUP('Données projet'!$B$12,Paramètres!$A$1:$I$89,3,0)*VLOOKUP('Données projet'!$B$12,Paramètres!$A$1:$I$89,5,0)</f>
        <v>516.87676560000114</v>
      </c>
      <c r="CA170" s="13">
        <f t="shared" si="170"/>
        <v>115.10675936414104</v>
      </c>
      <c r="CB170" s="20">
        <f t="shared" si="171"/>
        <v>1100.7046393125474</v>
      </c>
      <c r="CC170" s="58">
        <f t="shared" si="119"/>
        <v>1392.0653418581153</v>
      </c>
      <c r="CD170" s="58">
        <f ca="1">AVERAGE(OFFSET($CC$3,0,0,'Données projet'!$E$12+1,1))-AVERAGE(OFFSET($H$3,0,0,'Données projet'!$E$12+1,1))</f>
        <v>684.45757350513315</v>
      </c>
      <c r="CE170" s="58">
        <f t="shared" si="148"/>
        <v>301.78148341369194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58.088946887190595</v>
      </c>
      <c r="CL170" s="21">
        <f>EXP(-LN(2)/25)*CL169+(1-EXP(-LN(2)/25))/(LN(2)/25)*Calculateur!CG170*Calculateur!CI170*VLOOKUP('Données projet'!$B$12,Paramètres!$A$1:$I$89,3,0)*0.475*44/12</f>
        <v>22.266835131311858</v>
      </c>
      <c r="CM170" s="21">
        <f>EXP(-LN(2)/2)*CM169+(1-EXP(-LN(2)/2))/(LN(2)/2)*CG170*CJ170*VLOOKUP('Données projet'!$B$12,Paramètres!$A$1:$I$89,3,0)*0.475*44/12</f>
        <v>1.8106565195724895E-6</v>
      </c>
      <c r="CN170" s="22">
        <f t="shared" si="172"/>
        <v>80.355783829158966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8" t="e">
        <f t="shared" si="122"/>
        <v>#N/A</v>
      </c>
      <c r="CY170" s="58" t="e">
        <f ca="1">AVERAGE(OFFSET($CX$3,0,0,'Données projet'!$E$13+1,1))-AVERAGE(OFFSET($H$3,0,0,'Données projet'!$E$13+1,1))</f>
        <v>#N/A</v>
      </c>
      <c r="CZ170" s="58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8" t="e">
        <f t="shared" si="125"/>
        <v>#N/A</v>
      </c>
      <c r="DT170" s="58" t="e">
        <f ca="1">AVERAGE(OFFSET($DS$3,0,0,'Données projet'!$E$14+1,1))-AVERAGE(OFFSET($H$3,0,0,'Données projet'!$E$14+1,1))</f>
        <v>#N/A</v>
      </c>
      <c r="DU170" s="58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8" t="e">
        <f t="shared" si="128"/>
        <v>#N/A</v>
      </c>
      <c r="EO170" s="58" t="e">
        <f ca="1">AVERAGE(OFFSET($EN$3,0,0,'Données projet'!$E$15+1,1))-AVERAGE(OFFSET($H$3,0,0,'Données projet'!$E$15+1,1))</f>
        <v>#N/A</v>
      </c>
      <c r="EP170" s="58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8" t="e">
        <f t="shared" si="131"/>
        <v>#N/A</v>
      </c>
      <c r="FJ170" s="58" t="e">
        <f ca="1">AVERAGE(OFFSET($FI$3,0,0,'Données projet'!$E$16+1,1))-AVERAGE(OFFSET($H$3,0,0,'Données projet'!$E$16+1,1))</f>
        <v>#N/A</v>
      </c>
      <c r="FK170" s="58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8" t="e">
        <f t="shared" si="134"/>
        <v>#N/A</v>
      </c>
      <c r="GE170" s="58" t="e">
        <f ca="1">AVERAGE(OFFSET($GD$3,0,0,'Données projet'!$E$17+1,1))-AVERAGE(OFFSET($H$3,0,0,'Données projet'!$E$17+1,1))</f>
        <v>#N/A</v>
      </c>
      <c r="GF170" s="58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69.462009785154862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8" t="e">
        <f t="shared" si="137"/>
        <v>#N/A</v>
      </c>
      <c r="GZ170" s="58" t="e">
        <f ca="1">AVERAGE(OFFSET($GY$3,0,0,'Données projet'!$E$18+1,1))-AVERAGE(OFFSET($H$3,0,0,'Données projet'!$E$18+1,1))</f>
        <v>#N/A</v>
      </c>
      <c r="HA170" s="58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2">
        <f>'Scénario référence'!$B$16*5+'Scénario référence'!$B$17*0+'Scénario référence'!$B$18*5</f>
        <v>2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7.333333333333333</v>
      </c>
      <c r="H171" s="66">
        <f t="shared" si="110"/>
        <v>227.33333333333334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9.6220000000000034</v>
      </c>
      <c r="N171" s="13">
        <f>IF('Données projet'!$A$36&gt;35,N170+M171-V170,IF(A171&lt;'Données projet'!$A$36,$K$205^A171,IF(A171='Données projet'!$A$36,'Données projet'!$B$36,N170+M171-V170)))</f>
        <v>552.78800000000115</v>
      </c>
      <c r="O171" s="13">
        <f>N171*VLOOKUP('Données projet'!$B$9,Paramètres!$A$1:$I$89,3,0)*VLOOKUP('Données projet'!$B$9,Paramètres!$A$1:$I$89,5,0)</f>
        <v>500.16258240000104</v>
      </c>
      <c r="P171" s="13">
        <f t="shared" si="141"/>
        <v>111.81156339666074</v>
      </c>
      <c r="Q171" s="20">
        <f t="shared" si="162"/>
        <v>1065.8549705958526</v>
      </c>
      <c r="R171" s="58">
        <f t="shared" si="109"/>
        <v>1357.2498938754463</v>
      </c>
      <c r="S171" s="58">
        <f ca="1">AVERAGE(OFFSET($R$3,0,0,'Données projet'!$E$9+1,1))-AVERAGE(OFFSET($H$3,0,0,'Données projet'!$E$9+1,1))</f>
        <v>654.0179680178212</v>
      </c>
      <c r="T171" s="58">
        <f t="shared" si="142"/>
        <v>289.42065570013369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54.149045377549669</v>
      </c>
      <c r="AA171" s="21">
        <f>EXP(-LN(2)/25)*AA170+(1-EXP(-LN(2)/25))/(LN(2)/25)*Calculateur!V171*Calculateur!X171*VLOOKUP('Données projet'!$B$9,Paramètres!$A$1:$I$89,3,0)*0.475*44/12</f>
        <v>20.592802401863636</v>
      </c>
      <c r="AB171" s="21">
        <f>EXP(-LN(2)/2)*AB170+(1-EXP(-LN(2)/2))/(LN(2)/2)*V171*Y171*VLOOKUP('Données projet'!$B$9,Paramètres!$A$1:$I$89,3,0)*0.475*44/12</f>
        <v>1.2173605769931395E-6</v>
      </c>
      <c r="AC171" s="22">
        <f t="shared" si="163"/>
        <v>74.741848996773882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8">
        <f t="shared" si="113"/>
        <v>291.39492327960062</v>
      </c>
      <c r="AN171" s="58">
        <f ca="1">AVERAGE(OFFSET($AM$3,0,0,'Données projet'!$E$10+1,1))-AVERAGE(OFFSET($H$3,0,0,'Données projet'!$E$10+1,1))</f>
        <v>447.44638185108147</v>
      </c>
      <c r="AO171" s="58">
        <f t="shared" si="144"/>
        <v>384.84260115068605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31.052180722660584</v>
      </c>
      <c r="AV171" s="21">
        <f>EXP(-LN(2)/25)*AV170+(1-EXP(-LN(2)/25))/(LN(2)/25)*Calculateur!AQ171*Calculateur!AS171*VLOOKUP('Données projet'!$B$10,Paramètres!$A$1:$I$89,3,0)*0.475*44/12</f>
        <v>5.0693669523127678</v>
      </c>
      <c r="AW171" s="21">
        <f>EXP(-LN(2)/2)*AW170+(1-EXP(-LN(2)/2))/(LN(2)/2)*AQ171*AT171*VLOOKUP('Données projet'!$B$10,Paramètres!$A$1:$I$89,3,0)*0.475*44/12</f>
        <v>1.2978551966607922E-12</v>
      </c>
      <c r="AX171" s="21">
        <f t="shared" si="166"/>
        <v>36.12154767497465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560.52703200000121</v>
      </c>
      <c r="BF171" s="13">
        <f t="shared" si="167"/>
        <v>123.65508685225305</v>
      </c>
      <c r="BG171" s="20">
        <f t="shared" si="168"/>
        <v>1191.6171903343427</v>
      </c>
      <c r="BH171" s="58">
        <f t="shared" si="116"/>
        <v>1483.0121136139364</v>
      </c>
      <c r="BI171" s="58">
        <f ca="1">AVERAGE(OFFSET($BH$3,0,0,'Données projet'!$E$11+1,1))-AVERAGE(OFFSET($H$3,0,0,'Données projet'!$E$11+1,1))</f>
        <v>724.99760740673071</v>
      </c>
      <c r="BJ171" s="58">
        <f t="shared" si="146"/>
        <v>318.24184272438208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60.684274992081555</v>
      </c>
      <c r="BQ171" s="21">
        <f>EXP(-LN(2)/25)*BQ170+(1-EXP(-LN(2)/25))/(LN(2)/25)*Calculateur!BL171*Calculateur!BN171*VLOOKUP('Données projet'!$B$11,Paramètres!$A$1:$I$89,3,0)*0.475*44/12</f>
        <v>23.078140622778218</v>
      </c>
      <c r="BR171" s="21">
        <f>EXP(-LN(2)/2)*BR170+(1-EXP(-LN(2)/2))/(LN(2)/2)*BL171*BO171*VLOOKUP('Données projet'!$B$11,Paramètres!$A$1:$I$89,3,0)*0.475*44/12</f>
        <v>1.3642834052509312E-6</v>
      </c>
      <c r="BS171" s="22">
        <f t="shared" si="169"/>
        <v>83.762416979143183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9.6220000000000034</v>
      </c>
      <c r="BY171" s="12">
        <f>IF('Données projet'!$A$114&gt;35,BY170+BX171-CG170,IF(A171&lt;'Données projet'!$A$114,$BV$205^A171,IF(A171='Données projet'!$A$114,'Données projet'!$B$114,BY170+BX171-CG170)))</f>
        <v>552.78800000000115</v>
      </c>
      <c r="BZ171" s="13">
        <f>BY171*VLOOKUP('Données projet'!$B$12,Paramètres!$A$1:$I$89,3,0)*VLOOKUP('Données projet'!$B$12,Paramètres!$A$1:$I$89,5,0)</f>
        <v>526.03306080000118</v>
      </c>
      <c r="CA171" s="13">
        <f t="shared" si="170"/>
        <v>116.90664226754956</v>
      </c>
      <c r="CB171" s="20">
        <f t="shared" si="171"/>
        <v>1119.7866495093174</v>
      </c>
      <c r="CC171" s="58">
        <f t="shared" si="119"/>
        <v>1411.1815727889111</v>
      </c>
      <c r="CD171" s="58">
        <f ca="1">AVERAGE(OFFSET($CC$3,0,0,'Données projet'!$E$12+1,1))-AVERAGE(OFFSET($H$3,0,0,'Données projet'!$E$12+1,1))</f>
        <v>684.45757350513315</v>
      </c>
      <c r="CE171" s="58">
        <f t="shared" si="148"/>
        <v>301.78148341369194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56.949858069491889</v>
      </c>
      <c r="CL171" s="21">
        <f>EXP(-LN(2)/25)*CL170+(1-EXP(-LN(2)/25))/(LN(2)/25)*Calculateur!CG171*Calculateur!CI171*VLOOKUP('Données projet'!$B$12,Paramètres!$A$1:$I$89,3,0)*0.475*44/12</f>
        <v>21.657947353684168</v>
      </c>
      <c r="CM171" s="21">
        <f>EXP(-LN(2)/2)*CM170+(1-EXP(-LN(2)/2))/(LN(2)/2)*CG171*CJ171*VLOOKUP('Données projet'!$B$12,Paramètres!$A$1:$I$89,3,0)*0.475*44/12</f>
        <v>1.2803275033893401E-6</v>
      </c>
      <c r="CN171" s="22">
        <f t="shared" si="172"/>
        <v>78.60780670350357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8" t="e">
        <f t="shared" si="122"/>
        <v>#N/A</v>
      </c>
      <c r="CY171" s="58" t="e">
        <f ca="1">AVERAGE(OFFSET($CX$3,0,0,'Données projet'!$E$13+1,1))-AVERAGE(OFFSET($H$3,0,0,'Données projet'!$E$13+1,1))</f>
        <v>#N/A</v>
      </c>
      <c r="CZ171" s="58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8" t="e">
        <f t="shared" si="125"/>
        <v>#N/A</v>
      </c>
      <c r="DT171" s="58" t="e">
        <f ca="1">AVERAGE(OFFSET($DS$3,0,0,'Données projet'!$E$14+1,1))-AVERAGE(OFFSET($H$3,0,0,'Données projet'!$E$14+1,1))</f>
        <v>#N/A</v>
      </c>
      <c r="DU171" s="58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8" t="e">
        <f t="shared" si="128"/>
        <v>#N/A</v>
      </c>
      <c r="EO171" s="58" t="e">
        <f ca="1">AVERAGE(OFFSET($EN$3,0,0,'Données projet'!$E$15+1,1))-AVERAGE(OFFSET($H$3,0,0,'Données projet'!$E$15+1,1))</f>
        <v>#N/A</v>
      </c>
      <c r="EP171" s="58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8" t="e">
        <f t="shared" si="131"/>
        <v>#N/A</v>
      </c>
      <c r="FJ171" s="58" t="e">
        <f ca="1">AVERAGE(OFFSET($FI$3,0,0,'Données projet'!$E$16+1,1))-AVERAGE(OFFSET($H$3,0,0,'Données projet'!$E$16+1,1))</f>
        <v>#N/A</v>
      </c>
      <c r="FK171" s="58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8" t="e">
        <f t="shared" si="134"/>
        <v>#N/A</v>
      </c>
      <c r="GE171" s="58" t="e">
        <f ca="1">AVERAGE(OFFSET($GD$3,0,0,'Données projet'!$E$17+1,1))-AVERAGE(OFFSET($H$3,0,0,'Données projet'!$E$17+1,1))</f>
        <v>#N/A</v>
      </c>
      <c r="GF171" s="58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69.47134271261649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8" t="e">
        <f t="shared" si="137"/>
        <v>#N/A</v>
      </c>
      <c r="GZ171" s="58" t="e">
        <f ca="1">AVERAGE(OFFSET($GY$3,0,0,'Données projet'!$E$18+1,1))-AVERAGE(OFFSET($H$3,0,0,'Données projet'!$E$18+1,1))</f>
        <v>#N/A</v>
      </c>
      <c r="HA171" s="58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2">
        <f>'Scénario référence'!$B$16*5+'Scénario référence'!$B$17*0+'Scénario référence'!$B$18*5</f>
        <v>2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7.333333333333333</v>
      </c>
      <c r="H172" s="66">
        <f t="shared" si="110"/>
        <v>227.33333333333334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9.6220000000000034</v>
      </c>
      <c r="N172" s="13">
        <f>IF('Données projet'!$A$36&gt;35,N171+M172-V171,IF(A172&lt;'Données projet'!$A$36,$K$205^A172,IF(A172='Données projet'!$A$36,'Données projet'!$B$36,N171+M172-V171)))</f>
        <v>562.41000000000111</v>
      </c>
      <c r="O172" s="13">
        <f>N172*VLOOKUP('Données projet'!$B$9,Paramètres!$A$1:$I$89,3,0)*VLOOKUP('Données projet'!$B$9,Paramètres!$A$1:$I$89,5,0)</f>
        <v>508.86856800000095</v>
      </c>
      <c r="P172" s="13">
        <f t="shared" si="141"/>
        <v>113.52951852374844</v>
      </c>
      <c r="Q172" s="20">
        <f t="shared" si="162"/>
        <v>1084.0100006955302</v>
      </c>
      <c r="R172" s="58">
        <f t="shared" si="109"/>
        <v>1375.4385510559207</v>
      </c>
      <c r="S172" s="58">
        <f ca="1">AVERAGE(OFFSET($R$3,0,0,'Données projet'!$E$9+1,1))-AVERAGE(OFFSET($H$3,0,0,'Données projet'!$E$9+1,1))</f>
        <v>654.0179680178212</v>
      </c>
      <c r="T172" s="58">
        <f t="shared" si="142"/>
        <v>289.42065570013369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53.087215625352393</v>
      </c>
      <c r="AA172" s="21">
        <f>EXP(-LN(2)/25)*AA171+(1-EXP(-LN(2)/25))/(LN(2)/25)*Calculateur!V172*Calculateur!X172*VLOOKUP('Données projet'!$B$9,Paramètres!$A$1:$I$89,3,0)*0.475*44/12</f>
        <v>20.029691137256261</v>
      </c>
      <c r="AB172" s="21">
        <f>EXP(-LN(2)/2)*AB171+(1-EXP(-LN(2)/2))/(LN(2)/2)*V172*Y172*VLOOKUP('Données projet'!$B$9,Paramètres!$A$1:$I$89,3,0)*0.475*44/12</f>
        <v>8.6080391914101712E-7</v>
      </c>
      <c r="AC172" s="22">
        <f t="shared" si="163"/>
        <v>73.116907623412573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8">
        <f t="shared" si="113"/>
        <v>291.42855036039737</v>
      </c>
      <c r="AN172" s="58">
        <f ca="1">AVERAGE(OFFSET($AM$3,0,0,'Données projet'!$E$10+1,1))-AVERAGE(OFFSET($H$3,0,0,'Données projet'!$E$10+1,1))</f>
        <v>447.44638185108147</v>
      </c>
      <c r="AO172" s="58">
        <f t="shared" si="144"/>
        <v>384.84260115068605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30.443266398649286</v>
      </c>
      <c r="AV172" s="21">
        <f>EXP(-LN(2)/25)*AV171+(1-EXP(-LN(2)/25))/(LN(2)/25)*Calculateur!AQ172*Calculateur!AS172*VLOOKUP('Données projet'!$B$10,Paramètres!$A$1:$I$89,3,0)*0.475*44/12</f>
        <v>4.9307448464153536</v>
      </c>
      <c r="AW172" s="21">
        <f>EXP(-LN(2)/2)*AW171+(1-EXP(-LN(2)/2))/(LN(2)/2)*AQ172*AT172*VLOOKUP('Données projet'!$B$10,Paramètres!$A$1:$I$89,3,0)*0.475*44/12</f>
        <v>9.1772221055704636E-13</v>
      </c>
      <c r="AX172" s="21">
        <f t="shared" si="166"/>
        <v>35.374011245065553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570.28374000000122</v>
      </c>
      <c r="BF172" s="13">
        <f t="shared" si="167"/>
        <v>125.55501458776541</v>
      </c>
      <c r="BG172" s="20">
        <f t="shared" si="168"/>
        <v>1211.9191642403603</v>
      </c>
      <c r="BH172" s="58">
        <f t="shared" si="116"/>
        <v>1503.3477146007508</v>
      </c>
      <c r="BI172" s="58">
        <f ca="1">AVERAGE(OFFSET($BH$3,0,0,'Données projet'!$E$11+1,1))-AVERAGE(OFFSET($H$3,0,0,'Données projet'!$E$11+1,1))</f>
        <v>724.99760740673071</v>
      </c>
      <c r="BJ172" s="58">
        <f t="shared" si="146"/>
        <v>318.24184272438208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59.494293373239778</v>
      </c>
      <c r="BQ172" s="21">
        <f>EXP(-LN(2)/25)*BQ171+(1-EXP(-LN(2)/25))/(LN(2)/25)*Calculateur!BL172*Calculateur!BN172*VLOOKUP('Données projet'!$B$11,Paramètres!$A$1:$I$89,3,0)*0.475*44/12</f>
        <v>22.447067653821676</v>
      </c>
      <c r="BR172" s="21">
        <f>EXP(-LN(2)/2)*BR171+(1-EXP(-LN(2)/2))/(LN(2)/2)*BL172*BO172*VLOOKUP('Données projet'!$B$11,Paramètres!$A$1:$I$89,3,0)*0.475*44/12</f>
        <v>9.6469404731320817E-7</v>
      </c>
      <c r="BS172" s="22">
        <f t="shared" si="169"/>
        <v>81.9413619917555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9.6220000000000034</v>
      </c>
      <c r="BY172" s="12">
        <f>IF('Données projet'!$A$114&gt;35,BY171+BX172-CG171,IF(A172&lt;'Données projet'!$A$114,$BV$205^A172,IF(A172='Données projet'!$A$114,'Données projet'!$B$114,BY171+BX172-CG171)))</f>
        <v>562.41000000000111</v>
      </c>
      <c r="BZ172" s="13">
        <f>BY172*VLOOKUP('Données projet'!$B$12,Paramètres!$A$1:$I$89,3,0)*VLOOKUP('Données projet'!$B$12,Paramètres!$A$1:$I$89,5,0)</f>
        <v>535.189356000001</v>
      </c>
      <c r="CA172" s="13">
        <f t="shared" si="170"/>
        <v>118.70288193519161</v>
      </c>
      <c r="CB172" s="20">
        <f t="shared" si="171"/>
        <v>1138.8623144037938</v>
      </c>
      <c r="CC172" s="58">
        <f t="shared" si="119"/>
        <v>1430.2908647641843</v>
      </c>
      <c r="CD172" s="58">
        <f ca="1">AVERAGE(OFFSET($CC$3,0,0,'Données projet'!$E$12+1,1))-AVERAGE(OFFSET($H$3,0,0,'Données projet'!$E$12+1,1))</f>
        <v>684.45757350513315</v>
      </c>
      <c r="CE172" s="58">
        <f t="shared" si="148"/>
        <v>301.78148341369194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55.833106088732684</v>
      </c>
      <c r="CL172" s="21">
        <f>EXP(-LN(2)/25)*CL171+(1-EXP(-LN(2)/25))/(LN(2)/25)*Calculateur!CG172*Calculateur!CI172*VLOOKUP('Données projet'!$B$12,Paramètres!$A$1:$I$89,3,0)*0.475*44/12</f>
        <v>21.065709644355724</v>
      </c>
      <c r="CM172" s="21">
        <f>EXP(-LN(2)/2)*CM171+(1-EXP(-LN(2)/2))/(LN(2)/2)*CG172*CJ172*VLOOKUP('Données projet'!$B$12,Paramètres!$A$1:$I$89,3,0)*0.475*44/12</f>
        <v>9.0532825978624484E-7</v>
      </c>
      <c r="CN172" s="22">
        <f t="shared" si="172"/>
        <v>76.898816638416676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8" t="e">
        <f t="shared" si="122"/>
        <v>#N/A</v>
      </c>
      <c r="CY172" s="58" t="e">
        <f ca="1">AVERAGE(OFFSET($CX$3,0,0,'Données projet'!$E$13+1,1))-AVERAGE(OFFSET($H$3,0,0,'Données projet'!$E$13+1,1))</f>
        <v>#N/A</v>
      </c>
      <c r="CZ172" s="58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8" t="e">
        <f t="shared" si="125"/>
        <v>#N/A</v>
      </c>
      <c r="DT172" s="58" t="e">
        <f ca="1">AVERAGE(OFFSET($DS$3,0,0,'Données projet'!$E$14+1,1))-AVERAGE(OFFSET($H$3,0,0,'Données projet'!$E$14+1,1))</f>
        <v>#N/A</v>
      </c>
      <c r="DU172" s="58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8" t="e">
        <f t="shared" si="128"/>
        <v>#N/A</v>
      </c>
      <c r="EO172" s="58" t="e">
        <f ca="1">AVERAGE(OFFSET($EN$3,0,0,'Données projet'!$E$15+1,1))-AVERAGE(OFFSET($H$3,0,0,'Données projet'!$E$15+1,1))</f>
        <v>#N/A</v>
      </c>
      <c r="EP172" s="58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8" t="e">
        <f t="shared" si="131"/>
        <v>#N/A</v>
      </c>
      <c r="FJ172" s="58" t="e">
        <f ca="1">AVERAGE(OFFSET($FI$3,0,0,'Données projet'!$E$16+1,1))-AVERAGE(OFFSET($H$3,0,0,'Données projet'!$E$16+1,1))</f>
        <v>#N/A</v>
      </c>
      <c r="FK172" s="58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8" t="e">
        <f t="shared" si="134"/>
        <v>#N/A</v>
      </c>
      <c r="GE172" s="58" t="e">
        <f ca="1">AVERAGE(OFFSET($GD$3,0,0,'Données projet'!$E$17+1,1))-AVERAGE(OFFSET($H$3,0,0,'Données projet'!$E$17+1,1))</f>
        <v>#N/A</v>
      </c>
      <c r="GF172" s="58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69.480513734651964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8" t="e">
        <f t="shared" si="137"/>
        <v>#N/A</v>
      </c>
      <c r="GZ172" s="58" t="e">
        <f ca="1">AVERAGE(OFFSET($GY$3,0,0,'Données projet'!$E$18+1,1))-AVERAGE(OFFSET($H$3,0,0,'Données projet'!$E$18+1,1))</f>
        <v>#N/A</v>
      </c>
      <c r="HA172" s="58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2">
        <f>'Scénario référence'!$B$16*5+'Scénario référence'!$B$17*0+'Scénario référence'!$B$18*5</f>
        <v>2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7.333333333333333</v>
      </c>
      <c r="H173" s="66">
        <f t="shared" si="110"/>
        <v>227.33333333333334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9.6220000000000034</v>
      </c>
      <c r="N173" s="13">
        <f>IF('Données projet'!$A$36&gt;35,N172+M173-V172,IF(A173&lt;'Données projet'!$A$36,$K$205^A173,IF(A173='Données projet'!$A$36,'Données projet'!$B$36,N172+M173-V172)))</f>
        <v>572.03200000000106</v>
      </c>
      <c r="O173" s="13">
        <f>N173*VLOOKUP('Données projet'!$B$9,Paramètres!$A$1:$I$89,3,0)*VLOOKUP('Données projet'!$B$9,Paramètres!$A$1:$I$89,5,0)</f>
        <v>517.57455360000097</v>
      </c>
      <c r="P173" s="13">
        <f t="shared" si="141"/>
        <v>115.24405568945055</v>
      </c>
      <c r="Q173" s="20">
        <f t="shared" si="162"/>
        <v>1102.1590778457946</v>
      </c>
      <c r="R173" s="58">
        <f t="shared" si="109"/>
        <v>1393.6206719323091</v>
      </c>
      <c r="S173" s="58">
        <f ca="1">AVERAGE(OFFSET($R$3,0,0,'Données projet'!$E$9+1,1))-AVERAGE(OFFSET($H$3,0,0,'Données projet'!$E$9+1,1))</f>
        <v>654.0179680178212</v>
      </c>
      <c r="T173" s="58">
        <f t="shared" si="142"/>
        <v>289.42065570013369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52.046207706943505</v>
      </c>
      <c r="AA173" s="21">
        <f>EXP(-LN(2)/25)*AA172+(1-EXP(-LN(2)/25))/(LN(2)/25)*Calculateur!V173*Calculateur!X173*VLOOKUP('Données projet'!$B$9,Paramètres!$A$1:$I$89,3,0)*0.475*44/12</f>
        <v>19.481978179792311</v>
      </c>
      <c r="AB173" s="21">
        <f>EXP(-LN(2)/2)*AB172+(1-EXP(-LN(2)/2))/(LN(2)/2)*V173*Y173*VLOOKUP('Données projet'!$B$9,Paramètres!$A$1:$I$89,3,0)*0.475*44/12</f>
        <v>6.0868028849656974E-7</v>
      </c>
      <c r="AC173" s="22">
        <f t="shared" si="163"/>
        <v>71.528186495416108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8">
        <f t="shared" si="113"/>
        <v>291.46159408652119</v>
      </c>
      <c r="AN173" s="58">
        <f ca="1">AVERAGE(OFFSET($AM$3,0,0,'Données projet'!$E$10+1,1))-AVERAGE(OFFSET($H$3,0,0,'Données projet'!$E$10+1,1))</f>
        <v>447.44638185108147</v>
      </c>
      <c r="AO173" s="58">
        <f t="shared" si="144"/>
        <v>384.84260115068605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29.846292513130784</v>
      </c>
      <c r="AV173" s="21">
        <f>EXP(-LN(2)/25)*AV172+(1-EXP(-LN(2)/25))/(LN(2)/25)*Calculateur!AQ173*Calculateur!AS173*VLOOKUP('Données projet'!$B$10,Paramètres!$A$1:$I$89,3,0)*0.475*44/12</f>
        <v>4.7959133692935234</v>
      </c>
      <c r="AW173" s="21">
        <f>EXP(-LN(2)/2)*AW172+(1-EXP(-LN(2)/2))/(LN(2)/2)*AQ173*AT173*VLOOKUP('Données projet'!$B$10,Paramètres!$A$1:$I$89,3,0)*0.475*44/12</f>
        <v>6.4892759833039608E-13</v>
      </c>
      <c r="AX173" s="21">
        <f t="shared" si="166"/>
        <v>34.642205882424953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580.04044800000111</v>
      </c>
      <c r="BF173" s="13">
        <f t="shared" si="167"/>
        <v>127.45116231789045</v>
      </c>
      <c r="BG173" s="20">
        <f t="shared" si="168"/>
        <v>1232.2145546369943</v>
      </c>
      <c r="BH173" s="58">
        <f t="shared" si="116"/>
        <v>1523.6761487235087</v>
      </c>
      <c r="BI173" s="58">
        <f ca="1">AVERAGE(OFFSET($BH$3,0,0,'Données projet'!$E$11+1,1))-AVERAGE(OFFSET($H$3,0,0,'Données projet'!$E$11+1,1))</f>
        <v>724.99760740673071</v>
      </c>
      <c r="BJ173" s="58">
        <f t="shared" si="146"/>
        <v>318.24184272438208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58.327646568126369</v>
      </c>
      <c r="BQ173" s="21">
        <f>EXP(-LN(2)/25)*BQ172+(1-EXP(-LN(2)/25))/(LN(2)/25)*Calculateur!BL173*Calculateur!BN173*VLOOKUP('Données projet'!$B$11,Paramètres!$A$1:$I$89,3,0)*0.475*44/12</f>
        <v>21.833251408387937</v>
      </c>
      <c r="BR173" s="21">
        <f>EXP(-LN(2)/2)*BR172+(1-EXP(-LN(2)/2))/(LN(2)/2)*BL173*BO173*VLOOKUP('Données projet'!$B$11,Paramètres!$A$1:$I$89,3,0)*0.475*44/12</f>
        <v>6.8214170262546562E-7</v>
      </c>
      <c r="BS173" s="22">
        <f t="shared" si="169"/>
        <v>80.160898658656009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9.6220000000000034</v>
      </c>
      <c r="BY173" s="12">
        <f>IF('Données projet'!$A$114&gt;35,BY172+BX173-CG172,IF(A173&lt;'Données projet'!$A$114,$BV$205^A173,IF(A173='Données projet'!$A$114,'Données projet'!$B$114,BY172+BX173-CG172)))</f>
        <v>572.03200000000106</v>
      </c>
      <c r="BZ173" s="13">
        <f>BY173*VLOOKUP('Données projet'!$B$12,Paramètres!$A$1:$I$89,3,0)*VLOOKUP('Données projet'!$B$12,Paramètres!$A$1:$I$89,5,0)</f>
        <v>544.34565120000104</v>
      </c>
      <c r="CA173" s="13">
        <f t="shared" si="170"/>
        <v>120.49554789026885</v>
      </c>
      <c r="CB173" s="20">
        <f t="shared" si="171"/>
        <v>1157.9317550822202</v>
      </c>
      <c r="CC173" s="58">
        <f t="shared" si="119"/>
        <v>1449.3933491687346</v>
      </c>
      <c r="CD173" s="58">
        <f ca="1">AVERAGE(OFFSET($CC$3,0,0,'Données projet'!$E$12+1,1))-AVERAGE(OFFSET($H$3,0,0,'Données projet'!$E$12+1,1))</f>
        <v>684.45757350513315</v>
      </c>
      <c r="CE173" s="58">
        <f t="shared" si="148"/>
        <v>301.78148341369194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54.738252933164716</v>
      </c>
      <c r="CL173" s="21">
        <f>EXP(-LN(2)/25)*CL172+(1-EXP(-LN(2)/25))/(LN(2)/25)*Calculateur!CG173*Calculateur!CI173*VLOOKUP('Données projet'!$B$12,Paramètres!$A$1:$I$89,3,0)*0.475*44/12</f>
        <v>20.489666706333292</v>
      </c>
      <c r="CM173" s="21">
        <f>EXP(-LN(2)/2)*CM172+(1-EXP(-LN(2)/2))/(LN(2)/2)*CG173*CJ173*VLOOKUP('Données projet'!$B$12,Paramètres!$A$1:$I$89,3,0)*0.475*44/12</f>
        <v>6.4016375169467007E-7</v>
      </c>
      <c r="CN173" s="22">
        <f t="shared" si="172"/>
        <v>75.22792027966176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8" t="e">
        <f t="shared" si="122"/>
        <v>#N/A</v>
      </c>
      <c r="CY173" s="58" t="e">
        <f ca="1">AVERAGE(OFFSET($CX$3,0,0,'Données projet'!$E$13+1,1))-AVERAGE(OFFSET($H$3,0,0,'Données projet'!$E$13+1,1))</f>
        <v>#N/A</v>
      </c>
      <c r="CZ173" s="58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8" t="e">
        <f t="shared" si="125"/>
        <v>#N/A</v>
      </c>
      <c r="DT173" s="58" t="e">
        <f ca="1">AVERAGE(OFFSET($DS$3,0,0,'Données projet'!$E$14+1,1))-AVERAGE(OFFSET($H$3,0,0,'Données projet'!$E$14+1,1))</f>
        <v>#N/A</v>
      </c>
      <c r="DU173" s="58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8" t="e">
        <f t="shared" si="128"/>
        <v>#N/A</v>
      </c>
      <c r="EO173" s="58" t="e">
        <f ca="1">AVERAGE(OFFSET($EN$3,0,0,'Données projet'!$E$15+1,1))-AVERAGE(OFFSET($H$3,0,0,'Données projet'!$E$15+1,1))</f>
        <v>#N/A</v>
      </c>
      <c r="EP173" s="58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8" t="e">
        <f t="shared" si="131"/>
        <v>#N/A</v>
      </c>
      <c r="FJ173" s="58" t="e">
        <f ca="1">AVERAGE(OFFSET($FI$3,0,0,'Données projet'!$E$16+1,1))-AVERAGE(OFFSET($H$3,0,0,'Données projet'!$E$16+1,1))</f>
        <v>#N/A</v>
      </c>
      <c r="FK173" s="58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8" t="e">
        <f t="shared" si="134"/>
        <v>#N/A</v>
      </c>
      <c r="GE173" s="58" t="e">
        <f ca="1">AVERAGE(OFFSET($GD$3,0,0,'Données projet'!$E$17+1,1))-AVERAGE(OFFSET($H$3,0,0,'Données projet'!$E$17+1,1))</f>
        <v>#N/A</v>
      </c>
      <c r="GF173" s="58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69.48952565995846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8" t="e">
        <f t="shared" si="137"/>
        <v>#N/A</v>
      </c>
      <c r="GZ173" s="58" t="e">
        <f ca="1">AVERAGE(OFFSET($GY$3,0,0,'Données projet'!$E$18+1,1))-AVERAGE(OFFSET($H$3,0,0,'Données projet'!$E$18+1,1))</f>
        <v>#N/A</v>
      </c>
      <c r="HA173" s="58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2">
        <f>'Scénario référence'!$B$16*5+'Scénario référence'!$B$17*0+'Scénario référence'!$B$18*5</f>
        <v>2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7.333333333333333</v>
      </c>
      <c r="H174" s="66">
        <f t="shared" si="110"/>
        <v>227.33333333333334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9.6220000000000034</v>
      </c>
      <c r="N174" s="13">
        <f>IF('Données projet'!$A$36&gt;35,N173+M174-V173,IF(A174&lt;'Données projet'!$A$36,$K$205^A174,IF(A174='Données projet'!$A$36,'Données projet'!$B$36,N173+M174-V173)))</f>
        <v>581.65400000000102</v>
      </c>
      <c r="O174" s="13">
        <f>N174*VLOOKUP('Données projet'!$B$9,Paramètres!$A$1:$I$89,3,0)*VLOOKUP('Données projet'!$B$9,Paramètres!$A$1:$I$89,5,0)</f>
        <v>526.28053920000093</v>
      </c>
      <c r="P174" s="13">
        <f t="shared" si="141"/>
        <v>116.95523902184036</v>
      </c>
      <c r="Q174" s="20">
        <f t="shared" si="162"/>
        <v>1120.3023137363737</v>
      </c>
      <c r="R174" s="58">
        <f t="shared" si="109"/>
        <v>1411.7963783142382</v>
      </c>
      <c r="S174" s="58">
        <f ca="1">AVERAGE(OFFSET($R$3,0,0,'Données projet'!$E$9+1,1))-AVERAGE(OFFSET($H$3,0,0,'Données projet'!$E$9+1,1))</f>
        <v>654.0179680178212</v>
      </c>
      <c r="T174" s="58">
        <f t="shared" si="142"/>
        <v>289.42065570013369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51.025613318862483</v>
      </c>
      <c r="AA174" s="21">
        <f>EXP(-LN(2)/25)*AA173+(1-EXP(-LN(2)/25))/(LN(2)/25)*Calculateur!V174*Calculateur!X174*VLOOKUP('Données projet'!$B$9,Paramètres!$A$1:$I$89,3,0)*0.475*44/12</f>
        <v>18.949242461953183</v>
      </c>
      <c r="AB174" s="21">
        <f>EXP(-LN(2)/2)*AB173+(1-EXP(-LN(2)/2))/(LN(2)/2)*V174*Y174*VLOOKUP('Données projet'!$B$9,Paramètres!$A$1:$I$89,3,0)*0.475*44/12</f>
        <v>4.3040195957050856E-7</v>
      </c>
      <c r="AC174" s="22">
        <f t="shared" si="163"/>
        <v>69.974856211217613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8">
        <f t="shared" si="113"/>
        <v>291.49406457787137</v>
      </c>
      <c r="AN174" s="58">
        <f ca="1">AVERAGE(OFFSET($AM$3,0,0,'Données projet'!$E$10+1,1))-AVERAGE(OFFSET($H$3,0,0,'Données projet'!$E$10+1,1))</f>
        <v>447.44638185108147</v>
      </c>
      <c r="AO174" s="58">
        <f t="shared" si="144"/>
        <v>384.84260115068605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29.261024921389183</v>
      </c>
      <c r="AV174" s="21">
        <f>EXP(-LN(2)/25)*AV173+(1-EXP(-LN(2)/25))/(LN(2)/25)*Calculateur!AQ174*Calculateur!AS174*VLOOKUP('Données projet'!$B$10,Paramètres!$A$1:$I$89,3,0)*0.475*44/12</f>
        <v>4.6647688660040689</v>
      </c>
      <c r="AW174" s="21">
        <f>EXP(-LN(2)/2)*AW173+(1-EXP(-LN(2)/2))/(LN(2)/2)*AQ174*AT174*VLOOKUP('Données projet'!$B$10,Paramètres!$A$1:$I$89,3,0)*0.475*44/12</f>
        <v>4.5886110527852318E-13</v>
      </c>
      <c r="AX174" s="21">
        <f t="shared" si="166"/>
        <v>33.925793787393715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589.79715600000111</v>
      </c>
      <c r="BF174" s="13">
        <f t="shared" si="167"/>
        <v>129.34360096340086</v>
      </c>
      <c r="BG174" s="20">
        <f t="shared" si="168"/>
        <v>1252.5034850445916</v>
      </c>
      <c r="BH174" s="58">
        <f t="shared" si="116"/>
        <v>1543.9975496224561</v>
      </c>
      <c r="BI174" s="58">
        <f ca="1">AVERAGE(OFFSET($BH$3,0,0,'Données projet'!$E$11+1,1))-AVERAGE(OFFSET($H$3,0,0,'Données projet'!$E$11+1,1))</f>
        <v>724.99760740673071</v>
      </c>
      <c r="BJ174" s="58">
        <f t="shared" si="146"/>
        <v>318.24184272438208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57.183876995276947</v>
      </c>
      <c r="BQ174" s="21">
        <f>EXP(-LN(2)/25)*BQ173+(1-EXP(-LN(2)/25))/(LN(2)/25)*Calculateur!BL174*Calculateur!BN174*VLOOKUP('Données projet'!$B$11,Paramètres!$A$1:$I$89,3,0)*0.475*44/12</f>
        <v>21.23622000046478</v>
      </c>
      <c r="BR174" s="21">
        <f>EXP(-LN(2)/2)*BR173+(1-EXP(-LN(2)/2))/(LN(2)/2)*BL174*BO174*VLOOKUP('Données projet'!$B$11,Paramètres!$A$1:$I$89,3,0)*0.475*44/12</f>
        <v>4.8234702365660409E-7</v>
      </c>
      <c r="BS174" s="22">
        <f t="shared" si="169"/>
        <v>78.420097478088749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9.6220000000000034</v>
      </c>
      <c r="BY174" s="12">
        <f>IF('Données projet'!$A$114&gt;35,BY173+BX174-CG173,IF(A174&lt;'Données projet'!$A$114,$BV$205^A174,IF(A174='Données projet'!$A$114,'Données projet'!$B$114,BY173+BX174-CG173)))</f>
        <v>581.65400000000102</v>
      </c>
      <c r="BZ174" s="13">
        <f>BY174*VLOOKUP('Données projet'!$B$12,Paramètres!$A$1:$I$89,3,0)*VLOOKUP('Données projet'!$B$12,Paramètres!$A$1:$I$89,5,0)</f>
        <v>553.50194640000097</v>
      </c>
      <c r="CA174" s="13">
        <f t="shared" si="170"/>
        <v>122.28470718307115</v>
      </c>
      <c r="CB174" s="20">
        <f t="shared" si="171"/>
        <v>1176.9950883238507</v>
      </c>
      <c r="CC174" s="58">
        <f t="shared" si="119"/>
        <v>1468.4891529017152</v>
      </c>
      <c r="CD174" s="58">
        <f ca="1">AVERAGE(OFFSET($CC$3,0,0,'Données projet'!$E$12+1,1))-AVERAGE(OFFSET($H$3,0,0,'Données projet'!$E$12+1,1))</f>
        <v>684.45757350513315</v>
      </c>
      <c r="CE174" s="58">
        <f t="shared" si="148"/>
        <v>301.78148341369194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53.664869180182947</v>
      </c>
      <c r="CL174" s="21">
        <f>EXP(-LN(2)/25)*CL173+(1-EXP(-LN(2)/25))/(LN(2)/25)*Calculateur!CG174*Calculateur!CI174*VLOOKUP('Données projet'!$B$12,Paramètres!$A$1:$I$89,3,0)*0.475*44/12</f>
        <v>19.929375692743864</v>
      </c>
      <c r="CM174" s="21">
        <f>EXP(-LN(2)/2)*CM173+(1-EXP(-LN(2)/2))/(LN(2)/2)*CG174*CJ174*VLOOKUP('Données projet'!$B$12,Paramètres!$A$1:$I$89,3,0)*0.475*44/12</f>
        <v>4.5266412989312242E-7</v>
      </c>
      <c r="CN174" s="22">
        <f t="shared" si="172"/>
        <v>73.594245325590933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8" t="e">
        <f t="shared" si="122"/>
        <v>#N/A</v>
      </c>
      <c r="CY174" s="58" t="e">
        <f ca="1">AVERAGE(OFFSET($CX$3,0,0,'Données projet'!$E$13+1,1))-AVERAGE(OFFSET($H$3,0,0,'Données projet'!$E$13+1,1))</f>
        <v>#N/A</v>
      </c>
      <c r="CZ174" s="58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8" t="e">
        <f t="shared" si="125"/>
        <v>#N/A</v>
      </c>
      <c r="DT174" s="58" t="e">
        <f ca="1">AVERAGE(OFFSET($DS$3,0,0,'Données projet'!$E$14+1,1))-AVERAGE(OFFSET($H$3,0,0,'Données projet'!$E$14+1,1))</f>
        <v>#N/A</v>
      </c>
      <c r="DU174" s="58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8" t="e">
        <f t="shared" si="128"/>
        <v>#N/A</v>
      </c>
      <c r="EO174" s="58" t="e">
        <f ca="1">AVERAGE(OFFSET($EN$3,0,0,'Données projet'!$E$15+1,1))-AVERAGE(OFFSET($H$3,0,0,'Données projet'!$E$15+1,1))</f>
        <v>#N/A</v>
      </c>
      <c r="EP174" s="58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8" t="e">
        <f t="shared" si="131"/>
        <v>#N/A</v>
      </c>
      <c r="FJ174" s="58" t="e">
        <f ca="1">AVERAGE(OFFSET($FI$3,0,0,'Données projet'!$E$16+1,1))-AVERAGE(OFFSET($H$3,0,0,'Données projet'!$E$16+1,1))</f>
        <v>#N/A</v>
      </c>
      <c r="FK174" s="58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8" t="e">
        <f t="shared" si="134"/>
        <v>#N/A</v>
      </c>
      <c r="GE174" s="58" t="e">
        <f ca="1">AVERAGE(OFFSET($GD$3,0,0,'Données projet'!$E$17+1,1))-AVERAGE(OFFSET($H$3,0,0,'Données projet'!$E$17+1,1))</f>
        <v>#N/A</v>
      </c>
      <c r="GF174" s="58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69.498381248508522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8" t="e">
        <f t="shared" si="137"/>
        <v>#N/A</v>
      </c>
      <c r="GZ174" s="58" t="e">
        <f ca="1">AVERAGE(OFFSET($GY$3,0,0,'Données projet'!$E$18+1,1))-AVERAGE(OFFSET($H$3,0,0,'Données projet'!$E$18+1,1))</f>
        <v>#N/A</v>
      </c>
      <c r="HA174" s="58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2">
        <f>'Scénario référence'!$B$16*5+'Scénario référence'!$B$17*0+'Scénario référence'!$B$18*5</f>
        <v>2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7.333333333333333</v>
      </c>
      <c r="H175" s="66">
        <f t="shared" si="110"/>
        <v>227.33333333333334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9.6220000000000034</v>
      </c>
      <c r="N175" s="13">
        <f>IF('Données projet'!$A$36&gt;35,N174+M175-V174,IF(A175&lt;'Données projet'!$A$36,$K$205^A175,IF(A175='Données projet'!$A$36,'Données projet'!$B$36,N174+M175-V174)))</f>
        <v>591.27600000000098</v>
      </c>
      <c r="O175" s="13">
        <f>N175*VLOOKUP('Données projet'!$B$9,Paramètres!$A$1:$I$89,3,0)*VLOOKUP('Données projet'!$B$9,Paramètres!$A$1:$I$89,5,0)</f>
        <v>534.98652480000089</v>
      </c>
      <c r="P175" s="13">
        <f t="shared" si="141"/>
        <v>118.66313040568902</v>
      </c>
      <c r="Q175" s="20">
        <f t="shared" si="162"/>
        <v>1138.4398161499098</v>
      </c>
      <c r="R175" s="58">
        <f t="shared" si="109"/>
        <v>1429.9657879286929</v>
      </c>
      <c r="S175" s="58">
        <f ca="1">AVERAGE(OFFSET($R$3,0,0,'Données projet'!$E$9+1,1))-AVERAGE(OFFSET($H$3,0,0,'Données projet'!$E$9+1,1))</f>
        <v>654.0179680178212</v>
      </c>
      <c r="T175" s="58">
        <f t="shared" si="142"/>
        <v>289.42065570013369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50.025032164230616</v>
      </c>
      <c r="AA175" s="21">
        <f>EXP(-LN(2)/25)*AA174+(1-EXP(-LN(2)/25))/(LN(2)/25)*Calculateur!V175*Calculateur!X175*VLOOKUP('Données projet'!$B$9,Paramètres!$A$1:$I$89,3,0)*0.475*44/12</f>
        <v>18.431074430333723</v>
      </c>
      <c r="AB175" s="21">
        <f>EXP(-LN(2)/2)*AB174+(1-EXP(-LN(2)/2))/(LN(2)/2)*V175*Y175*VLOOKUP('Données projet'!$B$9,Paramètres!$A$1:$I$89,3,0)*0.475*44/12</f>
        <v>3.0434014424828487E-7</v>
      </c>
      <c r="AC175" s="22">
        <f t="shared" si="163"/>
        <v>68.456106898904494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8">
        <f t="shared" si="113"/>
        <v>291.52597177878982</v>
      </c>
      <c r="AN175" s="58">
        <f ca="1">AVERAGE(OFFSET($AM$3,0,0,'Données projet'!$E$10+1,1))-AVERAGE(OFFSET($H$3,0,0,'Données projet'!$E$10+1,1))</f>
        <v>447.44638185108147</v>
      </c>
      <c r="AO175" s="58">
        <f t="shared" si="144"/>
        <v>384.84260115068605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28.687234070143653</v>
      </c>
      <c r="AV175" s="21">
        <f>EXP(-LN(2)/25)*AV174+(1-EXP(-LN(2)/25))/(LN(2)/25)*Calculateur!AQ175*Calculateur!AS175*VLOOKUP('Données projet'!$B$10,Paramètres!$A$1:$I$89,3,0)*0.475*44/12</f>
        <v>4.5372105160536549</v>
      </c>
      <c r="AW175" s="21">
        <f>EXP(-LN(2)/2)*AW174+(1-EXP(-LN(2)/2))/(LN(2)/2)*AQ175*AT175*VLOOKUP('Données projet'!$B$10,Paramètres!$A$1:$I$89,3,0)*0.475*44/12</f>
        <v>3.2446379916519804E-13</v>
      </c>
      <c r="AX175" s="21">
        <f t="shared" si="166"/>
        <v>33.224444586197635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599.553864000001</v>
      </c>
      <c r="BF175" s="13">
        <f t="shared" si="167"/>
        <v>131.23239896414796</v>
      </c>
      <c r="BG175" s="20">
        <f t="shared" si="168"/>
        <v>1272.7860746625593</v>
      </c>
      <c r="BH175" s="58">
        <f t="shared" si="116"/>
        <v>1564.3120464413423</v>
      </c>
      <c r="BI175" s="58">
        <f ca="1">AVERAGE(OFFSET($BH$3,0,0,'Données projet'!$E$11+1,1))-AVERAGE(OFFSET($H$3,0,0,'Données projet'!$E$11+1,1))</f>
        <v>724.99760740673071</v>
      </c>
      <c r="BJ175" s="58">
        <f t="shared" si="146"/>
        <v>318.24184272438208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56.062536046120549</v>
      </c>
      <c r="BQ175" s="21">
        <f>EXP(-LN(2)/25)*BQ174+(1-EXP(-LN(2)/25))/(LN(2)/25)*Calculateur!BL175*Calculateur!BN175*VLOOKUP('Données projet'!$B$11,Paramètres!$A$1:$I$89,3,0)*0.475*44/12</f>
        <v>20.655514447787798</v>
      </c>
      <c r="BR175" s="21">
        <f>EXP(-LN(2)/2)*BR174+(1-EXP(-LN(2)/2))/(LN(2)/2)*BL175*BO175*VLOOKUP('Données projet'!$B$11,Paramètres!$A$1:$I$89,3,0)*0.475*44/12</f>
        <v>3.4107085131273281E-7</v>
      </c>
      <c r="BS175" s="22">
        <f t="shared" si="169"/>
        <v>76.718050834979195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9.6220000000000034</v>
      </c>
      <c r="BY175" s="12">
        <f>IF('Données projet'!$A$114&gt;35,BY174+BX175-CG174,IF(A175&lt;'Données projet'!$A$114,$BV$205^A175,IF(A175='Données projet'!$A$114,'Données projet'!$B$114,BY174+BX175-CG174)))</f>
        <v>591.27600000000098</v>
      </c>
      <c r="BZ175" s="13">
        <f>BY175*VLOOKUP('Données projet'!$B$12,Paramètres!$A$1:$I$89,3,0)*VLOOKUP('Données projet'!$B$12,Paramètres!$A$1:$I$89,5,0)</f>
        <v>562.65824160000091</v>
      </c>
      <c r="CA175" s="13">
        <f t="shared" si="170"/>
        <v>124.07042451836233</v>
      </c>
      <c r="CB175" s="20">
        <f t="shared" si="171"/>
        <v>1196.052426822816</v>
      </c>
      <c r="CC175" s="58">
        <f t="shared" si="119"/>
        <v>1487.578398601599</v>
      </c>
      <c r="CD175" s="58">
        <f ca="1">AVERAGE(OFFSET($CC$3,0,0,'Données projet'!$E$12+1,1))-AVERAGE(OFFSET($H$3,0,0,'Données projet'!$E$12+1,1))</f>
        <v>684.45757350513315</v>
      </c>
      <c r="CE175" s="58">
        <f t="shared" si="148"/>
        <v>301.78148341369194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52.612533827897707</v>
      </c>
      <c r="CL175" s="21">
        <f>EXP(-LN(2)/25)*CL174+(1-EXP(-LN(2)/25))/(LN(2)/25)*Calculateur!CG175*Calculateur!CI175*VLOOKUP('Données projet'!$B$12,Paramètres!$A$1:$I$89,3,0)*0.475*44/12</f>
        <v>19.384405866385464</v>
      </c>
      <c r="CM175" s="21">
        <f>EXP(-LN(2)/2)*CM174+(1-EXP(-LN(2)/2))/(LN(2)/2)*CG175*CJ175*VLOOKUP('Données projet'!$B$12,Paramètres!$A$1:$I$89,3,0)*0.475*44/12</f>
        <v>3.2008187584733504E-7</v>
      </c>
      <c r="CN175" s="22">
        <f t="shared" si="172"/>
        <v>71.996940014365052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8" t="e">
        <f t="shared" si="122"/>
        <v>#N/A</v>
      </c>
      <c r="CY175" s="58" t="e">
        <f ca="1">AVERAGE(OFFSET($CX$3,0,0,'Données projet'!$E$13+1,1))-AVERAGE(OFFSET($H$3,0,0,'Données projet'!$E$13+1,1))</f>
        <v>#N/A</v>
      </c>
      <c r="CZ175" s="58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8" t="e">
        <f t="shared" si="125"/>
        <v>#N/A</v>
      </c>
      <c r="DT175" s="58" t="e">
        <f ca="1">AVERAGE(OFFSET($DS$3,0,0,'Données projet'!$E$14+1,1))-AVERAGE(OFFSET($H$3,0,0,'Données projet'!$E$14+1,1))</f>
        <v>#N/A</v>
      </c>
      <c r="DU175" s="58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8" t="e">
        <f t="shared" si="128"/>
        <v>#N/A</v>
      </c>
      <c r="EO175" s="58" t="e">
        <f ca="1">AVERAGE(OFFSET($EN$3,0,0,'Données projet'!$E$15+1,1))-AVERAGE(OFFSET($H$3,0,0,'Données projet'!$E$15+1,1))</f>
        <v>#N/A</v>
      </c>
      <c r="EP175" s="58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8" t="e">
        <f t="shared" si="131"/>
        <v>#N/A</v>
      </c>
      <c r="FJ175" s="58" t="e">
        <f ca="1">AVERAGE(OFFSET($FI$3,0,0,'Données projet'!$E$16+1,1))-AVERAGE(OFFSET($H$3,0,0,'Données projet'!$E$16+1,1))</f>
        <v>#N/A</v>
      </c>
      <c r="FK175" s="58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8" t="e">
        <f t="shared" si="134"/>
        <v>#N/A</v>
      </c>
      <c r="GE175" s="58" t="e">
        <f ca="1">AVERAGE(OFFSET($GD$3,0,0,'Données projet'!$E$17+1,1))-AVERAGE(OFFSET($H$3,0,0,'Données projet'!$E$17+1,1))</f>
        <v>#N/A</v>
      </c>
      <c r="GF175" s="58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69.507083212395372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8" t="e">
        <f t="shared" si="137"/>
        <v>#N/A</v>
      </c>
      <c r="GZ175" s="58" t="e">
        <f ca="1">AVERAGE(OFFSET($GY$3,0,0,'Données projet'!$E$18+1,1))-AVERAGE(OFFSET($H$3,0,0,'Données projet'!$E$18+1,1))</f>
        <v>#N/A</v>
      </c>
      <c r="HA175" s="58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2">
        <f>'Scénario référence'!$B$16*5+'Scénario référence'!$B$17*0+'Scénario référence'!$B$18*5</f>
        <v>2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7.333333333333333</v>
      </c>
      <c r="H176" s="66">
        <f t="shared" si="110"/>
        <v>227.33333333333334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9.6220000000000034</v>
      </c>
      <c r="N176" s="13">
        <f>IF('Données projet'!$A$36&gt;35,N175+M176-V175,IF(A176&lt;'Données projet'!$A$36,$K$205^A176,IF(A176='Données projet'!$A$36,'Données projet'!$B$36,N175+M176-V175)))</f>
        <v>600.89800000000093</v>
      </c>
      <c r="O176" s="13">
        <f>N176*VLOOKUP('Données projet'!$B$9,Paramètres!$A$1:$I$89,3,0)*VLOOKUP('Données projet'!$B$9,Paramètres!$A$1:$I$89,5,0)</f>
        <v>543.69251040000086</v>
      </c>
      <c r="P176" s="13">
        <f t="shared" si="141"/>
        <v>120.36778959614513</v>
      </c>
      <c r="Q176" s="20">
        <f t="shared" si="162"/>
        <v>1156.5716891599543</v>
      </c>
      <c r="R176" s="58">
        <f t="shared" si="109"/>
        <v>1448.1290146210538</v>
      </c>
      <c r="S176" s="58">
        <f ca="1">AVERAGE(OFFSET($R$3,0,0,'Données projet'!$E$9+1,1))-AVERAGE(OFFSET($H$3,0,0,'Données projet'!$E$9+1,1))</f>
        <v>654.0179680178212</v>
      </c>
      <c r="T176" s="58">
        <f t="shared" si="142"/>
        <v>289.42065570013369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49.044071795746838</v>
      </c>
      <c r="AA176" s="21">
        <f>EXP(-LN(2)/25)*AA175+(1-EXP(-LN(2)/25))/(LN(2)/25)*Calculateur!V176*Calculateur!X176*VLOOKUP('Données projet'!$B$9,Paramètres!$A$1:$I$89,3,0)*0.475*44/12</f>
        <v>17.927075730788168</v>
      </c>
      <c r="AB176" s="21">
        <f>EXP(-LN(2)/2)*AB175+(1-EXP(-LN(2)/2))/(LN(2)/2)*V176*Y176*VLOOKUP('Données projet'!$B$9,Paramètres!$A$1:$I$89,3,0)*0.475*44/12</f>
        <v>2.1520097978525428E-7</v>
      </c>
      <c r="AC176" s="22">
        <f t="shared" si="163"/>
        <v>66.97114774173599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8">
        <f t="shared" si="113"/>
        <v>291.55732546110625</v>
      </c>
      <c r="AN176" s="58">
        <f ca="1">AVERAGE(OFFSET($AM$3,0,0,'Données projet'!$E$10+1,1))-AVERAGE(OFFSET($H$3,0,0,'Données projet'!$E$10+1,1))</f>
        <v>447.44638185108147</v>
      </c>
      <c r="AO176" s="58">
        <f t="shared" si="144"/>
        <v>384.84260115068605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28.124694907513184</v>
      </c>
      <c r="AV176" s="21">
        <f>EXP(-LN(2)/25)*AV175+(1-EXP(-LN(2)/25))/(LN(2)/25)*Calculateur!AQ176*Calculateur!AS176*VLOOKUP('Données projet'!$B$10,Paramètres!$A$1:$I$89,3,0)*0.475*44/12</f>
        <v>4.413140255890637</v>
      </c>
      <c r="AW176" s="21">
        <f>EXP(-LN(2)/2)*AW175+(1-EXP(-LN(2)/2))/(LN(2)/2)*AQ176*AT176*VLOOKUP('Données projet'!$B$10,Paramètres!$A$1:$I$89,3,0)*0.475*44/12</f>
        <v>2.2943055263926159E-13</v>
      </c>
      <c r="AX176" s="21">
        <f t="shared" si="166"/>
        <v>32.537835163404047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609.310572000001</v>
      </c>
      <c r="BF176" s="13">
        <f t="shared" si="167"/>
        <v>133.11762240478217</v>
      </c>
      <c r="BG176" s="20">
        <f t="shared" si="168"/>
        <v>1293.0624385883307</v>
      </c>
      <c r="BH176" s="58">
        <f t="shared" si="116"/>
        <v>1584.6197640494302</v>
      </c>
      <c r="BI176" s="58">
        <f ca="1">AVERAGE(OFFSET($BH$3,0,0,'Données projet'!$E$11+1,1))-AVERAGE(OFFSET($H$3,0,0,'Données projet'!$E$11+1,1))</f>
        <v>724.99760740673071</v>
      </c>
      <c r="BJ176" s="58">
        <f t="shared" si="146"/>
        <v>318.24184272438208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54.963183909026661</v>
      </c>
      <c r="BQ176" s="21">
        <f>EXP(-LN(2)/25)*BQ175+(1-EXP(-LN(2)/25))/(LN(2)/25)*Calculateur!BL176*Calculateur!BN176*VLOOKUP('Données projet'!$B$11,Paramètres!$A$1:$I$89,3,0)*0.475*44/12</f>
        <v>20.090688318986746</v>
      </c>
      <c r="BR176" s="21">
        <f>EXP(-LN(2)/2)*BR175+(1-EXP(-LN(2)/2))/(LN(2)/2)*BL176*BO176*VLOOKUP('Données projet'!$B$11,Paramètres!$A$1:$I$89,3,0)*0.475*44/12</f>
        <v>2.4117351182830204E-7</v>
      </c>
      <c r="BS176" s="22">
        <f t="shared" si="169"/>
        <v>75.053872469186913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9.6220000000000034</v>
      </c>
      <c r="BY176" s="12">
        <f>IF('Données projet'!$A$114&gt;35,BY175+BX176-CG175,IF(A176&lt;'Données projet'!$A$114,$BV$205^A176,IF(A176='Données projet'!$A$114,'Données projet'!$B$114,BY175+BX176-CG175)))</f>
        <v>600.89800000000093</v>
      </c>
      <c r="BZ176" s="13">
        <f>BY176*VLOOKUP('Données projet'!$B$12,Paramètres!$A$1:$I$89,3,0)*VLOOKUP('Données projet'!$B$12,Paramètres!$A$1:$I$89,5,0)</f>
        <v>571.81453680000084</v>
      </c>
      <c r="CA176" s="13">
        <f t="shared" si="170"/>
        <v>125.85276237424009</v>
      </c>
      <c r="CB176" s="20">
        <f t="shared" si="171"/>
        <v>1215.1038793951363</v>
      </c>
      <c r="CC176" s="58">
        <f t="shared" si="119"/>
        <v>1506.6612048562358</v>
      </c>
      <c r="CD176" s="58">
        <f ca="1">AVERAGE(OFFSET($CC$3,0,0,'Données projet'!$E$12+1,1))-AVERAGE(OFFSET($H$3,0,0,'Données projet'!$E$12+1,1))</f>
        <v>684.45757350513315</v>
      </c>
      <c r="CE176" s="58">
        <f t="shared" si="148"/>
        <v>301.78148341369194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51.580834130009599</v>
      </c>
      <c r="CL176" s="21">
        <f>EXP(-LN(2)/25)*CL175+(1-EXP(-LN(2)/25))/(LN(2)/25)*Calculateur!CG176*Calculateur!CI176*VLOOKUP('Données projet'!$B$12,Paramètres!$A$1:$I$89,3,0)*0.475*44/12</f>
        <v>18.854338268587554</v>
      </c>
      <c r="CM176" s="21">
        <f>EXP(-LN(2)/2)*CM175+(1-EXP(-LN(2)/2))/(LN(2)/2)*CG176*CJ176*VLOOKUP('Données projet'!$B$12,Paramètres!$A$1:$I$89,3,0)*0.475*44/12</f>
        <v>2.2633206494656121E-7</v>
      </c>
      <c r="CN176" s="22">
        <f t="shared" si="172"/>
        <v>70.435172624929223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8" t="e">
        <f t="shared" si="122"/>
        <v>#N/A</v>
      </c>
      <c r="CY176" s="58" t="e">
        <f ca="1">AVERAGE(OFFSET($CX$3,0,0,'Données projet'!$E$13+1,1))-AVERAGE(OFFSET($H$3,0,0,'Données projet'!$E$13+1,1))</f>
        <v>#N/A</v>
      </c>
      <c r="CZ176" s="58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8" t="e">
        <f t="shared" si="125"/>
        <v>#N/A</v>
      </c>
      <c r="DT176" s="58" t="e">
        <f ca="1">AVERAGE(OFFSET($DS$3,0,0,'Données projet'!$E$14+1,1))-AVERAGE(OFFSET($H$3,0,0,'Données projet'!$E$14+1,1))</f>
        <v>#N/A</v>
      </c>
      <c r="DU176" s="58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8" t="e">
        <f t="shared" si="128"/>
        <v>#N/A</v>
      </c>
      <c r="EO176" s="58" t="e">
        <f ca="1">AVERAGE(OFFSET($EN$3,0,0,'Données projet'!$E$15+1,1))-AVERAGE(OFFSET($H$3,0,0,'Données projet'!$E$15+1,1))</f>
        <v>#N/A</v>
      </c>
      <c r="EP176" s="58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8" t="e">
        <f t="shared" si="131"/>
        <v>#N/A</v>
      </c>
      <c r="FJ176" s="58" t="e">
        <f ca="1">AVERAGE(OFFSET($FI$3,0,0,'Données projet'!$E$16+1,1))-AVERAGE(OFFSET($H$3,0,0,'Données projet'!$E$16+1,1))</f>
        <v>#N/A</v>
      </c>
      <c r="FK176" s="58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8" t="e">
        <f t="shared" si="134"/>
        <v>#N/A</v>
      </c>
      <c r="GE176" s="58" t="e">
        <f ca="1">AVERAGE(OFFSET($GD$3,0,0,'Données projet'!$E$17+1,1))-AVERAGE(OFFSET($H$3,0,0,'Données projet'!$E$17+1,1))</f>
        <v>#N/A</v>
      </c>
      <c r="GF176" s="58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69.515634216663472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8" t="e">
        <f t="shared" si="137"/>
        <v>#N/A</v>
      </c>
      <c r="GZ176" s="58" t="e">
        <f ca="1">AVERAGE(OFFSET($GY$3,0,0,'Données projet'!$E$18+1,1))-AVERAGE(OFFSET($H$3,0,0,'Données projet'!$E$18+1,1))</f>
        <v>#N/A</v>
      </c>
      <c r="HA176" s="58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2">
        <f>'Scénario référence'!$B$16*5+'Scénario référence'!$B$17*0+'Scénario référence'!$B$18*5</f>
        <v>2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7.333333333333333</v>
      </c>
      <c r="H177" s="66">
        <f t="shared" si="110"/>
        <v>227.33333333333334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610.52</v>
      </c>
      <c r="L177" s="12">
        <f>VLOOKUP(A177,'Données projet'!$A$35:$I$55,9,0)</f>
        <v>9.6220000000000034</v>
      </c>
      <c r="M177" s="12">
        <f t="array" ref="M177">INDEX(L:L,MIN(IF(ISNUMBER(L177:L373),ROW(L177:L373),"")))</f>
        <v>9.6220000000000034</v>
      </c>
      <c r="N177" s="13">
        <f>IF('Données projet'!$A$36&gt;35,N176+M177-V176,IF(A177&lt;'Données projet'!$A$36,$K$205^A177,IF(A177='Données projet'!$A$36,'Données projet'!$B$36,N176+M177-V176)))</f>
        <v>610.52000000000089</v>
      </c>
      <c r="O177" s="13">
        <f>N177*VLOOKUP('Données projet'!$B$9,Paramètres!$A$1:$I$89,3,0)*VLOOKUP('Données projet'!$B$9,Paramètres!$A$1:$I$89,5,0)</f>
        <v>552.3984960000007</v>
      </c>
      <c r="P177" s="13">
        <f t="shared" si="141"/>
        <v>122.06927432492597</v>
      </c>
      <c r="Q177" s="20">
        <f t="shared" si="162"/>
        <v>1174.698033315914</v>
      </c>
      <c r="R177" s="58">
        <f t="shared" si="109"/>
        <v>1466.286168543038</v>
      </c>
      <c r="S177" s="58">
        <f ca="1">AVERAGE(OFFSET($R$3,0,0,'Données projet'!$E$9+1,1))-AVERAGE(OFFSET($H$3,0,0,'Données projet'!$E$9+1,1))</f>
        <v>654.0179680178212</v>
      </c>
      <c r="T177" s="58">
        <f t="shared" si="142"/>
        <v>289.42065570013369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240</v>
      </c>
      <c r="W177" s="16">
        <f>IF(ISNA(VLOOKUP(A177,'Données projet'!$A$35:$I$55,5,0)),0%,VLOOKUP(A177,'Données projet'!$A$35:$I$55,5,0)*VLOOKUP('Données projet'!$B$9,Paramètres!$A$1:$I$89,7,0))</f>
        <v>0.19350000000000001</v>
      </c>
      <c r="X177" s="16">
        <f>IF(ISNA(VLOOKUP(A177,'Données projet'!$A$35:$I$55,6,0)),0%,VLOOKUP(A177,'Données projet'!$A$35:$I$55,6,0)*VLOOKUP('Données projet'!$B$9,Paramètres!$A$1:$I$89,7,0))</f>
        <v>2.1500000000000002E-2</v>
      </c>
      <c r="Y177" s="16">
        <f>IF(ISNA(VLOOKUP(A177,'Données projet'!$A$35:$I$55,7,0)),0%,VLOOKUP(A177,'Données projet'!$A$35:$I$55,7,0))</f>
        <v>0.05</v>
      </c>
      <c r="Z177" s="21">
        <f>EXP(-LN(2)/35)*Z176+(1-EXP(-LN(2)/35))/(LN(2)/35)*V177*W177*VLOOKUP('Données projet'!$B$9,Paramètres!$A$1:$I$89,3,0)*0.475*44/12</f>
        <v>94.533010057963907</v>
      </c>
      <c r="AA177" s="21">
        <f>EXP(-LN(2)/25)*AA176+(1-EXP(-LN(2)/25))/(LN(2)/25)*Calculateur!V177*Calculateur!X177*VLOOKUP('Données projet'!$B$9,Paramètres!$A$1:$I$89,3,0)*0.475*44/12</f>
        <v>22.577722084238086</v>
      </c>
      <c r="AB177" s="21">
        <f>EXP(-LN(2)/2)*AB176+(1-EXP(-LN(2)/2))/(LN(2)/2)*V177*Y177*VLOOKUP('Données projet'!$B$9,Paramètres!$A$1:$I$89,3,0)*0.475*44/12</f>
        <v>10.244437980189536</v>
      </c>
      <c r="AC177" s="22">
        <f t="shared" si="163"/>
        <v>127.35517012239153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8">
        <f t="shared" si="113"/>
        <v>291.58813522713075</v>
      </c>
      <c r="AN177" s="58">
        <f ca="1">AVERAGE(OFFSET($AM$3,0,0,'Données projet'!$E$10+1,1))-AVERAGE(OFFSET($H$3,0,0,'Données projet'!$E$10+1,1))</f>
        <v>447.44638185108147</v>
      </c>
      <c r="AO177" s="58">
        <f t="shared" si="144"/>
        <v>384.84260115068605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27.573186794746892</v>
      </c>
      <c r="AV177" s="21">
        <f>EXP(-LN(2)/25)*AV176+(1-EXP(-LN(2)/25))/(LN(2)/25)*Calculateur!AQ177*Calculateur!AS177*VLOOKUP('Données projet'!$B$10,Paramètres!$A$1:$I$89,3,0)*0.475*44/12</f>
        <v>4.2924627035163478</v>
      </c>
      <c r="AW177" s="21">
        <f>EXP(-LN(2)/2)*AW176+(1-EXP(-LN(2)/2))/(LN(2)/2)*AQ177*AT177*VLOOKUP('Données projet'!$B$10,Paramètres!$A$1:$I$89,3,0)*0.475*44/12</f>
        <v>1.6223189958259902E-13</v>
      </c>
      <c r="AX177" s="21">
        <f t="shared" si="166"/>
        <v>31.865649498263402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619.06728000000089</v>
      </c>
      <c r="BF177" s="13">
        <f t="shared" si="167"/>
        <v>134.99933513219278</v>
      </c>
      <c r="BG177" s="20">
        <f t="shared" si="168"/>
        <v>1313.332688021904</v>
      </c>
      <c r="BH177" s="58">
        <f t="shared" si="116"/>
        <v>1604.920823249028</v>
      </c>
      <c r="BI177" s="58">
        <f ca="1">AVERAGE(OFFSET($BH$3,0,0,'Données projet'!$E$11+1,1))-AVERAGE(OFFSET($H$3,0,0,'Données projet'!$E$11+1,1))</f>
        <v>724.99760740673071</v>
      </c>
      <c r="BJ177" s="58">
        <f t="shared" si="146"/>
        <v>318.24184272438208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105.94216644426993</v>
      </c>
      <c r="BQ177" s="21">
        <f>EXP(-LN(2)/25)*BQ176+(1-EXP(-LN(2)/25))/(LN(2)/25)*Calculateur!BL177*Calculateur!BN177*VLOOKUP('Données projet'!$B$11,Paramètres!$A$1:$I$89,3,0)*0.475*44/12</f>
        <v>25.30261957716338</v>
      </c>
      <c r="BR177" s="21">
        <f>EXP(-LN(2)/2)*BR176+(1-EXP(-LN(2)/2))/(LN(2)/2)*BL177*BO177*VLOOKUP('Données projet'!$B$11,Paramètres!$A$1:$I$89,3,0)*0.475*44/12</f>
        <v>11.480835667453793</v>
      </c>
      <c r="BS177" s="22">
        <f t="shared" si="169"/>
        <v>142.72562168888709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9.6220000000000034</v>
      </c>
      <c r="BX177" s="12">
        <f t="array" ref="BX177">INDEX(BW:BW,MIN(IF(ISNUMBER(BW177:BW373),ROW(BW177:BW373),"")))</f>
        <v>9.6220000000000034</v>
      </c>
      <c r="BY177" s="12">
        <f>IF('Données projet'!$A$114&gt;35,BY176+BX177-CG176,IF(A177&lt;'Données projet'!$A$114,$BV$205^A177,IF(A177='Données projet'!$A$114,'Données projet'!$B$114,BY176+BX177-CG176)))</f>
        <v>610.52000000000089</v>
      </c>
      <c r="BZ177" s="13">
        <f>BY177*VLOOKUP('Données projet'!$B$12,Paramètres!$A$1:$I$89,3,0)*VLOOKUP('Données projet'!$B$12,Paramètres!$A$1:$I$89,5,0)</f>
        <v>580.97083200000088</v>
      </c>
      <c r="CA177" s="13">
        <f t="shared" si="170"/>
        <v>127.63178111316617</v>
      </c>
      <c r="CB177" s="20">
        <f t="shared" si="171"/>
        <v>1234.1495511720993</v>
      </c>
      <c r="CC177" s="58">
        <f t="shared" si="119"/>
        <v>1525.7376863992233</v>
      </c>
      <c r="CD177" s="58">
        <f ca="1">AVERAGE(OFFSET($CC$3,0,0,'Données projet'!$E$12+1,1))-AVERAGE(OFFSET($H$3,0,0,'Données projet'!$E$12+1,1))</f>
        <v>684.45757350513315</v>
      </c>
      <c r="CE177" s="58">
        <f t="shared" si="148"/>
        <v>301.78148341369194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240</v>
      </c>
      <c r="CH177" s="16">
        <f>IF(ISNA(VLOOKUP(A177,'Données projet'!$A$113:$I$133,5,0)),0%,VLOOKUP(A177,'Données projet'!$A$113:$I$133,5,0)*VLOOKUP('Données projet'!$B$12,Paramètres!$A$1:$I$89,7,0))</f>
        <v>0.19350000000000001</v>
      </c>
      <c r="CI177" s="16">
        <f>IF(ISNA(VLOOKUP(A177,'Données projet'!$A$113:$I$133,6,0)),0%,VLOOKUP(A177,'Données projet'!$A$113:$I$133,6,0)*VLOOKUP('Données projet'!$B$12,Paramètres!$A$1:$I$89,7,0))</f>
        <v>2.1500000000000002E-2</v>
      </c>
      <c r="CJ177" s="16">
        <f>IF(ISNA(VLOOKUP(A177,'Données projet'!$A$113:$I$133,7,0)),0%,VLOOKUP(A177,'Données projet'!$A$113:$I$133,7,0))</f>
        <v>0.05</v>
      </c>
      <c r="CK177" s="21">
        <f>EXP(-LN(2)/35)*CK176+(1-EXP(-LN(2)/35))/(LN(2)/35)*CG177*CH177*VLOOKUP('Données projet'!$B$12,Paramètres!$A$1:$I$89,3,0)*0.475*44/12</f>
        <v>99.422648509237902</v>
      </c>
      <c r="CL177" s="21">
        <f>EXP(-LN(2)/25)*CL176+(1-EXP(-LN(2)/25))/(LN(2)/25)*Calculateur!CG177*Calculateur!CI177*VLOOKUP('Données projet'!$B$12,Paramètres!$A$1:$I$89,3,0)*0.475*44/12</f>
        <v>23.745535295491777</v>
      </c>
      <c r="CM177" s="21">
        <f>EXP(-LN(2)/2)*CM176+(1-EXP(-LN(2)/2))/(LN(2)/2)*CG177*CJ177*VLOOKUP('Données projet'!$B$12,Paramètres!$A$1:$I$89,3,0)*0.475*44/12</f>
        <v>10.77432270330279</v>
      </c>
      <c r="CN177" s="22">
        <f t="shared" si="172"/>
        <v>133.94250650803247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8" t="e">
        <f t="shared" si="122"/>
        <v>#N/A</v>
      </c>
      <c r="CY177" s="58" t="e">
        <f ca="1">AVERAGE(OFFSET($CX$3,0,0,'Données projet'!$E$13+1,1))-AVERAGE(OFFSET($H$3,0,0,'Données projet'!$E$13+1,1))</f>
        <v>#N/A</v>
      </c>
      <c r="CZ177" s="58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8" t="e">
        <f t="shared" si="125"/>
        <v>#N/A</v>
      </c>
      <c r="DT177" s="58" t="e">
        <f ca="1">AVERAGE(OFFSET($DS$3,0,0,'Données projet'!$E$14+1,1))-AVERAGE(OFFSET($H$3,0,0,'Données projet'!$E$14+1,1))</f>
        <v>#N/A</v>
      </c>
      <c r="DU177" s="58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8" t="e">
        <f t="shared" si="128"/>
        <v>#N/A</v>
      </c>
      <c r="EO177" s="58" t="e">
        <f ca="1">AVERAGE(OFFSET($EN$3,0,0,'Données projet'!$E$15+1,1))-AVERAGE(OFFSET($H$3,0,0,'Données projet'!$E$15+1,1))</f>
        <v>#N/A</v>
      </c>
      <c r="EP177" s="58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8" t="e">
        <f t="shared" si="131"/>
        <v>#N/A</v>
      </c>
      <c r="FJ177" s="58" t="e">
        <f ca="1">AVERAGE(OFFSET($FI$3,0,0,'Données projet'!$E$16+1,1))-AVERAGE(OFFSET($H$3,0,0,'Données projet'!$E$16+1,1))</f>
        <v>#N/A</v>
      </c>
      <c r="FK177" s="58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8" t="e">
        <f t="shared" si="134"/>
        <v>#N/A</v>
      </c>
      <c r="GE177" s="58" t="e">
        <f ca="1">AVERAGE(OFFSET($GD$3,0,0,'Données projet'!$E$17+1,1))-AVERAGE(OFFSET($H$3,0,0,'Données projet'!$E$17+1,1))</f>
        <v>#N/A</v>
      </c>
      <c r="GF177" s="58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69.524036880124697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8" t="e">
        <f t="shared" si="137"/>
        <v>#N/A</v>
      </c>
      <c r="GZ177" s="58" t="e">
        <f ca="1">AVERAGE(OFFSET($GY$3,0,0,'Données projet'!$E$18+1,1))-AVERAGE(OFFSET($H$3,0,0,'Données projet'!$E$18+1,1))</f>
        <v>#N/A</v>
      </c>
      <c r="HA177" s="58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2">
        <f>'Scénario référence'!$B$16*5+'Scénario référence'!$B$17*0+'Scénario référence'!$B$18*5</f>
        <v>2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7.333333333333333</v>
      </c>
      <c r="H178" s="66">
        <f t="shared" si="110"/>
        <v>227.33333333333334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6.140000000000005</v>
      </c>
      <c r="N178" s="13">
        <f>IF('Données projet'!$A$36&gt;35,N177+M178-V177,IF(A178&lt;'Données projet'!$A$36,$K$205^A178,IF(A178='Données projet'!$A$36,'Données projet'!$B$36,N177+M178-V177)))</f>
        <v>376.66000000000088</v>
      </c>
      <c r="O178" s="13">
        <f>N178*VLOOKUP('Données projet'!$B$9,Paramètres!$A$1:$I$89,3,0)*VLOOKUP('Données projet'!$B$9,Paramètres!$A$1:$I$89,5,0)</f>
        <v>340.80196800000078</v>
      </c>
      <c r="P178" s="13">
        <f t="shared" si="141"/>
        <v>79.665615362245418</v>
      </c>
      <c r="Q178" s="20">
        <f t="shared" si="162"/>
        <v>732.31437435591215</v>
      </c>
      <c r="R178" s="58">
        <f t="shared" si="109"/>
        <v>1023.9327848685002</v>
      </c>
      <c r="S178" s="58">
        <f ca="1">AVERAGE(OFFSET($R$3,0,0,'Données projet'!$E$9+1,1))-AVERAGE(OFFSET($H$3,0,0,'Données projet'!$E$9+1,1))</f>
        <v>654.0179680178212</v>
      </c>
      <c r="T178" s="58">
        <f t="shared" si="142"/>
        <v>289.42065570013369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92.679275390169977</v>
      </c>
      <c r="AA178" s="21">
        <f>EXP(-LN(2)/25)*AA177+(1-EXP(-LN(2)/25))/(LN(2)/25)*Calculateur!V178*Calculateur!X178*VLOOKUP('Données projet'!$B$9,Paramètres!$A$1:$I$89,3,0)*0.475*44/12</f>
        <v>21.960333086533794</v>
      </c>
      <c r="AB178" s="21">
        <f>EXP(-LN(2)/2)*AB177+(1-EXP(-LN(2)/2))/(LN(2)/2)*V178*Y178*VLOOKUP('Données projet'!$B$9,Paramètres!$A$1:$I$89,3,0)*0.475*44/12</f>
        <v>7.2439115652370401</v>
      </c>
      <c r="AC178" s="22">
        <f t="shared" si="163"/>
        <v>121.88352004194081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8">
        <f t="shared" si="113"/>
        <v>291.61841051259495</v>
      </c>
      <c r="AN178" s="58">
        <f ca="1">AVERAGE(OFFSET($AM$3,0,0,'Données projet'!$E$10+1,1))-AVERAGE(OFFSET($H$3,0,0,'Données projet'!$E$10+1,1))</f>
        <v>447.44638185108147</v>
      </c>
      <c r="AO178" s="58">
        <f t="shared" si="144"/>
        <v>384.84260115068605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27.032493419685213</v>
      </c>
      <c r="AV178" s="21">
        <f>EXP(-LN(2)/25)*AV177+(1-EXP(-LN(2)/25))/(LN(2)/25)*Calculateur!AQ178*Calculateur!AS178*VLOOKUP('Données projet'!$B$10,Paramètres!$A$1:$I$89,3,0)*0.475*44/12</f>
        <v>4.1750850851578907</v>
      </c>
      <c r="AW178" s="21">
        <f>EXP(-LN(2)/2)*AW177+(1-EXP(-LN(2)/2))/(LN(2)/2)*AQ178*AT178*VLOOKUP('Données projet'!$B$10,Paramètres!$A$1:$I$89,3,0)*0.475*44/12</f>
        <v>1.147152763196308E-13</v>
      </c>
      <c r="AX178" s="21">
        <f t="shared" si="166"/>
        <v>31.207578504843219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381.93324000000092</v>
      </c>
      <c r="BF178" s="13">
        <f t="shared" si="167"/>
        <v>88.104112736615605</v>
      </c>
      <c r="BG178" s="20">
        <f t="shared" si="168"/>
        <v>818.64838934960699</v>
      </c>
      <c r="BH178" s="58">
        <f t="shared" si="116"/>
        <v>1110.2667998621951</v>
      </c>
      <c r="BI178" s="58">
        <f ca="1">AVERAGE(OFFSET($BH$3,0,0,'Données projet'!$E$11+1,1))-AVERAGE(OFFSET($H$3,0,0,'Données projet'!$E$11+1,1))</f>
        <v>724.99760740673071</v>
      </c>
      <c r="BJ178" s="58">
        <f t="shared" si="146"/>
        <v>318.24184272438208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103.8647051786388</v>
      </c>
      <c r="BQ178" s="21">
        <f>EXP(-LN(2)/25)*BQ177+(1-EXP(-LN(2)/25))/(LN(2)/25)*Calculateur!BL178*Calculateur!BN178*VLOOKUP('Données projet'!$B$11,Paramètres!$A$1:$I$89,3,0)*0.475*44/12</f>
        <v>24.610718114218916</v>
      </c>
      <c r="BR178" s="21">
        <f>EXP(-LN(2)/2)*BR177+(1-EXP(-LN(2)/2))/(LN(2)/2)*BL178*BO178*VLOOKUP('Données projet'!$B$11,Paramètres!$A$1:$I$89,3,0)*0.475*44/12</f>
        <v>8.1181767541449599</v>
      </c>
      <c r="BS178" s="22">
        <f t="shared" si="169"/>
        <v>136.5936000470027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6.140000000000005</v>
      </c>
      <c r="BY178" s="12">
        <f>IF('Données projet'!$A$114&gt;35,BY177+BX178-CG177,IF(A178&lt;'Données projet'!$A$114,$BV$205^A178,IF(A178='Données projet'!$A$114,'Données projet'!$B$114,BY177+BX178-CG177)))</f>
        <v>376.66000000000088</v>
      </c>
      <c r="BZ178" s="13">
        <f>BY178*VLOOKUP('Données projet'!$B$12,Paramètres!$A$1:$I$89,3,0)*VLOOKUP('Données projet'!$B$12,Paramètres!$A$1:$I$89,5,0)</f>
        <v>358.42965600000082</v>
      </c>
      <c r="CA178" s="13">
        <f t="shared" si="170"/>
        <v>83.295853427413832</v>
      </c>
      <c r="CB178" s="20">
        <f t="shared" si="171"/>
        <v>769.33859558608037</v>
      </c>
      <c r="CC178" s="58">
        <f t="shared" si="119"/>
        <v>1060.9570060986684</v>
      </c>
      <c r="CD178" s="58">
        <f ca="1">AVERAGE(OFFSET($CC$3,0,0,'Données projet'!$E$12+1,1))-AVERAGE(OFFSET($H$3,0,0,'Données projet'!$E$12+1,1))</f>
        <v>684.45757350513315</v>
      </c>
      <c r="CE178" s="58">
        <f t="shared" si="148"/>
        <v>301.78148341369194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97.473031013799456</v>
      </c>
      <c r="CL178" s="21">
        <f>EXP(-LN(2)/25)*CL177+(1-EXP(-LN(2)/25))/(LN(2)/25)*Calculateur!CG178*Calculateur!CI178*VLOOKUP('Données projet'!$B$12,Paramètres!$A$1:$I$89,3,0)*0.475*44/12</f>
        <v>23.096212384113123</v>
      </c>
      <c r="CM178" s="21">
        <f>EXP(-LN(2)/2)*CM177+(1-EXP(-LN(2)/2))/(LN(2)/2)*CG178*CJ178*VLOOKUP('Données projet'!$B$12,Paramètres!$A$1:$I$89,3,0)*0.475*44/12</f>
        <v>7.6185966461975774</v>
      </c>
      <c r="CN178" s="22">
        <f t="shared" si="172"/>
        <v>128.18784004411015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8" t="e">
        <f t="shared" si="122"/>
        <v>#N/A</v>
      </c>
      <c r="CY178" s="58" t="e">
        <f ca="1">AVERAGE(OFFSET($CX$3,0,0,'Données projet'!$E$13+1,1))-AVERAGE(OFFSET($H$3,0,0,'Données projet'!$E$13+1,1))</f>
        <v>#N/A</v>
      </c>
      <c r="CZ178" s="58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8" t="e">
        <f t="shared" si="125"/>
        <v>#N/A</v>
      </c>
      <c r="DT178" s="58" t="e">
        <f ca="1">AVERAGE(OFFSET($DS$3,0,0,'Données projet'!$E$14+1,1))-AVERAGE(OFFSET($H$3,0,0,'Données projet'!$E$14+1,1))</f>
        <v>#N/A</v>
      </c>
      <c r="DU178" s="58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8" t="e">
        <f t="shared" si="128"/>
        <v>#N/A</v>
      </c>
      <c r="EO178" s="58" t="e">
        <f ca="1">AVERAGE(OFFSET($EN$3,0,0,'Données projet'!$E$15+1,1))-AVERAGE(OFFSET($H$3,0,0,'Données projet'!$E$15+1,1))</f>
        <v>#N/A</v>
      </c>
      <c r="EP178" s="58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8" t="e">
        <f t="shared" si="131"/>
        <v>#N/A</v>
      </c>
      <c r="FJ178" s="58" t="e">
        <f ca="1">AVERAGE(OFFSET($FI$3,0,0,'Données projet'!$E$16+1,1))-AVERAGE(OFFSET($H$3,0,0,'Données projet'!$E$16+1,1))</f>
        <v>#N/A</v>
      </c>
      <c r="FK178" s="58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8" t="e">
        <f t="shared" si="134"/>
        <v>#N/A</v>
      </c>
      <c r="GE178" s="58" t="e">
        <f ca="1">AVERAGE(OFFSET($GD$3,0,0,'Données projet'!$E$17+1,1))-AVERAGE(OFFSET($H$3,0,0,'Données projet'!$E$17+1,1))</f>
        <v>#N/A</v>
      </c>
      <c r="GF178" s="58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69.532293776160401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8" t="e">
        <f t="shared" si="137"/>
        <v>#N/A</v>
      </c>
      <c r="GZ178" s="58" t="e">
        <f ca="1">AVERAGE(OFFSET($GY$3,0,0,'Données projet'!$E$18+1,1))-AVERAGE(OFFSET($H$3,0,0,'Données projet'!$E$18+1,1))</f>
        <v>#N/A</v>
      </c>
      <c r="HA178" s="58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2">
        <f>'Scénario référence'!$B$16*5+'Scénario référence'!$B$17*0+'Scénario référence'!$B$18*5</f>
        <v>2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7.333333333333333</v>
      </c>
      <c r="H179" s="66">
        <f t="shared" si="110"/>
        <v>227.33333333333334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6.140000000000005</v>
      </c>
      <c r="N179" s="13">
        <f>IF('Données projet'!$A$36&gt;35,N178+M179-V178,IF(A179&lt;'Données projet'!$A$36,$K$205^A179,IF(A179='Données projet'!$A$36,'Données projet'!$B$36,N178+M179-V178)))</f>
        <v>382.80000000000086</v>
      </c>
      <c r="O179" s="13">
        <f>N179*VLOOKUP('Données projet'!$B$9,Paramètres!$A$1:$I$89,3,0)*VLOOKUP('Données projet'!$B$9,Paramètres!$A$1:$I$89,5,0)</f>
        <v>346.35744000000079</v>
      </c>
      <c r="P179" s="13">
        <f t="shared" si="141"/>
        <v>80.812014230904367</v>
      </c>
      <c r="Q179" s="20">
        <f t="shared" si="162"/>
        <v>743.98679945215974</v>
      </c>
      <c r="R179" s="58">
        <f t="shared" si="109"/>
        <v>1035.6349600416947</v>
      </c>
      <c r="S179" s="58">
        <f ca="1">AVERAGE(OFFSET($R$3,0,0,'Données projet'!$E$9+1,1))-AVERAGE(OFFSET($H$3,0,0,'Données projet'!$E$9+1,1))</f>
        <v>654.0179680178212</v>
      </c>
      <c r="T179" s="58">
        <f t="shared" si="142"/>
        <v>289.42065570013369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90.861891328544985</v>
      </c>
      <c r="AA179" s="21">
        <f>EXP(-LN(2)/25)*AA178+(1-EXP(-LN(2)/25))/(LN(2)/25)*Calculateur!V179*Calculateur!X179*VLOOKUP('Données projet'!$B$9,Paramètres!$A$1:$I$89,3,0)*0.475*44/12</f>
        <v>21.359826623438803</v>
      </c>
      <c r="AB179" s="21">
        <f>EXP(-LN(2)/2)*AB178+(1-EXP(-LN(2)/2))/(LN(2)/2)*V179*Y179*VLOOKUP('Données projet'!$B$9,Paramètres!$A$1:$I$89,3,0)*0.475*44/12</f>
        <v>5.122218990094769</v>
      </c>
      <c r="AC179" s="22">
        <f t="shared" si="163"/>
        <v>117.34393694207856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8">
        <f t="shared" si="113"/>
        <v>291.64816058954187</v>
      </c>
      <c r="AN179" s="58">
        <f ca="1">AVERAGE(OFFSET($AM$3,0,0,'Données projet'!$E$10+1,1))-AVERAGE(OFFSET($H$3,0,0,'Données projet'!$E$10+1,1))</f>
        <v>447.44638185108147</v>
      </c>
      <c r="AO179" s="58">
        <f t="shared" si="144"/>
        <v>384.84260115068605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26.502402711918098</v>
      </c>
      <c r="AV179" s="21">
        <f>EXP(-LN(2)/25)*AV178+(1-EXP(-LN(2)/25))/(LN(2)/25)*Calculateur!AQ179*Calculateur!AS179*VLOOKUP('Données projet'!$B$10,Paramètres!$A$1:$I$89,3,0)*0.475*44/12</f>
        <v>4.0609171639460655</v>
      </c>
      <c r="AW179" s="21">
        <f>EXP(-LN(2)/2)*AW178+(1-EXP(-LN(2)/2))/(LN(2)/2)*AQ179*AT179*VLOOKUP('Données projet'!$B$10,Paramètres!$A$1:$I$89,3,0)*0.475*44/12</f>
        <v>8.1115949791299511E-14</v>
      </c>
      <c r="AX179" s="21">
        <f t="shared" si="166"/>
        <v>30.563319875864245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388.15920000000091</v>
      </c>
      <c r="BF179" s="13">
        <f t="shared" si="167"/>
        <v>89.37194271202209</v>
      </c>
      <c r="BG179" s="20">
        <f t="shared" si="168"/>
        <v>831.70007355677342</v>
      </c>
      <c r="BH179" s="58">
        <f t="shared" si="116"/>
        <v>1123.3482341463084</v>
      </c>
      <c r="BI179" s="58">
        <f ca="1">AVERAGE(OFFSET($BH$3,0,0,'Données projet'!$E$11+1,1))-AVERAGE(OFFSET($H$3,0,0,'Données projet'!$E$11+1,1))</f>
        <v>724.99760740673071</v>
      </c>
      <c r="BJ179" s="58">
        <f t="shared" si="146"/>
        <v>318.24184272438208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101.82798166130044</v>
      </c>
      <c r="BQ179" s="21">
        <f>EXP(-LN(2)/25)*BQ178+(1-EXP(-LN(2)/25))/(LN(2)/25)*Calculateur!BL179*Calculateur!BN179*VLOOKUP('Données projet'!$B$11,Paramètres!$A$1:$I$89,3,0)*0.475*44/12</f>
        <v>23.937736733164183</v>
      </c>
      <c r="BR179" s="21">
        <f>EXP(-LN(2)/2)*BR178+(1-EXP(-LN(2)/2))/(LN(2)/2)*BL179*BO179*VLOOKUP('Données projet'!$B$11,Paramètres!$A$1:$I$89,3,0)*0.475*44/12</f>
        <v>5.7404178337268972</v>
      </c>
      <c r="BS179" s="22">
        <f t="shared" si="169"/>
        <v>131.50613622819154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6.140000000000005</v>
      </c>
      <c r="BY179" s="12">
        <f>IF('Données projet'!$A$114&gt;35,BY178+BX179-CG178,IF(A179&lt;'Données projet'!$A$114,$BV$205^A179,IF(A179='Données projet'!$A$114,'Données projet'!$B$114,BY178+BX179-CG178)))</f>
        <v>382.80000000000086</v>
      </c>
      <c r="BZ179" s="13">
        <f>BY179*VLOOKUP('Données projet'!$B$12,Paramètres!$A$1:$I$89,3,0)*VLOOKUP('Données projet'!$B$12,Paramètres!$A$1:$I$89,5,0)</f>
        <v>364.27248000000083</v>
      </c>
      <c r="CA179" s="13">
        <f t="shared" si="170"/>
        <v>84.494491907753954</v>
      </c>
      <c r="CB179" s="20">
        <f t="shared" si="171"/>
        <v>781.60247607267286</v>
      </c>
      <c r="CC179" s="58">
        <f t="shared" si="119"/>
        <v>1073.2506366622079</v>
      </c>
      <c r="CD179" s="58">
        <f ca="1">AVERAGE(OFFSET($CC$3,0,0,'Données projet'!$E$12+1,1))-AVERAGE(OFFSET($H$3,0,0,'Données projet'!$E$12+1,1))</f>
        <v>684.45757350513315</v>
      </c>
      <c r="CE179" s="58">
        <f t="shared" si="148"/>
        <v>301.78148341369194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95.561644328297305</v>
      </c>
      <c r="CL179" s="21">
        <f>EXP(-LN(2)/25)*CL178+(1-EXP(-LN(2)/25))/(LN(2)/25)*Calculateur!CG179*Calculateur!CI179*VLOOKUP('Données projet'!$B$12,Paramètres!$A$1:$I$89,3,0)*0.475*44/12</f>
        <v>22.464645241892526</v>
      </c>
      <c r="CM179" s="21">
        <f>EXP(-LN(2)/2)*CM178+(1-EXP(-LN(2)/2))/(LN(2)/2)*CG179*CJ179*VLOOKUP('Données projet'!$B$12,Paramètres!$A$1:$I$89,3,0)*0.475*44/12</f>
        <v>5.3871613516513959</v>
      </c>
      <c r="CN179" s="22">
        <f t="shared" si="172"/>
        <v>123.41345092184123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8" t="e">
        <f t="shared" si="122"/>
        <v>#N/A</v>
      </c>
      <c r="CY179" s="58" t="e">
        <f ca="1">AVERAGE(OFFSET($CX$3,0,0,'Données projet'!$E$13+1,1))-AVERAGE(OFFSET($H$3,0,0,'Données projet'!$E$13+1,1))</f>
        <v>#N/A</v>
      </c>
      <c r="CZ179" s="58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8" t="e">
        <f t="shared" si="125"/>
        <v>#N/A</v>
      </c>
      <c r="DT179" s="58" t="e">
        <f ca="1">AVERAGE(OFFSET($DS$3,0,0,'Données projet'!$E$14+1,1))-AVERAGE(OFFSET($H$3,0,0,'Données projet'!$E$14+1,1))</f>
        <v>#N/A</v>
      </c>
      <c r="DU179" s="58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8" t="e">
        <f t="shared" si="128"/>
        <v>#N/A</v>
      </c>
      <c r="EO179" s="58" t="e">
        <f ca="1">AVERAGE(OFFSET($EN$3,0,0,'Données projet'!$E$15+1,1))-AVERAGE(OFFSET($H$3,0,0,'Données projet'!$E$15+1,1))</f>
        <v>#N/A</v>
      </c>
      <c r="EP179" s="58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8" t="e">
        <f t="shared" si="131"/>
        <v>#N/A</v>
      </c>
      <c r="FJ179" s="58" t="e">
        <f ca="1">AVERAGE(OFFSET($FI$3,0,0,'Données projet'!$E$16+1,1))-AVERAGE(OFFSET($H$3,0,0,'Données projet'!$E$16+1,1))</f>
        <v>#N/A</v>
      </c>
      <c r="FK179" s="58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8" t="e">
        <f t="shared" si="134"/>
        <v>#N/A</v>
      </c>
      <c r="GE179" s="58" t="e">
        <f ca="1">AVERAGE(OFFSET($GD$3,0,0,'Données projet'!$E$17+1,1))-AVERAGE(OFFSET($H$3,0,0,'Données projet'!$E$17+1,1))</f>
        <v>#N/A</v>
      </c>
      <c r="GF179" s="58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69.540407433509557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8" t="e">
        <f t="shared" si="137"/>
        <v>#N/A</v>
      </c>
      <c r="GZ179" s="58" t="e">
        <f ca="1">AVERAGE(OFFSET($GY$3,0,0,'Données projet'!$E$18+1,1))-AVERAGE(OFFSET($H$3,0,0,'Données projet'!$E$18+1,1))</f>
        <v>#N/A</v>
      </c>
      <c r="HA179" s="58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2">
        <f>'Scénario référence'!$B$16*5+'Scénario référence'!$B$17*0+'Scénario référence'!$B$18*5</f>
        <v>2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7.333333333333333</v>
      </c>
      <c r="H180" s="66">
        <f t="shared" si="110"/>
        <v>227.33333333333334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388.94</v>
      </c>
      <c r="L180" s="12">
        <f>VLOOKUP(A180,'Données projet'!$A$35:$I$55,9,0)</f>
        <v>6.140000000000005</v>
      </c>
      <c r="M180" s="12">
        <f t="array" ref="M180">INDEX(L:L,MIN(IF(ISNUMBER(L180:L376),ROW(L180:L376),"")))</f>
        <v>6.140000000000005</v>
      </c>
      <c r="N180" s="13">
        <f>IF('Données projet'!$A$36&gt;35,N179+M180-V179,IF(A180&lt;'Données projet'!$A$36,$K$205^A180,IF(A180='Données projet'!$A$36,'Données projet'!$B$36,N179+M180-V179)))</f>
        <v>388.94000000000085</v>
      </c>
      <c r="O180" s="13">
        <f>N180*VLOOKUP('Données projet'!$B$9,Paramètres!$A$1:$I$89,3,0)*VLOOKUP('Données projet'!$B$9,Paramètres!$A$1:$I$89,5,0)</f>
        <v>351.91291200000074</v>
      </c>
      <c r="P180" s="13">
        <f t="shared" si="141"/>
        <v>81.956274647572329</v>
      </c>
      <c r="Q180" s="20">
        <f t="shared" si="162"/>
        <v>755.65550007785635</v>
      </c>
      <c r="R180" s="58">
        <f t="shared" si="109"/>
        <v>1047.3328946470144</v>
      </c>
      <c r="S180" s="58">
        <f ca="1">AVERAGE(OFFSET($R$3,0,0,'Données projet'!$E$9+1,1))-AVERAGE(OFFSET($H$3,0,0,'Données projet'!$E$9+1,1))</f>
        <v>654.0179680178212</v>
      </c>
      <c r="T180" s="58">
        <f t="shared" si="142"/>
        <v>289.42065570013369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128.66000000000003</v>
      </c>
      <c r="W180" s="16">
        <f>IF(ISNA(VLOOKUP(A180,'Données projet'!$A$35:$I$55,5,0)),0%,VLOOKUP(A180,'Données projet'!$A$35:$I$55,5,0)*VLOOKUP('Données projet'!$B$9,Paramètres!$A$1:$I$89,7,0))</f>
        <v>0.19350000000000001</v>
      </c>
      <c r="X180" s="16">
        <f>IF(ISNA(VLOOKUP(A180,'Données projet'!$A$35:$I$55,6,0)),0%,VLOOKUP(A180,'Données projet'!$A$35:$I$55,6,0)*VLOOKUP('Données projet'!$B$9,Paramètres!$A$1:$I$89,7,0))</f>
        <v>2.1500000000000002E-2</v>
      </c>
      <c r="Y180" s="16">
        <f>IF(ISNA(VLOOKUP(A180,'Données projet'!$A$35:$I$55,7,0)),0%,VLOOKUP(A180,'Données projet'!$A$35:$I$55,7,0))</f>
        <v>0.05</v>
      </c>
      <c r="Z180" s="21">
        <f>EXP(-LN(2)/35)*Z179+(1-EXP(-LN(2)/35))/(LN(2)/35)*V180*W180*VLOOKUP('Données projet'!$B$9,Paramètres!$A$1:$I$89,3,0)*0.475*44/12</f>
        <v>113.98157109998739</v>
      </c>
      <c r="AA180" s="21">
        <f>EXP(-LN(2)/25)*AA179+(1-EXP(-LN(2)/25))/(LN(2)/25)*Calculateur!V180*Calculateur!X180*VLOOKUP('Données projet'!$B$9,Paramètres!$A$1:$I$89,3,0)*0.475*44/12</f>
        <v>23.531672112001587</v>
      </c>
      <c r="AB180" s="21">
        <f>EXP(-LN(2)/2)*AB179+(1-EXP(-LN(2)/2))/(LN(2)/2)*V180*Y180*VLOOKUP('Données projet'!$B$9,Paramètres!$A$1:$I$89,3,0)*0.475*44/12</f>
        <v>9.1138281615892875</v>
      </c>
      <c r="AC180" s="22">
        <f t="shared" si="163"/>
        <v>146.62707137357827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8">
        <f t="shared" si="113"/>
        <v>291.6773945691649</v>
      </c>
      <c r="AN180" s="58">
        <f ca="1">AVERAGE(OFFSET($AM$3,0,0,'Données projet'!$E$10+1,1))-AVERAGE(OFFSET($H$3,0,0,'Données projet'!$E$10+1,1))</f>
        <v>447.44638185108147</v>
      </c>
      <c r="AO180" s="58">
        <f t="shared" si="144"/>
        <v>384.84260115068605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25.982706759606891</v>
      </c>
      <c r="AV180" s="21">
        <f>EXP(-LN(2)/25)*AV179+(1-EXP(-LN(2)/25))/(LN(2)/25)*Calculateur!AQ180*Calculateur!AS180*VLOOKUP('Données projet'!$B$10,Paramètres!$A$1:$I$89,3,0)*0.475*44/12</f>
        <v>3.949871170543608</v>
      </c>
      <c r="AW180" s="21">
        <f>EXP(-LN(2)/2)*AW179+(1-EXP(-LN(2)/2))/(LN(2)/2)*AQ180*AT180*VLOOKUP('Données projet'!$B$10,Paramètres!$A$1:$I$89,3,0)*0.475*44/12</f>
        <v>5.7357638159815398E-14</v>
      </c>
      <c r="AX180" s="21">
        <f t="shared" si="166"/>
        <v>29.932577930150558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394.38516000000089</v>
      </c>
      <c r="BF180" s="13">
        <f t="shared" si="167"/>
        <v>90.637407722136572</v>
      </c>
      <c r="BG180" s="20">
        <f t="shared" si="168"/>
        <v>844.74763878272279</v>
      </c>
      <c r="BH180" s="58">
        <f t="shared" si="116"/>
        <v>1136.4250333518808</v>
      </c>
      <c r="BI180" s="58">
        <f ca="1">AVERAGE(OFFSET($BH$3,0,0,'Données projet'!$E$11+1,1))-AVERAGE(OFFSET($H$3,0,0,'Données projet'!$E$11+1,1))</f>
        <v>724.99760740673071</v>
      </c>
      <c r="BJ180" s="58">
        <f t="shared" si="146"/>
        <v>318.24184272438208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127.73796761205486</v>
      </c>
      <c r="BQ180" s="21">
        <f>EXP(-LN(2)/25)*BQ179+(1-EXP(-LN(2)/25))/(LN(2)/25)*Calculateur!BL180*Calculateur!BN180*VLOOKUP('Données projet'!$B$11,Paramètres!$A$1:$I$89,3,0)*0.475*44/12</f>
        <v>26.371701504829375</v>
      </c>
      <c r="BR180" s="21">
        <f>EXP(-LN(2)/2)*BR179+(1-EXP(-LN(2)/2))/(LN(2)/2)*BL180*BO180*VLOOKUP('Données projet'!$B$11,Paramètres!$A$1:$I$89,3,0)*0.475*44/12</f>
        <v>10.213772939712136</v>
      </c>
      <c r="BS180" s="22">
        <f t="shared" si="169"/>
        <v>164.32344205659635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6.140000000000005</v>
      </c>
      <c r="BX180" s="12">
        <f t="array" ref="BX180">INDEX(BW:BW,MIN(IF(ISNUMBER(BW180:BW376),ROW(BW180:BW376),"")))</f>
        <v>6.140000000000005</v>
      </c>
      <c r="BY180" s="12">
        <f>IF('Données projet'!$A$114&gt;35,BY179+BX180-CG179,IF(A180&lt;'Données projet'!$A$114,$BV$205^A180,IF(A180='Données projet'!$A$114,'Données projet'!$B$114,BY179+BX180-CG179)))</f>
        <v>388.94000000000085</v>
      </c>
      <c r="BZ180" s="13">
        <f>BY180*VLOOKUP('Données projet'!$B$12,Paramètres!$A$1:$I$89,3,0)*VLOOKUP('Données projet'!$B$12,Paramètres!$A$1:$I$89,5,0)</f>
        <v>370.11530400000083</v>
      </c>
      <c r="CA180" s="13">
        <f t="shared" si="170"/>
        <v>85.690894490175097</v>
      </c>
      <c r="CB180" s="20">
        <f t="shared" si="171"/>
        <v>793.86246237038984</v>
      </c>
      <c r="CC180" s="58">
        <f t="shared" si="119"/>
        <v>1085.5398569395479</v>
      </c>
      <c r="CD180" s="58">
        <f ca="1">AVERAGE(OFFSET($CC$3,0,0,'Données projet'!$E$12+1,1))-AVERAGE(OFFSET($H$3,0,0,'Données projet'!$E$12+1,1))</f>
        <v>684.45757350513315</v>
      </c>
      <c r="CE180" s="58">
        <f t="shared" si="148"/>
        <v>301.78148341369194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128.66000000000003</v>
      </c>
      <c r="CH180" s="16">
        <f>IF(ISNA(VLOOKUP(A180,'Données projet'!$A$113:$I$133,5,0)),0%,VLOOKUP(A180,'Données projet'!$A$113:$I$133,5,0)*VLOOKUP('Données projet'!$B$12,Paramètres!$A$1:$I$89,7,0))</f>
        <v>0.19350000000000001</v>
      </c>
      <c r="CI180" s="16">
        <f>IF(ISNA(VLOOKUP(A180,'Données projet'!$A$113:$I$133,6,0)),0%,VLOOKUP(A180,'Données projet'!$A$113:$I$133,6,0)*VLOOKUP('Données projet'!$B$12,Paramètres!$A$1:$I$89,7,0))</f>
        <v>2.1500000000000002E-2</v>
      </c>
      <c r="CJ180" s="16">
        <f>IF(ISNA(VLOOKUP(A180,'Données projet'!$A$113:$I$133,7,0)),0%,VLOOKUP(A180,'Données projet'!$A$113:$I$133,7,0))</f>
        <v>0.05</v>
      </c>
      <c r="CK180" s="21">
        <f>EXP(-LN(2)/35)*CK179+(1-EXP(-LN(2)/35))/(LN(2)/35)*CG180*CH180*VLOOKUP('Données projet'!$B$12,Paramètres!$A$1:$I$89,3,0)*0.475*44/12</f>
        <v>119.87716960515914</v>
      </c>
      <c r="CL180" s="21">
        <f>EXP(-LN(2)/25)*CL179+(1-EXP(-LN(2)/25))/(LN(2)/25)*Calculateur!CG180*Calculateur!CI180*VLOOKUP('Données projet'!$B$12,Paramètres!$A$1:$I$89,3,0)*0.475*44/12</f>
        <v>24.748827566070627</v>
      </c>
      <c r="CM180" s="21">
        <f>EXP(-LN(2)/2)*CM179+(1-EXP(-LN(2)/2))/(LN(2)/2)*CG180*CJ180*VLOOKUP('Données projet'!$B$12,Paramètres!$A$1:$I$89,3,0)*0.475*44/12</f>
        <v>9.5852330664990806</v>
      </c>
      <c r="CN180" s="22">
        <f t="shared" si="172"/>
        <v>154.21123023772884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8" t="e">
        <f t="shared" si="122"/>
        <v>#N/A</v>
      </c>
      <c r="CY180" s="58" t="e">
        <f ca="1">AVERAGE(OFFSET($CX$3,0,0,'Données projet'!$E$13+1,1))-AVERAGE(OFFSET($H$3,0,0,'Données projet'!$E$13+1,1))</f>
        <v>#N/A</v>
      </c>
      <c r="CZ180" s="58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8" t="e">
        <f t="shared" si="125"/>
        <v>#N/A</v>
      </c>
      <c r="DT180" s="58" t="e">
        <f ca="1">AVERAGE(OFFSET($DS$3,0,0,'Données projet'!$E$14+1,1))-AVERAGE(OFFSET($H$3,0,0,'Données projet'!$E$14+1,1))</f>
        <v>#N/A</v>
      </c>
      <c r="DU180" s="58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8" t="e">
        <f t="shared" si="128"/>
        <v>#N/A</v>
      </c>
      <c r="EO180" s="58" t="e">
        <f ca="1">AVERAGE(OFFSET($EN$3,0,0,'Données projet'!$E$15+1,1))-AVERAGE(OFFSET($H$3,0,0,'Données projet'!$E$15+1,1))</f>
        <v>#N/A</v>
      </c>
      <c r="EP180" s="58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8" t="e">
        <f t="shared" si="131"/>
        <v>#N/A</v>
      </c>
      <c r="FJ180" s="58" t="e">
        <f ca="1">AVERAGE(OFFSET($FI$3,0,0,'Données projet'!$E$16+1,1))-AVERAGE(OFFSET($H$3,0,0,'Données projet'!$E$16+1,1))</f>
        <v>#N/A</v>
      </c>
      <c r="FK180" s="58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8" t="e">
        <f t="shared" si="134"/>
        <v>#N/A</v>
      </c>
      <c r="GE180" s="58" t="e">
        <f ca="1">AVERAGE(OFFSET($GD$3,0,0,'Données projet'!$E$17+1,1))-AVERAGE(OFFSET($H$3,0,0,'Données projet'!$E$17+1,1))</f>
        <v>#N/A</v>
      </c>
      <c r="GF180" s="58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69.548380337043113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8" t="e">
        <f t="shared" si="137"/>
        <v>#N/A</v>
      </c>
      <c r="GZ180" s="58" t="e">
        <f ca="1">AVERAGE(OFFSET($GY$3,0,0,'Données projet'!$E$18+1,1))-AVERAGE(OFFSET($H$3,0,0,'Données projet'!$E$18+1,1))</f>
        <v>#N/A</v>
      </c>
      <c r="HA180" s="58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2">
        <f>'Scénario référence'!$B$16*5+'Scénario référence'!$B$17*0+'Scénario référence'!$B$18*5</f>
        <v>2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7.333333333333333</v>
      </c>
      <c r="H181" s="66">
        <f t="shared" si="110"/>
        <v>227.33333333333334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3.76000000000001</v>
      </c>
      <c r="N181" s="13">
        <f>IF('Données projet'!$A$36&gt;35,N180+M181-V180,IF(A181&lt;'Données projet'!$A$36,$K$205^A181,IF(A181='Données projet'!$A$36,'Données projet'!$B$36,N180+M181-V180)))</f>
        <v>264.04000000000082</v>
      </c>
      <c r="O181" s="13">
        <f>N181*VLOOKUP('Données projet'!$B$9,Paramètres!$A$1:$I$89,3,0)*VLOOKUP('Données projet'!$B$9,Paramètres!$A$1:$I$89,5,0)</f>
        <v>238.90339200000074</v>
      </c>
      <c r="P181" s="13">
        <f t="shared" si="141"/>
        <v>58.203527078995975</v>
      </c>
      <c r="Q181" s="20">
        <f t="shared" si="162"/>
        <v>517.46121739591933</v>
      </c>
      <c r="R181" s="58">
        <f t="shared" si="109"/>
        <v>809.1673388005114</v>
      </c>
      <c r="S181" s="58">
        <f ca="1">AVERAGE(OFFSET($R$3,0,0,'Données projet'!$E$9+1,1))-AVERAGE(OFFSET($H$3,0,0,'Données projet'!$E$9+1,1))</f>
        <v>654.0179680178212</v>
      </c>
      <c r="T181" s="58">
        <f t="shared" si="142"/>
        <v>289.42065570013369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111.74646201261029</v>
      </c>
      <c r="AA181" s="21">
        <f>EXP(-LN(2)/25)*AA180+(1-EXP(-LN(2)/25))/(LN(2)/25)*Calculateur!V181*Calculateur!X181*VLOOKUP('Données projet'!$B$9,Paramètres!$A$1:$I$89,3,0)*0.475*44/12</f>
        <v>22.88819730062205</v>
      </c>
      <c r="AB181" s="21">
        <f>EXP(-LN(2)/2)*AB180+(1-EXP(-LN(2)/2))/(LN(2)/2)*V181*Y181*VLOOKUP('Données projet'!$B$9,Paramètres!$A$1:$I$89,3,0)*0.475*44/12</f>
        <v>6.4444496956287116</v>
      </c>
      <c r="AC181" s="22">
        <f t="shared" si="163"/>
        <v>141.07910900886105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8">
        <f t="shared" si="113"/>
        <v>291.70612140459889</v>
      </c>
      <c r="AN181" s="58">
        <f ca="1">AVERAGE(OFFSET($AM$3,0,0,'Données projet'!$E$10+1,1))-AVERAGE(OFFSET($H$3,0,0,'Données projet'!$E$10+1,1))</f>
        <v>447.44638185108147</v>
      </c>
      <c r="AO181" s="58">
        <f t="shared" si="144"/>
        <v>384.84260115068605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25.473201727937276</v>
      </c>
      <c r="AV181" s="21">
        <f>EXP(-LN(2)/25)*AV180+(1-EXP(-LN(2)/25))/(LN(2)/25)*Calculateur!AQ181*Calculateur!AS181*VLOOKUP('Données projet'!$B$10,Paramètres!$A$1:$I$89,3,0)*0.475*44/12</f>
        <v>3.8418617356703959</v>
      </c>
      <c r="AW181" s="21">
        <f>EXP(-LN(2)/2)*AW180+(1-EXP(-LN(2)/2))/(LN(2)/2)*AQ181*AT181*VLOOKUP('Données projet'!$B$10,Paramètres!$A$1:$I$89,3,0)*0.475*44/12</f>
        <v>4.0557974895649755E-14</v>
      </c>
      <c r="AX181" s="21">
        <f t="shared" si="166"/>
        <v>29.315063463607711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267.73656000000085</v>
      </c>
      <c r="BF181" s="13">
        <f t="shared" si="167"/>
        <v>64.368675094258279</v>
      </c>
      <c r="BG181" s="20">
        <f t="shared" si="168"/>
        <v>578.41661778916796</v>
      </c>
      <c r="BH181" s="58">
        <f t="shared" si="116"/>
        <v>870.12273919376003</v>
      </c>
      <c r="BI181" s="58">
        <f ca="1">AVERAGE(OFFSET($BH$3,0,0,'Données projet'!$E$11+1,1))-AVERAGE(OFFSET($H$3,0,0,'Données projet'!$E$11+1,1))</f>
        <v>724.99760740673071</v>
      </c>
      <c r="BJ181" s="58">
        <f t="shared" si="146"/>
        <v>318.24184272438208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125.23310397964948</v>
      </c>
      <c r="BQ181" s="21">
        <f>EXP(-LN(2)/25)*BQ180+(1-EXP(-LN(2)/25))/(LN(2)/25)*Calculateur!BL181*Calculateur!BN181*VLOOKUP('Données projet'!$B$11,Paramètres!$A$1:$I$89,3,0)*0.475*44/12</f>
        <v>25.650565940352308</v>
      </c>
      <c r="BR181" s="21">
        <f>EXP(-LN(2)/2)*BR180+(1-EXP(-LN(2)/2))/(LN(2)/2)*BL181*BO181*VLOOKUP('Données projet'!$B$11,Paramètres!$A$1:$I$89,3,0)*0.475*44/12</f>
        <v>7.2222281071701104</v>
      </c>
      <c r="BS181" s="22">
        <f t="shared" si="169"/>
        <v>158.10589802717192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3.76000000000001</v>
      </c>
      <c r="BY181" s="12">
        <f>IF('Données projet'!$A$114&gt;35,BY180+BX181-CG180,IF(A181&lt;'Données projet'!$A$114,$BV$205^A181,IF(A181='Données projet'!$A$114,'Données projet'!$B$114,BY180+BX181-CG180)))</f>
        <v>264.04000000000082</v>
      </c>
      <c r="BZ181" s="13">
        <f>BY181*VLOOKUP('Données projet'!$B$12,Paramètres!$A$1:$I$89,3,0)*VLOOKUP('Données projet'!$B$12,Paramètres!$A$1:$I$89,5,0)</f>
        <v>251.26046400000078</v>
      </c>
      <c r="CA181" s="13">
        <f t="shared" si="170"/>
        <v>60.855771194207591</v>
      </c>
      <c r="CB181" s="20">
        <f t="shared" si="171"/>
        <v>543.60244296324618</v>
      </c>
      <c r="CC181" s="58">
        <f t="shared" si="119"/>
        <v>835.30856436783824</v>
      </c>
      <c r="CD181" s="58">
        <f ca="1">AVERAGE(OFFSET($CC$3,0,0,'Données projet'!$E$12+1,1))-AVERAGE(OFFSET($H$3,0,0,'Données projet'!$E$12+1,1))</f>
        <v>684.45757350513315</v>
      </c>
      <c r="CE181" s="58">
        <f t="shared" si="148"/>
        <v>301.78148341369194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117.52645142705563</v>
      </c>
      <c r="CL181" s="21">
        <f>EXP(-LN(2)/25)*CL180+(1-EXP(-LN(2)/25))/(LN(2)/25)*Calculateur!CG181*Calculateur!CI181*VLOOKUP('Données projet'!$B$12,Paramètres!$A$1:$I$89,3,0)*0.475*44/12</f>
        <v>24.072069574792149</v>
      </c>
      <c r="CM181" s="21">
        <f>EXP(-LN(2)/2)*CM180+(1-EXP(-LN(2)/2))/(LN(2)/2)*CG181*CJ181*VLOOKUP('Données projet'!$B$12,Paramètres!$A$1:$I$89,3,0)*0.475*44/12</f>
        <v>6.7777833005750256</v>
      </c>
      <c r="CN181" s="22">
        <f t="shared" si="172"/>
        <v>148.37630430242282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8" t="e">
        <f t="shared" si="122"/>
        <v>#N/A</v>
      </c>
      <c r="CY181" s="58" t="e">
        <f ca="1">AVERAGE(OFFSET($CX$3,0,0,'Données projet'!$E$13+1,1))-AVERAGE(OFFSET($H$3,0,0,'Données projet'!$E$13+1,1))</f>
        <v>#N/A</v>
      </c>
      <c r="CZ181" s="58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8" t="e">
        <f t="shared" si="125"/>
        <v>#N/A</v>
      </c>
      <c r="DT181" s="58" t="e">
        <f ca="1">AVERAGE(OFFSET($DS$3,0,0,'Données projet'!$E$14+1,1))-AVERAGE(OFFSET($H$3,0,0,'Données projet'!$E$14+1,1))</f>
        <v>#N/A</v>
      </c>
      <c r="DU181" s="58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8" t="e">
        <f t="shared" si="128"/>
        <v>#N/A</v>
      </c>
      <c r="EO181" s="58" t="e">
        <f ca="1">AVERAGE(OFFSET($EN$3,0,0,'Données projet'!$E$15+1,1))-AVERAGE(OFFSET($H$3,0,0,'Données projet'!$E$15+1,1))</f>
        <v>#N/A</v>
      </c>
      <c r="EP181" s="58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8" t="e">
        <f t="shared" si="131"/>
        <v>#N/A</v>
      </c>
      <c r="FJ181" s="58" t="e">
        <f ca="1">AVERAGE(OFFSET($FI$3,0,0,'Données projet'!$E$16+1,1))-AVERAGE(OFFSET($H$3,0,0,'Données projet'!$E$16+1,1))</f>
        <v>#N/A</v>
      </c>
      <c r="FK181" s="58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8" t="e">
        <f t="shared" si="134"/>
        <v>#N/A</v>
      </c>
      <c r="GE181" s="58" t="e">
        <f ca="1">AVERAGE(OFFSET($GD$3,0,0,'Données projet'!$E$17+1,1))-AVERAGE(OFFSET($H$3,0,0,'Données projet'!$E$17+1,1))</f>
        <v>#N/A</v>
      </c>
      <c r="GF181" s="58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69.556214928525108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8" t="e">
        <f t="shared" si="137"/>
        <v>#N/A</v>
      </c>
      <c r="GZ181" s="58" t="e">
        <f ca="1">AVERAGE(OFFSET($GY$3,0,0,'Données projet'!$E$18+1,1))-AVERAGE(OFFSET($H$3,0,0,'Données projet'!$E$18+1,1))</f>
        <v>#N/A</v>
      </c>
      <c r="HA181" s="58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2">
        <f>'Scénario référence'!$B$16*5+'Scénario référence'!$B$17*0+'Scénario référence'!$B$18*5</f>
        <v>2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7.333333333333333</v>
      </c>
      <c r="H182" s="66">
        <f t="shared" si="110"/>
        <v>227.33333333333334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3.76000000000001</v>
      </c>
      <c r="N182" s="13">
        <f>IF('Données projet'!$A$36&gt;35,N181+M182-V181,IF(A182&lt;'Données projet'!$A$36,$K$205^A182,IF(A182='Données projet'!$A$36,'Données projet'!$B$36,N181+M182-V181)))</f>
        <v>267.80000000000081</v>
      </c>
      <c r="O182" s="13">
        <f>N182*VLOOKUP('Données projet'!$B$9,Paramètres!$A$1:$I$89,3,0)*VLOOKUP('Données projet'!$B$9,Paramètres!$A$1:$I$89,5,0)</f>
        <v>242.30544000000074</v>
      </c>
      <c r="P182" s="13">
        <f t="shared" si="141"/>
        <v>58.935280802002858</v>
      </c>
      <c r="Q182" s="20">
        <f t="shared" si="162"/>
        <v>524.66092206348958</v>
      </c>
      <c r="R182" s="58">
        <f t="shared" si="109"/>
        <v>816.39527195714436</v>
      </c>
      <c r="S182" s="58">
        <f ca="1">AVERAGE(OFFSET($R$3,0,0,'Données projet'!$E$9+1,1))-AVERAGE(OFFSET($H$3,0,0,'Données projet'!$E$9+1,1))</f>
        <v>654.0179680178212</v>
      </c>
      <c r="T182" s="58">
        <f t="shared" si="142"/>
        <v>289.42065570013369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109.55518205115473</v>
      </c>
      <c r="AA182" s="21">
        <f>EXP(-LN(2)/25)*AA181+(1-EXP(-LN(2)/25))/(LN(2)/25)*Calculateur!V182*Calculateur!X182*VLOOKUP('Données projet'!$B$9,Paramètres!$A$1:$I$89,3,0)*0.475*44/12</f>
        <v>22.262318341798554</v>
      </c>
      <c r="AB182" s="21">
        <f>EXP(-LN(2)/2)*AB181+(1-EXP(-LN(2)/2))/(LN(2)/2)*V182*Y182*VLOOKUP('Données projet'!$B$9,Paramètres!$A$1:$I$89,3,0)*0.475*44/12</f>
        <v>4.5569140807946447</v>
      </c>
      <c r="AC182" s="22">
        <f t="shared" si="163"/>
        <v>136.37441447374795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8">
        <f t="shared" si="113"/>
        <v>291.73434989366166</v>
      </c>
      <c r="AN182" s="58">
        <f ca="1">AVERAGE(OFFSET($AM$3,0,0,'Données projet'!$E$10+1,1))-AVERAGE(OFFSET($H$3,0,0,'Données projet'!$E$10+1,1))</f>
        <v>447.44638185108147</v>
      </c>
      <c r="AO182" s="58">
        <f t="shared" si="144"/>
        <v>384.84260115068605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24.973687779171318</v>
      </c>
      <c r="AV182" s="21">
        <f>EXP(-LN(2)/25)*AV181+(1-EXP(-LN(2)/25))/(LN(2)/25)*Calculateur!AQ182*Calculateur!AS182*VLOOKUP('Données projet'!$B$10,Paramètres!$A$1:$I$89,3,0)*0.475*44/12</f>
        <v>3.7368058244737608</v>
      </c>
      <c r="AW182" s="21">
        <f>EXP(-LN(2)/2)*AW181+(1-EXP(-LN(2)/2))/(LN(2)/2)*AQ182*AT182*VLOOKUP('Données projet'!$B$10,Paramètres!$A$1:$I$89,3,0)*0.475*44/12</f>
        <v>2.8678819079907699E-14</v>
      </c>
      <c r="AX182" s="21">
        <f t="shared" si="166"/>
        <v>28.710493603645105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271.54920000000084</v>
      </c>
      <c r="BF182" s="13">
        <f t="shared" si="167"/>
        <v>65.177939068610073</v>
      </c>
      <c r="BG182" s="20">
        <f t="shared" si="168"/>
        <v>586.46643387783058</v>
      </c>
      <c r="BH182" s="58">
        <f t="shared" si="116"/>
        <v>878.20078377148548</v>
      </c>
      <c r="BI182" s="58">
        <f ca="1">AVERAGE(OFFSET($BH$3,0,0,'Données projet'!$E$11+1,1))-AVERAGE(OFFSET($H$3,0,0,'Données projet'!$E$11+1,1))</f>
        <v>724.99760740673071</v>
      </c>
      <c r="BJ182" s="58">
        <f t="shared" si="146"/>
        <v>318.24184272438208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122.77735919525963</v>
      </c>
      <c r="BQ182" s="21">
        <f>EXP(-LN(2)/25)*BQ181+(1-EXP(-LN(2)/25))/(LN(2)/25)*Calculateur!BL182*Calculateur!BN182*VLOOKUP('Données projet'!$B$11,Paramètres!$A$1:$I$89,3,0)*0.475*44/12</f>
        <v>24.949149865808735</v>
      </c>
      <c r="BR182" s="21">
        <f>EXP(-LN(2)/2)*BR181+(1-EXP(-LN(2)/2))/(LN(2)/2)*BL182*BO182*VLOOKUP('Données projet'!$B$11,Paramètres!$A$1:$I$89,3,0)*0.475*44/12</f>
        <v>5.106886469856069</v>
      </c>
      <c r="BS182" s="22">
        <f t="shared" si="169"/>
        <v>152.83339553092446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3.76000000000001</v>
      </c>
      <c r="BY182" s="12">
        <f>IF('Données projet'!$A$114&gt;35,BY181+BX182-CG181,IF(A182&lt;'Données projet'!$A$114,$BV$205^A182,IF(A182='Données projet'!$A$114,'Données projet'!$B$114,BY181+BX182-CG181)))</f>
        <v>267.80000000000081</v>
      </c>
      <c r="BZ182" s="13">
        <f>BY182*VLOOKUP('Données projet'!$B$12,Paramètres!$A$1:$I$89,3,0)*VLOOKUP('Données projet'!$B$12,Paramètres!$A$1:$I$89,5,0)</f>
        <v>254.83848000000077</v>
      </c>
      <c r="CA182" s="13">
        <f t="shared" si="170"/>
        <v>61.620869795145929</v>
      </c>
      <c r="CB182" s="20">
        <f t="shared" si="171"/>
        <v>551.16670089321383</v>
      </c>
      <c r="CC182" s="58">
        <f t="shared" si="119"/>
        <v>842.90105078686861</v>
      </c>
      <c r="CD182" s="58">
        <f ca="1">AVERAGE(OFFSET($CC$3,0,0,'Données projet'!$E$12+1,1))-AVERAGE(OFFSET($H$3,0,0,'Données projet'!$E$12+1,1))</f>
        <v>684.45757350513315</v>
      </c>
      <c r="CE182" s="58">
        <f t="shared" si="148"/>
        <v>301.78148341369194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115.22182939862823</v>
      </c>
      <c r="CL182" s="21">
        <f>EXP(-LN(2)/25)*CL181+(1-EXP(-LN(2)/25))/(LN(2)/25)*Calculateur!CG182*Calculateur!CI182*VLOOKUP('Données projet'!$B$12,Paramètres!$A$1:$I$89,3,0)*0.475*44/12</f>
        <v>23.413817566374338</v>
      </c>
      <c r="CM182" s="21">
        <f>EXP(-LN(2)/2)*CM181+(1-EXP(-LN(2)/2))/(LN(2)/2)*CG182*CJ182*VLOOKUP('Données projet'!$B$12,Paramètres!$A$1:$I$89,3,0)*0.475*44/12</f>
        <v>4.7926165332495412</v>
      </c>
      <c r="CN182" s="22">
        <f t="shared" si="172"/>
        <v>143.42826349825211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8" t="e">
        <f t="shared" si="122"/>
        <v>#N/A</v>
      </c>
      <c r="CY182" s="58" t="e">
        <f ca="1">AVERAGE(OFFSET($CX$3,0,0,'Données projet'!$E$13+1,1))-AVERAGE(OFFSET($H$3,0,0,'Données projet'!$E$13+1,1))</f>
        <v>#N/A</v>
      </c>
      <c r="CZ182" s="58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8" t="e">
        <f t="shared" si="125"/>
        <v>#N/A</v>
      </c>
      <c r="DT182" s="58" t="e">
        <f ca="1">AVERAGE(OFFSET($DS$3,0,0,'Données projet'!$E$14+1,1))-AVERAGE(OFFSET($H$3,0,0,'Données projet'!$E$14+1,1))</f>
        <v>#N/A</v>
      </c>
      <c r="DU182" s="58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8" t="e">
        <f t="shared" si="128"/>
        <v>#N/A</v>
      </c>
      <c r="EO182" s="58" t="e">
        <f ca="1">AVERAGE(OFFSET($EN$3,0,0,'Données projet'!$E$15+1,1))-AVERAGE(OFFSET($H$3,0,0,'Données projet'!$E$15+1,1))</f>
        <v>#N/A</v>
      </c>
      <c r="EP182" s="58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8" t="e">
        <f t="shared" si="131"/>
        <v>#N/A</v>
      </c>
      <c r="FJ182" s="58" t="e">
        <f ca="1">AVERAGE(OFFSET($FI$3,0,0,'Données projet'!$E$16+1,1))-AVERAGE(OFFSET($H$3,0,0,'Données projet'!$E$16+1,1))</f>
        <v>#N/A</v>
      </c>
      <c r="FK182" s="58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8" t="e">
        <f t="shared" si="134"/>
        <v>#N/A</v>
      </c>
      <c r="GE182" s="58" t="e">
        <f ca="1">AVERAGE(OFFSET($GD$3,0,0,'Données projet'!$E$17+1,1))-AVERAGE(OFFSET($H$3,0,0,'Données projet'!$E$17+1,1))</f>
        <v>#N/A</v>
      </c>
      <c r="GF182" s="58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69.563913607360419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8" t="e">
        <f t="shared" si="137"/>
        <v>#N/A</v>
      </c>
      <c r="GZ182" s="58" t="e">
        <f ca="1">AVERAGE(OFFSET($GY$3,0,0,'Données projet'!$E$18+1,1))-AVERAGE(OFFSET($H$3,0,0,'Données projet'!$E$18+1,1))</f>
        <v>#N/A</v>
      </c>
      <c r="HA182" s="58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2">
        <f>'Scénario référence'!$B$16*5+'Scénario référence'!$B$17*0+'Scénario référence'!$B$18*5</f>
        <v>2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7.333333333333333</v>
      </c>
      <c r="H183" s="66">
        <f t="shared" si="110"/>
        <v>227.33333333333334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271.56</v>
      </c>
      <c r="L183" s="12">
        <f>VLOOKUP(A183,'Données projet'!$A$35:$I$55,9,0)</f>
        <v>3.76000000000001</v>
      </c>
      <c r="M183" s="12">
        <f t="array" ref="M183">INDEX(L:L,MIN(IF(ISNUMBER(L183:L379),ROW(L183:L379),"")))</f>
        <v>3.76000000000001</v>
      </c>
      <c r="N183" s="13">
        <f>IF('Données projet'!$A$36&gt;35,N182+M183-V182,IF(A183&lt;'Données projet'!$A$36,$K$205^A183,IF(A183='Données projet'!$A$36,'Données projet'!$B$36,N182+M183-V182)))</f>
        <v>271.5600000000008</v>
      </c>
      <c r="O183" s="13">
        <f>N183*VLOOKUP('Données projet'!$B$9,Paramètres!$A$1:$I$89,3,0)*VLOOKUP('Données projet'!$B$9,Paramètres!$A$1:$I$89,5,0)</f>
        <v>245.70748800000069</v>
      </c>
      <c r="P183" s="13">
        <f t="shared" si="141"/>
        <v>59.665839559289225</v>
      </c>
      <c r="Q183" s="20">
        <f t="shared" si="162"/>
        <v>531.85854549909652</v>
      </c>
      <c r="R183" s="58">
        <f t="shared" si="109"/>
        <v>823.62063418063838</v>
      </c>
      <c r="S183" s="58">
        <f ca="1">AVERAGE(OFFSET($R$3,0,0,'Données projet'!$E$9+1,1))-AVERAGE(OFFSET($H$3,0,0,'Données projet'!$E$9+1,1))</f>
        <v>654.0179680178212</v>
      </c>
      <c r="T183" s="58">
        <f t="shared" si="142"/>
        <v>289.42065570013369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86.97</v>
      </c>
      <c r="W183" s="16">
        <f>IF(ISNA(VLOOKUP(A183,'Données projet'!$A$35:$I$55,5,0)),0%,VLOOKUP(A183,'Données projet'!$A$35:$I$55,5,0)*VLOOKUP('Données projet'!$B$9,Paramètres!$A$1:$I$89,7,0))</f>
        <v>0.19350000000000001</v>
      </c>
      <c r="X183" s="16">
        <f>IF(ISNA(VLOOKUP(A183,'Données projet'!$A$35:$I$55,6,0)),0%,VLOOKUP(A183,'Données projet'!$A$35:$I$55,6,0)*VLOOKUP('Données projet'!$B$9,Paramètres!$A$1:$I$89,7,0))</f>
        <v>2.1500000000000002E-2</v>
      </c>
      <c r="Y183" s="16">
        <f>IF(ISNA(VLOOKUP(A183,'Données projet'!$A$35:$I$55,7,0)),0%,VLOOKUP(A183,'Données projet'!$A$35:$I$55,7,0))</f>
        <v>0.05</v>
      </c>
      <c r="Z183" s="21">
        <f>EXP(-LN(2)/35)*Z182+(1-EXP(-LN(2)/35))/(LN(2)/35)*V183*W183*VLOOKUP('Données projet'!$B$9,Paramètres!$A$1:$I$89,3,0)*0.475*44/12</f>
        <v>124.23943061149308</v>
      </c>
      <c r="AA183" s="21">
        <f>EXP(-LN(2)/25)*AA182+(1-EXP(-LN(2)/25))/(LN(2)/25)*Calculateur!V183*Calculateur!X183*VLOOKUP('Données projet'!$B$9,Paramètres!$A$1:$I$89,3,0)*0.475*44/12</f>
        <v>23.516474371613818</v>
      </c>
      <c r="AB183" s="21">
        <f>EXP(-LN(2)/2)*AB182+(1-EXP(-LN(2)/2))/(LN(2)/2)*V183*Y183*VLOOKUP('Données projet'!$B$9,Paramètres!$A$1:$I$89,3,0)*0.475*44/12</f>
        <v>6.9345530057429094</v>
      </c>
      <c r="AC183" s="22">
        <f t="shared" si="163"/>
        <v>154.6904579888498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8">
        <f t="shared" si="113"/>
        <v>291.76208868154868</v>
      </c>
      <c r="AN183" s="58">
        <f ca="1">AVERAGE(OFFSET($AM$3,0,0,'Données projet'!$E$10+1,1))-AVERAGE(OFFSET($H$3,0,0,'Données projet'!$E$10+1,1))</f>
        <v>447.44638185108147</v>
      </c>
      <c r="AO183" s="58">
        <f t="shared" si="144"/>
        <v>384.84260115068605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24.483968994267233</v>
      </c>
      <c r="AV183" s="21">
        <f>EXP(-LN(2)/25)*AV182+(1-EXP(-LN(2)/25))/(LN(2)/25)*Calculateur!AQ183*Calculateur!AS183*VLOOKUP('Données projet'!$B$10,Paramètres!$A$1:$I$89,3,0)*0.475*44/12</f>
        <v>3.6346226726934479</v>
      </c>
      <c r="AW183" s="21">
        <f>EXP(-LN(2)/2)*AW182+(1-EXP(-LN(2)/2))/(LN(2)/2)*AQ183*AT183*VLOOKUP('Données projet'!$B$10,Paramètres!$A$1:$I$89,3,0)*0.475*44/12</f>
        <v>2.0278987447824878E-14</v>
      </c>
      <c r="AX183" s="21">
        <f t="shared" si="166"/>
        <v>28.118591666960704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275.36184000000083</v>
      </c>
      <c r="BF183" s="13">
        <f t="shared" si="167"/>
        <v>65.985881501741488</v>
      </c>
      <c r="BG183" s="20">
        <f t="shared" si="168"/>
        <v>594.51394828220111</v>
      </c>
      <c r="BH183" s="58">
        <f t="shared" si="116"/>
        <v>886.27603696374297</v>
      </c>
      <c r="BI183" s="58">
        <f ca="1">AVERAGE(OFFSET($BH$3,0,0,'Données projet'!$E$11+1,1))-AVERAGE(OFFSET($H$3,0,0,'Données projet'!$E$11+1,1))</f>
        <v>724.99760740673071</v>
      </c>
      <c r="BJ183" s="58">
        <f t="shared" si="146"/>
        <v>318.24184272438208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139.23384465081122</v>
      </c>
      <c r="BQ183" s="21">
        <f>EXP(-LN(2)/25)*BQ182+(1-EXP(-LN(2)/25))/(LN(2)/25)*Calculateur!BL183*Calculateur!BN183*VLOOKUP('Données projet'!$B$11,Paramètres!$A$1:$I$89,3,0)*0.475*44/12</f>
        <v>26.35466955439481</v>
      </c>
      <c r="BR183" s="21">
        <f>EXP(-LN(2)/2)*BR182+(1-EXP(-LN(2)/2))/(LN(2)/2)*BL183*BO183*VLOOKUP('Données projet'!$B$11,Paramètres!$A$1:$I$89,3,0)*0.475*44/12</f>
        <v>7.771481816780847</v>
      </c>
      <c r="BS183" s="22">
        <f t="shared" si="169"/>
        <v>173.35999602198686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3.76000000000001</v>
      </c>
      <c r="BX183" s="12">
        <f t="array" ref="BX183">INDEX(BW:BW,MIN(IF(ISNUMBER(BW183:BW379),ROW(BW183:BW379),"")))</f>
        <v>3.76000000000001</v>
      </c>
      <c r="BY183" s="12">
        <f>IF('Données projet'!$A$114&gt;35,BY182+BX183-CG182,IF(A183&lt;'Données projet'!$A$114,$BV$205^A183,IF(A183='Données projet'!$A$114,'Données projet'!$B$114,BY182+BX183-CG182)))</f>
        <v>271.5600000000008</v>
      </c>
      <c r="BZ183" s="13">
        <f>BY183*VLOOKUP('Données projet'!$B$12,Paramètres!$A$1:$I$89,3,0)*VLOOKUP('Données projet'!$B$12,Paramètres!$A$1:$I$89,5,0)</f>
        <v>258.41649600000079</v>
      </c>
      <c r="CA183" s="13">
        <f t="shared" si="170"/>
        <v>62.384718977636233</v>
      </c>
      <c r="CB183" s="20">
        <f t="shared" si="171"/>
        <v>558.72878275271785</v>
      </c>
      <c r="CC183" s="58">
        <f t="shared" si="119"/>
        <v>850.4908714342597</v>
      </c>
      <c r="CD183" s="58">
        <f ca="1">AVERAGE(OFFSET($CC$3,0,0,'Données projet'!$E$12+1,1))-AVERAGE(OFFSET($H$3,0,0,'Données projet'!$E$12+1,1))</f>
        <v>684.45757350513315</v>
      </c>
      <c r="CE183" s="58">
        <f t="shared" si="148"/>
        <v>301.78148341369194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86.97</v>
      </c>
      <c r="CH183" s="16">
        <f>IF(ISNA(VLOOKUP(A183,'Données projet'!$A$113:$I$133,5,0)),0%,VLOOKUP(A183,'Données projet'!$A$113:$I$133,5,0)*VLOOKUP('Données projet'!$B$12,Paramètres!$A$1:$I$89,7,0))</f>
        <v>0.19350000000000001</v>
      </c>
      <c r="CI183" s="16">
        <f>IF(ISNA(VLOOKUP(A183,'Données projet'!$A$113:$I$133,6,0)),0%,VLOOKUP(A183,'Données projet'!$A$113:$I$133,6,0)*VLOOKUP('Données projet'!$B$12,Paramètres!$A$1:$I$89,7,0))</f>
        <v>2.1500000000000002E-2</v>
      </c>
      <c r="CJ183" s="16">
        <f>IF(ISNA(VLOOKUP(A183,'Données projet'!$A$113:$I$133,7,0)),0%,VLOOKUP(A183,'Données projet'!$A$113:$I$133,7,0))</f>
        <v>0.05</v>
      </c>
      <c r="CK183" s="21">
        <f>EXP(-LN(2)/35)*CK182+(1-EXP(-LN(2)/35))/(LN(2)/35)*CG183*CH183*VLOOKUP('Données projet'!$B$12,Paramètres!$A$1:$I$89,3,0)*0.475*44/12</f>
        <v>130.66560805691512</v>
      </c>
      <c r="CL183" s="21">
        <f>EXP(-LN(2)/25)*CL182+(1-EXP(-LN(2)/25))/(LN(2)/25)*Calculateur!CG183*Calculateur!CI183*VLOOKUP('Données projet'!$B$12,Paramètres!$A$1:$I$89,3,0)*0.475*44/12</f>
        <v>24.732843735662808</v>
      </c>
      <c r="CM183" s="21">
        <f>EXP(-LN(2)/2)*CM182+(1-EXP(-LN(2)/2))/(LN(2)/2)*CG183*CJ183*VLOOKUP('Données projet'!$B$12,Paramètres!$A$1:$I$89,3,0)*0.475*44/12</f>
        <v>7.2932367819020261</v>
      </c>
      <c r="CN183" s="22">
        <f t="shared" si="172"/>
        <v>162.69168857447997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8" t="e">
        <f t="shared" si="122"/>
        <v>#N/A</v>
      </c>
      <c r="CY183" s="58" t="e">
        <f ca="1">AVERAGE(OFFSET($CX$3,0,0,'Données projet'!$E$13+1,1))-AVERAGE(OFFSET($H$3,0,0,'Données projet'!$E$13+1,1))</f>
        <v>#N/A</v>
      </c>
      <c r="CZ183" s="58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8" t="e">
        <f t="shared" si="125"/>
        <v>#N/A</v>
      </c>
      <c r="DT183" s="58" t="e">
        <f ca="1">AVERAGE(OFFSET($DS$3,0,0,'Données projet'!$E$14+1,1))-AVERAGE(OFFSET($H$3,0,0,'Données projet'!$E$14+1,1))</f>
        <v>#N/A</v>
      </c>
      <c r="DU183" s="58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8" t="e">
        <f t="shared" si="128"/>
        <v>#N/A</v>
      </c>
      <c r="EO183" s="58" t="e">
        <f ca="1">AVERAGE(OFFSET($EN$3,0,0,'Données projet'!$E$15+1,1))-AVERAGE(OFFSET($H$3,0,0,'Données projet'!$E$15+1,1))</f>
        <v>#N/A</v>
      </c>
      <c r="EP183" s="58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8" t="e">
        <f t="shared" si="131"/>
        <v>#N/A</v>
      </c>
      <c r="FJ183" s="58" t="e">
        <f ca="1">AVERAGE(OFFSET($FI$3,0,0,'Données projet'!$E$16+1,1))-AVERAGE(OFFSET($H$3,0,0,'Données projet'!$E$16+1,1))</f>
        <v>#N/A</v>
      </c>
      <c r="FK183" s="58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8" t="e">
        <f t="shared" si="134"/>
        <v>#N/A</v>
      </c>
      <c r="GE183" s="58" t="e">
        <f ca="1">AVERAGE(OFFSET($GD$3,0,0,'Données projet'!$E$17+1,1))-AVERAGE(OFFSET($H$3,0,0,'Données projet'!$E$17+1,1))</f>
        <v>#N/A</v>
      </c>
      <c r="GF183" s="58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69.571478731329591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8" t="e">
        <f t="shared" si="137"/>
        <v>#N/A</v>
      </c>
      <c r="GZ183" s="58" t="e">
        <f ca="1">AVERAGE(OFFSET($GY$3,0,0,'Données projet'!$E$18+1,1))-AVERAGE(OFFSET($H$3,0,0,'Données projet'!$E$18+1,1))</f>
        <v>#N/A</v>
      </c>
      <c r="HA183" s="58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2">
        <f>'Scénario référence'!$B$16*5+'Scénario référence'!$B$17*0+'Scénario référence'!$B$18*5</f>
        <v>2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7.333333333333333</v>
      </c>
      <c r="H184" s="66">
        <f t="shared" si="110"/>
        <v>227.33333333333334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2.2933333333333317</v>
      </c>
      <c r="N184" s="13">
        <f>IF('Données projet'!$A$36&gt;35,N183+M184-V183,IF(A184&lt;'Données projet'!$A$36,$K$205^A184,IF(A184='Données projet'!$A$36,'Données projet'!$B$36,N183+M184-V183)))</f>
        <v>186.88333333333415</v>
      </c>
      <c r="O184" s="13">
        <f>N184*VLOOKUP('Données projet'!$B$9,Paramètres!$A$1:$I$89,3,0)*VLOOKUP('Données projet'!$B$9,Paramètres!$A$1:$I$89,5,0)</f>
        <v>169.09204000000074</v>
      </c>
      <c r="P184" s="13">
        <f t="shared" si="141"/>
        <v>42.886607412438856</v>
      </c>
      <c r="Q184" s="20">
        <f t="shared" si="162"/>
        <v>369.1961442433323</v>
      </c>
      <c r="R184" s="58">
        <f t="shared" si="109"/>
        <v>660.98549050680595</v>
      </c>
      <c r="S184" s="58">
        <f ca="1">AVERAGE(OFFSET($R$3,0,0,'Données projet'!$E$9+1,1))-AVERAGE(OFFSET($H$3,0,0,'Données projet'!$E$9+1,1))</f>
        <v>654.0179680178212</v>
      </c>
      <c r="T184" s="58">
        <f t="shared" si="142"/>
        <v>289.42065570013369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121.80317115577186</v>
      </c>
      <c r="AA184" s="21">
        <f>EXP(-LN(2)/25)*AA183+(1-EXP(-LN(2)/25))/(LN(2)/25)*Calculateur!V184*Calculateur!X184*VLOOKUP('Données projet'!$B$9,Paramètres!$A$1:$I$89,3,0)*0.475*44/12</f>
        <v>22.873415143244397</v>
      </c>
      <c r="AB184" s="21">
        <f>EXP(-LN(2)/2)*AB183+(1-EXP(-LN(2)/2))/(LN(2)/2)*V184*Y184*VLOOKUP('Données projet'!$B$9,Paramètres!$A$1:$I$89,3,0)*0.475*44/12</f>
        <v>4.9034694548583673</v>
      </c>
      <c r="AC184" s="22">
        <f t="shared" si="163"/>
        <v>149.58005575387463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8">
        <f t="shared" si="113"/>
        <v>291.78934626348047</v>
      </c>
      <c r="AN184" s="58">
        <f ca="1">AVERAGE(OFFSET($AM$3,0,0,'Données projet'!$E$10+1,1))-AVERAGE(OFFSET($H$3,0,0,'Données projet'!$E$10+1,1))</f>
        <v>447.44638185108147</v>
      </c>
      <c r="AO184" s="58">
        <f t="shared" si="144"/>
        <v>384.84260115068605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24.003853296036155</v>
      </c>
      <c r="AV184" s="21">
        <f>EXP(-LN(2)/25)*AV183+(1-EXP(-LN(2)/25))/(LN(2)/25)*Calculateur!AQ184*Calculateur!AS184*VLOOKUP('Données projet'!$B$10,Paramètres!$A$1:$I$89,3,0)*0.475*44/12</f>
        <v>3.5352337245721461</v>
      </c>
      <c r="AW184" s="21">
        <f>EXP(-LN(2)/2)*AW183+(1-EXP(-LN(2)/2))/(LN(2)/2)*AQ184*AT184*VLOOKUP('Données projet'!$B$10,Paramètres!$A$1:$I$89,3,0)*0.475*44/12</f>
        <v>1.4339409539953849E-14</v>
      </c>
      <c r="AX184" s="21">
        <f t="shared" si="166"/>
        <v>27.539087020608314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189.49970000000084</v>
      </c>
      <c r="BF184" s="13">
        <f t="shared" si="167"/>
        <v>47.42932665712091</v>
      </c>
      <c r="BG184" s="20">
        <f t="shared" si="168"/>
        <v>412.651388094487</v>
      </c>
      <c r="BH184" s="58">
        <f t="shared" si="116"/>
        <v>704.44073435796065</v>
      </c>
      <c r="BI184" s="58">
        <f ca="1">AVERAGE(OFFSET($BH$3,0,0,'Données projet'!$E$11+1,1))-AVERAGE(OFFSET($H$3,0,0,'Données projet'!$E$11+1,1))</f>
        <v>724.99760740673071</v>
      </c>
      <c r="BJ184" s="58">
        <f t="shared" si="146"/>
        <v>318.24184272438208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136.50355388146846</v>
      </c>
      <c r="BQ184" s="21">
        <f>EXP(-LN(2)/25)*BQ183+(1-EXP(-LN(2)/25))/(LN(2)/25)*Calculateur!BL184*Calculateur!BN184*VLOOKUP('Données projet'!$B$11,Paramètres!$A$1:$I$89,3,0)*0.475*44/12</f>
        <v>25.633999729498047</v>
      </c>
      <c r="BR184" s="21">
        <f>EXP(-LN(2)/2)*BR183+(1-EXP(-LN(2)/2))/(LN(2)/2)*BL184*BO184*VLOOKUP('Données projet'!$B$11,Paramètres!$A$1:$I$89,3,0)*0.475*44/12</f>
        <v>5.4952674925136877</v>
      </c>
      <c r="BS184" s="22">
        <f t="shared" si="169"/>
        <v>167.63282110348018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2.2933333333333317</v>
      </c>
      <c r="BY184" s="12">
        <f>IF('Données projet'!$A$114&gt;35,BY183+BX184-CG183,IF(A184&lt;'Données projet'!$A$114,$BV$205^A184,IF(A184='Données projet'!$A$114,'Données projet'!$B$114,BY183+BX184-CG183)))</f>
        <v>186.88333333333415</v>
      </c>
      <c r="BZ184" s="13">
        <f>BY184*VLOOKUP('Données projet'!$B$12,Paramètres!$A$1:$I$89,3,0)*VLOOKUP('Données projet'!$B$12,Paramètres!$A$1:$I$89,5,0)</f>
        <v>177.83818000000079</v>
      </c>
      <c r="CA184" s="13">
        <f t="shared" si="170"/>
        <v>44.840883344491083</v>
      </c>
      <c r="CB184" s="20">
        <f t="shared" si="171"/>
        <v>387.83270199165668</v>
      </c>
      <c r="CC184" s="58">
        <f t="shared" si="119"/>
        <v>679.62204825513027</v>
      </c>
      <c r="CD184" s="58">
        <f ca="1">AVERAGE(OFFSET($CC$3,0,0,'Données projet'!$E$12+1,1))-AVERAGE(OFFSET($H$3,0,0,'Données projet'!$E$12+1,1))</f>
        <v>684.45757350513315</v>
      </c>
      <c r="CE184" s="58">
        <f t="shared" si="148"/>
        <v>301.78148341369194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128.10333518107038</v>
      </c>
      <c r="CL184" s="21">
        <f>EXP(-LN(2)/25)*CL183+(1-EXP(-LN(2)/25))/(LN(2)/25)*Calculateur!CG184*Calculateur!CI184*VLOOKUP('Données projet'!$B$12,Paramètres!$A$1:$I$89,3,0)*0.475*44/12</f>
        <v>24.056522823067382</v>
      </c>
      <c r="CM184" s="21">
        <f>EXP(-LN(2)/2)*CM183+(1-EXP(-LN(2)/2))/(LN(2)/2)*CG184*CJ184*VLOOKUP('Données projet'!$B$12,Paramètres!$A$1:$I$89,3,0)*0.475*44/12</f>
        <v>5.1570971852820762</v>
      </c>
      <c r="CN184" s="22">
        <f t="shared" si="172"/>
        <v>157.31695518941984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8" t="e">
        <f t="shared" si="122"/>
        <v>#N/A</v>
      </c>
      <c r="CY184" s="58" t="e">
        <f ca="1">AVERAGE(OFFSET($CX$3,0,0,'Données projet'!$E$13+1,1))-AVERAGE(OFFSET($H$3,0,0,'Données projet'!$E$13+1,1))</f>
        <v>#N/A</v>
      </c>
      <c r="CZ184" s="58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8" t="e">
        <f t="shared" si="125"/>
        <v>#N/A</v>
      </c>
      <c r="DT184" s="58" t="e">
        <f ca="1">AVERAGE(OFFSET($DS$3,0,0,'Données projet'!$E$14+1,1))-AVERAGE(OFFSET($H$3,0,0,'Données projet'!$E$14+1,1))</f>
        <v>#N/A</v>
      </c>
      <c r="DU184" s="58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8" t="e">
        <f t="shared" si="128"/>
        <v>#N/A</v>
      </c>
      <c r="EO184" s="58" t="e">
        <f ca="1">AVERAGE(OFFSET($EN$3,0,0,'Données projet'!$E$15+1,1))-AVERAGE(OFFSET($H$3,0,0,'Données projet'!$E$15+1,1))</f>
        <v>#N/A</v>
      </c>
      <c r="EP184" s="58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8" t="e">
        <f t="shared" si="131"/>
        <v>#N/A</v>
      </c>
      <c r="FJ184" s="58" t="e">
        <f ca="1">AVERAGE(OFFSET($FI$3,0,0,'Données projet'!$E$16+1,1))-AVERAGE(OFFSET($H$3,0,0,'Données projet'!$E$16+1,1))</f>
        <v>#N/A</v>
      </c>
      <c r="FK184" s="58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8" t="e">
        <f t="shared" si="134"/>
        <v>#N/A</v>
      </c>
      <c r="GE184" s="58" t="e">
        <f ca="1">AVERAGE(OFFSET($GD$3,0,0,'Données projet'!$E$17+1,1))-AVERAGE(OFFSET($H$3,0,0,'Données projet'!$E$17+1,1))</f>
        <v>#N/A</v>
      </c>
      <c r="GF184" s="58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69.578912617310991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8" t="e">
        <f t="shared" si="137"/>
        <v>#N/A</v>
      </c>
      <c r="GZ184" s="58" t="e">
        <f ca="1">AVERAGE(OFFSET($GY$3,0,0,'Données projet'!$E$18+1,1))-AVERAGE(OFFSET($H$3,0,0,'Données projet'!$E$18+1,1))</f>
        <v>#N/A</v>
      </c>
      <c r="HA184" s="58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2">
        <f>'Scénario référence'!$B$16*5+'Scénario référence'!$B$17*0+'Scénario référence'!$B$18*5</f>
        <v>2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7.333333333333333</v>
      </c>
      <c r="H185" s="66">
        <f t="shared" si="110"/>
        <v>227.33333333333334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2.2933333333333317</v>
      </c>
      <c r="N185" s="13">
        <f>IF('Données projet'!$A$36&gt;35,N184+M185-V184,IF(A185&lt;'Données projet'!$A$36,$K$205^A185,IF(A185='Données projet'!$A$36,'Données projet'!$B$36,N184+M185-V184)))</f>
        <v>189.17666666666747</v>
      </c>
      <c r="O185" s="13">
        <f>N185*VLOOKUP('Données projet'!$B$9,Paramètres!$A$1:$I$89,3,0)*VLOOKUP('Données projet'!$B$9,Paramètres!$A$1:$I$89,5,0)</f>
        <v>171.16704800000073</v>
      </c>
      <c r="P185" s="13">
        <f t="shared" si="141"/>
        <v>43.351299348190551</v>
      </c>
      <c r="Q185" s="20">
        <f t="shared" si="162"/>
        <v>373.61945496476648</v>
      </c>
      <c r="R185" s="58">
        <f t="shared" si="109"/>
        <v>665.43558595206423</v>
      </c>
      <c r="S185" s="58">
        <f ca="1">AVERAGE(OFFSET($R$3,0,0,'Données projet'!$E$9+1,1))-AVERAGE(OFFSET($H$3,0,0,'Données projet'!$E$9+1,1))</f>
        <v>654.0179680178212</v>
      </c>
      <c r="T185" s="58">
        <f t="shared" si="142"/>
        <v>289.42065570013369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119.4146852620058</v>
      </c>
      <c r="AA185" s="21">
        <f>EXP(-LN(2)/25)*AA184+(1-EXP(-LN(2)/25))/(LN(2)/25)*Calculateur!V185*Calculateur!X185*VLOOKUP('Données projet'!$B$9,Paramètres!$A$1:$I$89,3,0)*0.475*44/12</f>
        <v>22.247940403291754</v>
      </c>
      <c r="AB185" s="21">
        <f>EXP(-LN(2)/2)*AB184+(1-EXP(-LN(2)/2))/(LN(2)/2)*V185*Y185*VLOOKUP('Données projet'!$B$9,Paramètres!$A$1:$I$89,3,0)*0.475*44/12</f>
        <v>3.4672765028714552</v>
      </c>
      <c r="AC185" s="22">
        <f t="shared" si="163"/>
        <v>145.129902168169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8">
        <f t="shared" si="113"/>
        <v>291.81613098730458</v>
      </c>
      <c r="AN185" s="58">
        <f ca="1">AVERAGE(OFFSET($AM$3,0,0,'Données projet'!$E$10+1,1))-AVERAGE(OFFSET($H$3,0,0,'Données projet'!$E$10+1,1))</f>
        <v>447.44638185108147</v>
      </c>
      <c r="AO185" s="58">
        <f t="shared" si="144"/>
        <v>384.84260115068605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23.533152373805727</v>
      </c>
      <c r="AV185" s="21">
        <f>EXP(-LN(2)/25)*AV184+(1-EXP(-LN(2)/25))/(LN(2)/25)*Calculateur!AQ185*Calculateur!AS185*VLOOKUP('Données projet'!$B$10,Paramètres!$A$1:$I$89,3,0)*0.475*44/12</f>
        <v>3.4385625724638591</v>
      </c>
      <c r="AW185" s="21">
        <f>EXP(-LN(2)/2)*AW184+(1-EXP(-LN(2)/2))/(LN(2)/2)*AQ185*AT185*VLOOKUP('Données projet'!$B$10,Paramètres!$A$1:$I$89,3,0)*0.475*44/12</f>
        <v>1.0139493723912439E-14</v>
      </c>
      <c r="AX185" s="21">
        <f t="shared" si="166"/>
        <v>26.971714946269596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191.82514000000083</v>
      </c>
      <c r="BF185" s="13">
        <f t="shared" si="167"/>
        <v>47.943240602417134</v>
      </c>
      <c r="BG185" s="20">
        <f t="shared" si="168"/>
        <v>417.59659621587792</v>
      </c>
      <c r="BH185" s="58">
        <f t="shared" si="116"/>
        <v>709.41272720317568</v>
      </c>
      <c r="BI185" s="58">
        <f ca="1">AVERAGE(OFFSET($BH$3,0,0,'Données projet'!$E$11+1,1))-AVERAGE(OFFSET($H$3,0,0,'Données projet'!$E$11+1,1))</f>
        <v>724.99760740673071</v>
      </c>
      <c r="BJ185" s="58">
        <f t="shared" si="146"/>
        <v>318.24184272438208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133.82680244879958</v>
      </c>
      <c r="BQ185" s="21">
        <f>EXP(-LN(2)/25)*BQ184+(1-EXP(-LN(2)/25))/(LN(2)/25)*Calculateur!BL185*Calculateur!BN185*VLOOKUP('Données projet'!$B$11,Paramètres!$A$1:$I$89,3,0)*0.475*44/12</f>
        <v>24.933036658861464</v>
      </c>
      <c r="BR185" s="21">
        <f>EXP(-LN(2)/2)*BR184+(1-EXP(-LN(2)/2))/(LN(2)/2)*BL185*BO185*VLOOKUP('Données projet'!$B$11,Paramètres!$A$1:$I$89,3,0)*0.475*44/12</f>
        <v>3.885740908390424</v>
      </c>
      <c r="BS185" s="22">
        <f t="shared" si="169"/>
        <v>162.64558001605147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2.2933333333333317</v>
      </c>
      <c r="BY185" s="12">
        <f>IF('Données projet'!$A$114&gt;35,BY184+BX185-CG184,IF(A185&lt;'Données projet'!$A$114,$BV$205^A185,IF(A185='Données projet'!$A$114,'Données projet'!$B$114,BY184+BX185-CG184)))</f>
        <v>189.17666666666747</v>
      </c>
      <c r="BZ185" s="13">
        <f>BY185*VLOOKUP('Données projet'!$B$12,Paramètres!$A$1:$I$89,3,0)*VLOOKUP('Données projet'!$B$12,Paramètres!$A$1:$I$89,5,0)</f>
        <v>180.02051600000075</v>
      </c>
      <c r="CA185" s="13">
        <f t="shared" si="170"/>
        <v>45.326750568302394</v>
      </c>
      <c r="CB185" s="20">
        <f t="shared" si="171"/>
        <v>392.47982260646131</v>
      </c>
      <c r="CC185" s="58">
        <f t="shared" si="119"/>
        <v>684.29595359375912</v>
      </c>
      <c r="CD185" s="58">
        <f ca="1">AVERAGE(OFFSET($CC$3,0,0,'Données projet'!$E$12+1,1))-AVERAGE(OFFSET($H$3,0,0,'Données projet'!$E$12+1,1))</f>
        <v>684.45757350513315</v>
      </c>
      <c r="CE185" s="58">
        <f t="shared" si="148"/>
        <v>301.78148341369194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125.59130691348882</v>
      </c>
      <c r="CL185" s="21">
        <f>EXP(-LN(2)/25)*CL184+(1-EXP(-LN(2)/25))/(LN(2)/25)*Calculateur!CG185*Calculateur!CI185*VLOOKUP('Données projet'!$B$12,Paramètres!$A$1:$I$89,3,0)*0.475*44/12</f>
        <v>23.398695941393051</v>
      </c>
      <c r="CM185" s="21">
        <f>EXP(-LN(2)/2)*CM184+(1-EXP(-LN(2)/2))/(LN(2)/2)*CG185*CJ185*VLOOKUP('Données projet'!$B$12,Paramètres!$A$1:$I$89,3,0)*0.475*44/12</f>
        <v>3.6466183909510135</v>
      </c>
      <c r="CN185" s="22">
        <f t="shared" si="172"/>
        <v>152.63662124583288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8" t="e">
        <f t="shared" si="122"/>
        <v>#N/A</v>
      </c>
      <c r="CY185" s="58" t="e">
        <f ca="1">AVERAGE(OFFSET($CX$3,0,0,'Données projet'!$E$13+1,1))-AVERAGE(OFFSET($H$3,0,0,'Données projet'!$E$13+1,1))</f>
        <v>#N/A</v>
      </c>
      <c r="CZ185" s="58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8" t="e">
        <f t="shared" si="125"/>
        <v>#N/A</v>
      </c>
      <c r="DT185" s="58" t="e">
        <f ca="1">AVERAGE(OFFSET($DS$3,0,0,'Données projet'!$E$14+1,1))-AVERAGE(OFFSET($H$3,0,0,'Données projet'!$E$14+1,1))</f>
        <v>#N/A</v>
      </c>
      <c r="DU185" s="58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8" t="e">
        <f t="shared" si="128"/>
        <v>#N/A</v>
      </c>
      <c r="EO185" s="58" t="e">
        <f ca="1">AVERAGE(OFFSET($EN$3,0,0,'Données projet'!$E$15+1,1))-AVERAGE(OFFSET($H$3,0,0,'Données projet'!$E$15+1,1))</f>
        <v>#N/A</v>
      </c>
      <c r="EP185" s="58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8" t="e">
        <f t="shared" si="131"/>
        <v>#N/A</v>
      </c>
      <c r="FJ185" s="58" t="e">
        <f ca="1">AVERAGE(OFFSET($FI$3,0,0,'Données projet'!$E$16+1,1))-AVERAGE(OFFSET($H$3,0,0,'Données projet'!$E$16+1,1))</f>
        <v>#N/A</v>
      </c>
      <c r="FK185" s="58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8" t="e">
        <f t="shared" si="134"/>
        <v>#N/A</v>
      </c>
      <c r="GE185" s="58" t="e">
        <f ca="1">AVERAGE(OFFSET($GD$3,0,0,'Données projet'!$E$17+1,1))-AVERAGE(OFFSET($H$3,0,0,'Données projet'!$E$17+1,1))</f>
        <v>#N/A</v>
      </c>
      <c r="GF185" s="58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69.586217541990294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8" t="e">
        <f t="shared" si="137"/>
        <v>#N/A</v>
      </c>
      <c r="GZ185" s="58" t="e">
        <f ca="1">AVERAGE(OFFSET($GY$3,0,0,'Données projet'!$E$18+1,1))-AVERAGE(OFFSET($H$3,0,0,'Données projet'!$E$18+1,1))</f>
        <v>#N/A</v>
      </c>
      <c r="HA185" s="58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2">
        <f>'Scénario référence'!$B$16*5+'Scénario référence'!$B$17*0+'Scénario référence'!$B$18*5</f>
        <v>2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7.333333333333333</v>
      </c>
      <c r="H186" s="66">
        <f t="shared" si="110"/>
        <v>227.33333333333334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191.47</v>
      </c>
      <c r="L186" s="12">
        <f>VLOOKUP(A186,'Données projet'!$A$35:$I$55,9,0)</f>
        <v>2.2933333333333317</v>
      </c>
      <c r="M186" s="12">
        <f t="array" ref="M186">INDEX(L:L,MIN(IF(ISNUMBER(L186:L382),ROW(L186:L382),"")))</f>
        <v>2.2933333333333317</v>
      </c>
      <c r="N186" s="13">
        <f>IF('Données projet'!$A$36&gt;35,N185+M186-V185,IF(A186&lt;'Données projet'!$A$36,$K$205^A186,IF(A186='Données projet'!$A$36,'Données projet'!$B$36,N185+M186-V185)))</f>
        <v>191.47000000000079</v>
      </c>
      <c r="O186" s="13">
        <f>N186*VLOOKUP('Données projet'!$B$9,Paramètres!$A$1:$I$89,3,0)*VLOOKUP('Données projet'!$B$9,Paramètres!$A$1:$I$89,5,0)</f>
        <v>173.2420560000007</v>
      </c>
      <c r="P186" s="13">
        <f t="shared" si="141"/>
        <v>43.815336010445158</v>
      </c>
      <c r="Q186" s="20">
        <f t="shared" si="162"/>
        <v>378.04162441819318</v>
      </c>
      <c r="R186" s="58">
        <f t="shared" si="109"/>
        <v>669.88407547423833</v>
      </c>
      <c r="S186" s="58">
        <f ca="1">AVERAGE(OFFSET($R$3,0,0,'Données projet'!$E$9+1,1))-AVERAGE(OFFSET($H$3,0,0,'Données projet'!$E$9+1,1))</f>
        <v>654.0179680178212</v>
      </c>
      <c r="T186" s="58">
        <f t="shared" si="142"/>
        <v>289.42065570013369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191.47</v>
      </c>
      <c r="W186" s="16">
        <f>IF(ISNA(VLOOKUP(A186,'Données projet'!$A$35:$I$55,5,0)),0%,VLOOKUP(A186,'Données projet'!$A$35:$I$55,5,0)*VLOOKUP('Données projet'!$B$9,Paramètres!$A$1:$I$89,7,0))</f>
        <v>0.19350000000000001</v>
      </c>
      <c r="X186" s="16">
        <f>IF(ISNA(VLOOKUP(A186,'Données projet'!$A$35:$I$55,6,0)),0%,VLOOKUP(A186,'Données projet'!$A$35:$I$55,6,0)*VLOOKUP('Données projet'!$B$9,Paramètres!$A$1:$I$89,7,0))</f>
        <v>2.1500000000000002E-2</v>
      </c>
      <c r="Y186" s="16">
        <f>IF(ISNA(VLOOKUP(A186,'Données projet'!$A$35:$I$55,7,0)),0%,VLOOKUP(A186,'Données projet'!$A$35:$I$55,7,0))</f>
        <v>0.05</v>
      </c>
      <c r="Z186" s="21">
        <f>EXP(-LN(2)/35)*Z185+(1-EXP(-LN(2)/35))/(LN(2)/35)*V186*W186*VLOOKUP('Données projet'!$B$9,Paramètres!$A$1:$I$89,3,0)*0.475*44/12</f>
        <v>154.13098765017864</v>
      </c>
      <c r="AA186" s="21">
        <f>EXP(-LN(2)/25)*AA185+(1-EXP(-LN(2)/25))/(LN(2)/25)*Calculateur!V186*Calculateur!X186*VLOOKUP('Données projet'!$B$9,Paramètres!$A$1:$I$89,3,0)*0.475*44/12</f>
        <v>25.740907109110182</v>
      </c>
      <c r="AB186" s="21">
        <f>EXP(-LN(2)/2)*AB185+(1-EXP(-LN(2)/2))/(LN(2)/2)*V186*Y186*VLOOKUP('Données projet'!$B$9,Paramètres!$A$1:$I$89,3,0)*0.475*44/12</f>
        <v>10.624661856307879</v>
      </c>
      <c r="AC186" s="22">
        <f t="shared" si="163"/>
        <v>190.49655661559669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8">
        <f t="shared" si="113"/>
        <v>291.84245105605197</v>
      </c>
      <c r="AN186" s="58">
        <f ca="1">AVERAGE(OFFSET($AM$3,0,0,'Données projet'!$E$10+1,1))-AVERAGE(OFFSET($H$3,0,0,'Données projet'!$E$10+1,1))</f>
        <v>447.44638185108147</v>
      </c>
      <c r="AO186" s="58">
        <f t="shared" si="144"/>
        <v>384.84260115068605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23.071681609561026</v>
      </c>
      <c r="AV186" s="21">
        <f>EXP(-LN(2)/25)*AV185+(1-EXP(-LN(2)/25))/(LN(2)/25)*Calculateur!AQ186*Calculateur!AS186*VLOOKUP('Données projet'!$B$10,Paramètres!$A$1:$I$89,3,0)*0.475*44/12</f>
        <v>3.3445348980936882</v>
      </c>
      <c r="AW186" s="21">
        <f>EXP(-LN(2)/2)*AW185+(1-EXP(-LN(2)/2))/(LN(2)/2)*AQ186*AT186*VLOOKUP('Données projet'!$B$10,Paramètres!$A$1:$I$89,3,0)*0.475*44/12</f>
        <v>7.1697047699769247E-15</v>
      </c>
      <c r="AX186" s="21">
        <f t="shared" si="166"/>
        <v>26.41621650765472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194.15058000000082</v>
      </c>
      <c r="BF186" s="13">
        <f t="shared" si="167"/>
        <v>48.456429865053252</v>
      </c>
      <c r="BG186" s="20">
        <f t="shared" si="168"/>
        <v>422.54054218163583</v>
      </c>
      <c r="BH186" s="58">
        <f t="shared" si="116"/>
        <v>714.38299323768092</v>
      </c>
      <c r="BI186" s="58">
        <f ca="1">AVERAGE(OFFSET($BH$3,0,0,'Données projet'!$E$11+1,1))-AVERAGE(OFFSET($H$3,0,0,'Données projet'!$E$11+1,1))</f>
        <v>724.99760740673071</v>
      </c>
      <c r="BJ186" s="58">
        <f t="shared" si="146"/>
        <v>318.24184272438208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172.73300340106223</v>
      </c>
      <c r="BQ186" s="21">
        <f>EXP(-LN(2)/25)*BQ185+(1-EXP(-LN(2)/25))/(LN(2)/25)*Calculateur!BL186*Calculateur!BN186*VLOOKUP('Données projet'!$B$11,Paramètres!$A$1:$I$89,3,0)*0.475*44/12</f>
        <v>28.847568311933841</v>
      </c>
      <c r="BR186" s="21">
        <f>EXP(-LN(2)/2)*BR185+(1-EXP(-LN(2)/2))/(LN(2)/2)*BL186*BO186*VLOOKUP('Données projet'!$B$11,Paramètres!$A$1:$I$89,3,0)*0.475*44/12</f>
        <v>11.906948632069174</v>
      </c>
      <c r="BS186" s="22">
        <f t="shared" si="169"/>
        <v>213.48752034506524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2.2933333333333317</v>
      </c>
      <c r="BX186" s="12">
        <f t="array" ref="BX186">INDEX(BW:BW,MIN(IF(ISNUMBER(BW186:BW382),ROW(BW186:BW382),"")))</f>
        <v>2.2933333333333317</v>
      </c>
      <c r="BY186" s="12">
        <f>IF('Données projet'!$A$114&gt;35,BY185+BX186-CG185,IF(A186&lt;'Données projet'!$A$114,$BV$205^A186,IF(A186='Données projet'!$A$114,'Données projet'!$B$114,BY185+BX186-CG185)))</f>
        <v>191.47000000000079</v>
      </c>
      <c r="BZ186" s="13">
        <f>BY186*VLOOKUP('Données projet'!$B$12,Paramètres!$A$1:$I$89,3,0)*VLOOKUP('Données projet'!$B$12,Paramètres!$A$1:$I$89,5,0)</f>
        <v>182.20285200000077</v>
      </c>
      <c r="CA186" s="13">
        <f t="shared" si="170"/>
        <v>45.811932658823523</v>
      </c>
      <c r="CB186" s="20">
        <f t="shared" si="171"/>
        <v>397.12574994745228</v>
      </c>
      <c r="CC186" s="58">
        <f t="shared" si="119"/>
        <v>688.96820100349737</v>
      </c>
      <c r="CD186" s="58">
        <f ca="1">AVERAGE(OFFSET($CC$3,0,0,'Données projet'!$E$12+1,1))-AVERAGE(OFFSET($H$3,0,0,'Données projet'!$E$12+1,1))</f>
        <v>684.45757350513315</v>
      </c>
      <c r="CE186" s="58">
        <f t="shared" si="148"/>
        <v>301.78148341369194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191.47</v>
      </c>
      <c r="CH186" s="16">
        <f>IF(ISNA(VLOOKUP(A186,'Données projet'!$A$113:$I$133,5,0)),0%,VLOOKUP(A186,'Données projet'!$A$113:$I$133,5,0)*VLOOKUP('Données projet'!$B$12,Paramètres!$A$1:$I$89,7,0))</f>
        <v>0.19350000000000001</v>
      </c>
      <c r="CI186" s="16">
        <f>IF(ISNA(VLOOKUP(A186,'Données projet'!$A$113:$I$133,6,0)),0%,VLOOKUP(A186,'Données projet'!$A$113:$I$133,6,0)*VLOOKUP('Données projet'!$B$12,Paramètres!$A$1:$I$89,7,0))</f>
        <v>2.1500000000000002E-2</v>
      </c>
      <c r="CJ186" s="16">
        <f>IF(ISNA(VLOOKUP(A186,'Données projet'!$A$113:$I$133,7,0)),0%,VLOOKUP(A186,'Données projet'!$A$113:$I$133,7,0))</f>
        <v>0.05</v>
      </c>
      <c r="CK186" s="21">
        <f>EXP(-LN(2)/35)*CK185+(1-EXP(-LN(2)/35))/(LN(2)/35)*CG186*CH186*VLOOKUP('Données projet'!$B$12,Paramètres!$A$1:$I$89,3,0)*0.475*44/12</f>
        <v>162.10328011484302</v>
      </c>
      <c r="CL186" s="21">
        <f>EXP(-LN(2)/25)*CL185+(1-EXP(-LN(2)/25))/(LN(2)/25)*Calculateur!CG186*Calculateur!CI186*VLOOKUP('Données projet'!$B$12,Paramètres!$A$1:$I$89,3,0)*0.475*44/12</f>
        <v>27.072333338891738</v>
      </c>
      <c r="CM186" s="21">
        <f>EXP(-LN(2)/2)*CM185+(1-EXP(-LN(2)/2))/(LN(2)/2)*CG186*CJ186*VLOOKUP('Données projet'!$B$12,Paramètres!$A$1:$I$89,3,0)*0.475*44/12</f>
        <v>11.174213331634148</v>
      </c>
      <c r="CN186" s="22">
        <f t="shared" si="172"/>
        <v>200.34982678536889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8" t="e">
        <f t="shared" si="122"/>
        <v>#N/A</v>
      </c>
      <c r="CY186" s="58" t="e">
        <f ca="1">AVERAGE(OFFSET($CX$3,0,0,'Données projet'!$E$13+1,1))-AVERAGE(OFFSET($H$3,0,0,'Données projet'!$E$13+1,1))</f>
        <v>#N/A</v>
      </c>
      <c r="CZ186" s="58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8" t="e">
        <f t="shared" si="125"/>
        <v>#N/A</v>
      </c>
      <c r="DT186" s="58" t="e">
        <f ca="1">AVERAGE(OFFSET($DS$3,0,0,'Données projet'!$E$14+1,1))-AVERAGE(OFFSET($H$3,0,0,'Données projet'!$E$14+1,1))</f>
        <v>#N/A</v>
      </c>
      <c r="DU186" s="58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8" t="e">
        <f t="shared" si="128"/>
        <v>#N/A</v>
      </c>
      <c r="EO186" s="58" t="e">
        <f ca="1">AVERAGE(OFFSET($EN$3,0,0,'Données projet'!$E$15+1,1))-AVERAGE(OFFSET($H$3,0,0,'Données projet'!$E$15+1,1))</f>
        <v>#N/A</v>
      </c>
      <c r="EP186" s="58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8" t="e">
        <f t="shared" si="131"/>
        <v>#N/A</v>
      </c>
      <c r="FJ186" s="58" t="e">
        <f ca="1">AVERAGE(OFFSET($FI$3,0,0,'Données projet'!$E$16+1,1))-AVERAGE(OFFSET($H$3,0,0,'Données projet'!$E$16+1,1))</f>
        <v>#N/A</v>
      </c>
      <c r="FK186" s="58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8" t="e">
        <f t="shared" si="134"/>
        <v>#N/A</v>
      </c>
      <c r="GE186" s="58" t="e">
        <f ca="1">AVERAGE(OFFSET($GD$3,0,0,'Données projet'!$E$17+1,1))-AVERAGE(OFFSET($H$3,0,0,'Données projet'!$E$17+1,1))</f>
        <v>#N/A</v>
      </c>
      <c r="GF186" s="58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69.593395742557774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8" t="e">
        <f t="shared" si="137"/>
        <v>#N/A</v>
      </c>
      <c r="GZ186" s="58" t="e">
        <f ca="1">AVERAGE(OFFSET($GY$3,0,0,'Données projet'!$E$18+1,1))-AVERAGE(OFFSET($H$3,0,0,'Données projet'!$E$18+1,1))</f>
        <v>#N/A</v>
      </c>
      <c r="HA186" s="58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2">
        <f>'Scénario référence'!$B$16*5+'Scénario référence'!$B$17*0+'Scénario référence'!$B$18*5</f>
        <v>2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7.333333333333333</v>
      </c>
      <c r="H187" s="66">
        <f t="shared" si="110"/>
        <v>227.33333333333334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7.9580786405131221E-13</v>
      </c>
      <c r="O187" s="13">
        <f>N187*VLOOKUP('Données projet'!$B$9,Paramètres!$A$1:$I$89,3,0)*VLOOKUP('Données projet'!$B$9,Paramètres!$A$1:$I$89,5,0)</f>
        <v>7.2004695539362725E-13</v>
      </c>
      <c r="P187" s="13">
        <f t="shared" si="141"/>
        <v>8.5963894794935589E-12</v>
      </c>
      <c r="Q187" s="20">
        <f t="shared" si="162"/>
        <v>1.6226126790761848E-11</v>
      </c>
      <c r="R187" s="58">
        <f t="shared" si="109"/>
        <v>291.86831453045886</v>
      </c>
      <c r="S187" s="58">
        <f ca="1">AVERAGE(OFFSET($R$3,0,0,'Données projet'!$E$9+1,1))-AVERAGE(OFFSET($H$3,0,0,'Données projet'!$E$9+1,1))</f>
        <v>654.0179680178212</v>
      </c>
      <c r="T187" s="58">
        <f t="shared" si="142"/>
        <v>289.42065570013369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151.10857299297834</v>
      </c>
      <c r="AA187" s="21">
        <f>EXP(-LN(2)/25)*AA186+(1-EXP(-LN(2)/25))/(LN(2)/25)*Calculateur!V187*Calculateur!X187*VLOOKUP('Données projet'!$B$9,Paramètres!$A$1:$I$89,3,0)*0.475*44/12</f>
        <v>25.037020650556091</v>
      </c>
      <c r="AB187" s="21">
        <f>EXP(-LN(2)/2)*AB186+(1-EXP(-LN(2)/2))/(LN(2)/2)*V187*Y187*VLOOKUP('Données projet'!$B$9,Paramètres!$A$1:$I$89,3,0)*0.475*44/12</f>
        <v>7.5127704464093537</v>
      </c>
      <c r="AC187" s="22">
        <f t="shared" si="163"/>
        <v>183.65836408994377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8">
        <f t="shared" si="113"/>
        <v>291.86831453044948</v>
      </c>
      <c r="AN187" s="58">
        <f ca="1">AVERAGE(OFFSET($AM$3,0,0,'Données projet'!$E$10+1,1))-AVERAGE(OFFSET($H$3,0,0,'Données projet'!$E$10+1,1))</f>
        <v>447.44638185108147</v>
      </c>
      <c r="AO187" s="58">
        <f t="shared" si="144"/>
        <v>384.84260115068605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22.619260005533789</v>
      </c>
      <c r="AV187" s="21">
        <f>EXP(-LN(2)/25)*AV186+(1-EXP(-LN(2)/25))/(LN(2)/25)*Calculateur!AQ187*Calculateur!AS187*VLOOKUP('Données projet'!$B$10,Paramètres!$A$1:$I$89,3,0)*0.475*44/12</f>
        <v>3.2530784154238699</v>
      </c>
      <c r="AW187" s="21">
        <f>EXP(-LN(2)/2)*AW186+(1-EXP(-LN(2)/2))/(LN(2)/2)*AQ187*AT187*VLOOKUP('Données projet'!$B$10,Paramètres!$A$1:$I$89,3,0)*0.475*44/12</f>
        <v>5.0697468619562194E-15</v>
      </c>
      <c r="AX187" s="21">
        <f t="shared" si="166"/>
        <v>25.872338420957664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8.0694917414803056E-13</v>
      </c>
      <c r="BF187" s="13">
        <f t="shared" si="167"/>
        <v>9.5069530861628001E-12</v>
      </c>
      <c r="BG187" s="20">
        <f t="shared" si="168"/>
        <v>1.7963379770041364E-11</v>
      </c>
      <c r="BH187" s="58">
        <f t="shared" si="116"/>
        <v>291.86831453046062</v>
      </c>
      <c r="BI187" s="58">
        <f ca="1">AVERAGE(OFFSET($BH$3,0,0,'Données projet'!$E$11+1,1))-AVERAGE(OFFSET($H$3,0,0,'Données projet'!$E$11+1,1))</f>
        <v>724.99760740673071</v>
      </c>
      <c r="BJ187" s="58">
        <f t="shared" si="146"/>
        <v>318.24184272438208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169.34581456109638</v>
      </c>
      <c r="BQ187" s="21">
        <f>EXP(-LN(2)/25)*BQ186+(1-EXP(-LN(2)/25))/(LN(2)/25)*Calculateur!BL187*Calculateur!BN187*VLOOKUP('Données projet'!$B$11,Paramètres!$A$1:$I$89,3,0)*0.475*44/12</f>
        <v>28.058730039416325</v>
      </c>
      <c r="BR187" s="21">
        <f>EXP(-LN(2)/2)*BR186+(1-EXP(-LN(2)/2))/(LN(2)/2)*BL187*BO187*VLOOKUP('Données projet'!$B$11,Paramètres!$A$1:$I$89,3,0)*0.475*44/12</f>
        <v>8.4194841209759996</v>
      </c>
      <c r="BS187" s="22">
        <f t="shared" si="169"/>
        <v>205.8240287214887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7.9580786405131221E-13</v>
      </c>
      <c r="BZ187" s="13">
        <f>BY187*VLOOKUP('Données projet'!$B$12,Paramètres!$A$1:$I$89,3,0)*VLOOKUP('Données projet'!$B$12,Paramètres!$A$1:$I$89,5,0)</f>
        <v>7.572907634312286E-13</v>
      </c>
      <c r="CA187" s="13">
        <f t="shared" si="170"/>
        <v>8.9881135648416407E-12</v>
      </c>
      <c r="CB187" s="20">
        <f t="shared" si="171"/>
        <v>1.6973245871741914E-11</v>
      </c>
      <c r="CC187" s="58">
        <f t="shared" si="119"/>
        <v>291.86831453045966</v>
      </c>
      <c r="CD187" s="58">
        <f ca="1">AVERAGE(OFFSET($CC$3,0,0,'Données projet'!$E$12+1,1))-AVERAGE(OFFSET($H$3,0,0,'Données projet'!$E$12+1,1))</f>
        <v>684.45757350513315</v>
      </c>
      <c r="CE187" s="58">
        <f t="shared" si="148"/>
        <v>301.78148341369194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158.92453366502889</v>
      </c>
      <c r="CL187" s="21">
        <f>EXP(-LN(2)/25)*CL186+(1-EXP(-LN(2)/25))/(LN(2)/25)*Calculateur!CG187*Calculateur!CI187*VLOOKUP('Données projet'!$B$12,Paramètres!$A$1:$I$89,3,0)*0.475*44/12</f>
        <v>26.332038960067607</v>
      </c>
      <c r="CM187" s="21">
        <f>EXP(-LN(2)/2)*CM186+(1-EXP(-LN(2)/2))/(LN(2)/2)*CG187*CJ187*VLOOKUP('Données projet'!$B$12,Paramètres!$A$1:$I$89,3,0)*0.475*44/12</f>
        <v>7.9013620212236297</v>
      </c>
      <c r="CN187" s="22">
        <f t="shared" si="172"/>
        <v>193.15793464632014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8" t="e">
        <f t="shared" si="122"/>
        <v>#N/A</v>
      </c>
      <c r="CY187" s="58" t="e">
        <f ca="1">AVERAGE(OFFSET($CX$3,0,0,'Données projet'!$E$13+1,1))-AVERAGE(OFFSET($H$3,0,0,'Données projet'!$E$13+1,1))</f>
        <v>#N/A</v>
      </c>
      <c r="CZ187" s="58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8" t="e">
        <f t="shared" si="125"/>
        <v>#N/A</v>
      </c>
      <c r="DT187" s="58" t="e">
        <f ca="1">AVERAGE(OFFSET($DS$3,0,0,'Données projet'!$E$14+1,1))-AVERAGE(OFFSET($H$3,0,0,'Données projet'!$E$14+1,1))</f>
        <v>#N/A</v>
      </c>
      <c r="DU187" s="58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8" t="e">
        <f t="shared" si="128"/>
        <v>#N/A</v>
      </c>
      <c r="EO187" s="58" t="e">
        <f ca="1">AVERAGE(OFFSET($EN$3,0,0,'Données projet'!$E$15+1,1))-AVERAGE(OFFSET($H$3,0,0,'Données projet'!$E$15+1,1))</f>
        <v>#N/A</v>
      </c>
      <c r="EP187" s="58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8" t="e">
        <f t="shared" si="131"/>
        <v>#N/A</v>
      </c>
      <c r="FJ187" s="58" t="e">
        <f ca="1">AVERAGE(OFFSET($FI$3,0,0,'Données projet'!$E$16+1,1))-AVERAGE(OFFSET($H$3,0,0,'Données projet'!$E$16+1,1))</f>
        <v>#N/A</v>
      </c>
      <c r="FK187" s="58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8" t="e">
        <f t="shared" si="134"/>
        <v>#N/A</v>
      </c>
      <c r="GE187" s="58" t="e">
        <f ca="1">AVERAGE(OFFSET($GD$3,0,0,'Données projet'!$E$17+1,1))-AVERAGE(OFFSET($H$3,0,0,'Données projet'!$E$17+1,1))</f>
        <v>#N/A</v>
      </c>
      <c r="GF187" s="58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69.600449417393463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8" t="e">
        <f t="shared" si="137"/>
        <v>#N/A</v>
      </c>
      <c r="GZ187" s="58" t="e">
        <f ca="1">AVERAGE(OFFSET($GY$3,0,0,'Données projet'!$E$18+1,1))-AVERAGE(OFFSET($H$3,0,0,'Données projet'!$E$18+1,1))</f>
        <v>#N/A</v>
      </c>
      <c r="HA187" s="58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2">
        <f>'Scénario référence'!$B$16*5+'Scénario référence'!$B$17*0+'Scénario référence'!$B$18*5</f>
        <v>2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7.333333333333333</v>
      </c>
      <c r="H188" s="66">
        <f t="shared" si="110"/>
        <v>227.33333333333334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7.9580786405131221E-13</v>
      </c>
      <c r="O188" s="13">
        <f>N188*VLOOKUP('Données projet'!$B$9,Paramètres!$A$1:$I$89,3,0)*VLOOKUP('Données projet'!$B$9,Paramètres!$A$1:$I$89,5,0)</f>
        <v>7.2004695539362725E-13</v>
      </c>
      <c r="P188" s="13">
        <f t="shared" si="141"/>
        <v>8.5963894794935589E-12</v>
      </c>
      <c r="Q188" s="20">
        <f t="shared" si="162"/>
        <v>1.6226126790761848E-11</v>
      </c>
      <c r="R188" s="58">
        <f t="shared" si="109"/>
        <v>291.89372933139771</v>
      </c>
      <c r="S188" s="58">
        <f ca="1">AVERAGE(OFFSET($R$3,0,0,'Données projet'!$E$9+1,1))-AVERAGE(OFFSET($H$3,0,0,'Données projet'!$E$9+1,1))</f>
        <v>654.0179680178212</v>
      </c>
      <c r="T188" s="58">
        <f t="shared" si="142"/>
        <v>289.42065570013369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148.14542604371482</v>
      </c>
      <c r="AA188" s="21">
        <f>EXP(-LN(2)/25)*AA187+(1-EXP(-LN(2)/25))/(LN(2)/25)*Calculateur!V188*Calculateur!X188*VLOOKUP('Données projet'!$B$9,Paramètres!$A$1:$I$89,3,0)*0.475*44/12</f>
        <v>24.352382004226943</v>
      </c>
      <c r="AB188" s="21">
        <f>EXP(-LN(2)/2)*AB187+(1-EXP(-LN(2)/2))/(LN(2)/2)*V188*Y188*VLOOKUP('Données projet'!$B$9,Paramètres!$A$1:$I$89,3,0)*0.475*44/12</f>
        <v>5.3123309281539406</v>
      </c>
      <c r="AC188" s="22">
        <f t="shared" si="163"/>
        <v>177.81013897609569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8">
        <f t="shared" si="113"/>
        <v>291.89372933138833</v>
      </c>
      <c r="AN188" s="58">
        <f ca="1">AVERAGE(OFFSET($AM$3,0,0,'Données projet'!$E$10+1,1))-AVERAGE(OFFSET($H$3,0,0,'Données projet'!$E$10+1,1))</f>
        <v>447.44638185108147</v>
      </c>
      <c r="AO188" s="58">
        <f t="shared" si="144"/>
        <v>384.84260115068605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22.175710113211593</v>
      </c>
      <c r="AV188" s="21">
        <f>EXP(-LN(2)/25)*AV187+(1-EXP(-LN(2)/25))/(LN(2)/25)*Calculateur!AQ188*Calculateur!AS188*VLOOKUP('Données projet'!$B$10,Paramètres!$A$1:$I$89,3,0)*0.475*44/12</f>
        <v>3.1641228150821452</v>
      </c>
      <c r="AW188" s="21">
        <f>EXP(-LN(2)/2)*AW187+(1-EXP(-LN(2)/2))/(LN(2)/2)*AQ188*AT188*VLOOKUP('Données projet'!$B$10,Paramètres!$A$1:$I$89,3,0)*0.475*44/12</f>
        <v>3.5848523849884623E-15</v>
      </c>
      <c r="AX188" s="21">
        <f t="shared" si="166"/>
        <v>25.339832928293742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8.0694917414803056E-13</v>
      </c>
      <c r="BF188" s="13">
        <f t="shared" si="167"/>
        <v>9.5069530861628001E-12</v>
      </c>
      <c r="BG188" s="20">
        <f t="shared" si="168"/>
        <v>1.7963379770041364E-11</v>
      </c>
      <c r="BH188" s="58">
        <f t="shared" si="116"/>
        <v>291.89372933139947</v>
      </c>
      <c r="BI188" s="58">
        <f ca="1">AVERAGE(OFFSET($BH$3,0,0,'Données projet'!$E$11+1,1))-AVERAGE(OFFSET($H$3,0,0,'Données projet'!$E$11+1,1))</f>
        <v>724.99760740673071</v>
      </c>
      <c r="BJ188" s="58">
        <f t="shared" si="146"/>
        <v>318.24184272438208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166.02504642830104</v>
      </c>
      <c r="BQ188" s="21">
        <f>EXP(-LN(2)/25)*BQ187+(1-EXP(-LN(2)/25))/(LN(2)/25)*Calculateur!BL188*Calculateur!BN188*VLOOKUP('Données projet'!$B$11,Paramètres!$A$1:$I$89,3,0)*0.475*44/12</f>
        <v>27.291462590944001</v>
      </c>
      <c r="BR188" s="21">
        <f>EXP(-LN(2)/2)*BR187+(1-EXP(-LN(2)/2))/(LN(2)/2)*BL188*BO188*VLOOKUP('Données projet'!$B$11,Paramètres!$A$1:$I$89,3,0)*0.475*44/12</f>
        <v>5.9534743160345878</v>
      </c>
      <c r="BS188" s="22">
        <f t="shared" si="169"/>
        <v>199.26998333527965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7.9580786405131221E-13</v>
      </c>
      <c r="BZ188" s="13">
        <f>BY188*VLOOKUP('Données projet'!$B$12,Paramètres!$A$1:$I$89,3,0)*VLOOKUP('Données projet'!$B$12,Paramètres!$A$1:$I$89,5,0)</f>
        <v>7.572907634312286E-13</v>
      </c>
      <c r="CA188" s="13">
        <f t="shared" si="170"/>
        <v>8.9881135648416407E-12</v>
      </c>
      <c r="CB188" s="20">
        <f t="shared" si="171"/>
        <v>1.6973245871741914E-11</v>
      </c>
      <c r="CC188" s="58">
        <f t="shared" si="119"/>
        <v>291.8937293313985</v>
      </c>
      <c r="CD188" s="58">
        <f ca="1">AVERAGE(OFFSET($CC$3,0,0,'Données projet'!$E$12+1,1))-AVERAGE(OFFSET($H$3,0,0,'Données projet'!$E$12+1,1))</f>
        <v>684.45757350513315</v>
      </c>
      <c r="CE188" s="58">
        <f t="shared" si="148"/>
        <v>301.78148341369194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155.80812049425174</v>
      </c>
      <c r="CL188" s="21">
        <f>EXP(-LN(2)/25)*CL187+(1-EXP(-LN(2)/25))/(LN(2)/25)*Calculateur!CG188*Calculateur!CI188*VLOOKUP('Données projet'!$B$12,Paramètres!$A$1:$I$89,3,0)*0.475*44/12</f>
        <v>25.611987969962811</v>
      </c>
      <c r="CM188" s="21">
        <f>EXP(-LN(2)/2)*CM187+(1-EXP(-LN(2)/2))/(LN(2)/2)*CG188*CJ188*VLOOKUP('Données projet'!$B$12,Paramètres!$A$1:$I$89,3,0)*0.475*44/12</f>
        <v>5.5871066658170747</v>
      </c>
      <c r="CN188" s="22">
        <f t="shared" si="172"/>
        <v>187.00721513003162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8" t="e">
        <f t="shared" si="122"/>
        <v>#N/A</v>
      </c>
      <c r="CY188" s="58" t="e">
        <f ca="1">AVERAGE(OFFSET($CX$3,0,0,'Données projet'!$E$13+1,1))-AVERAGE(OFFSET($H$3,0,0,'Données projet'!$E$13+1,1))</f>
        <v>#N/A</v>
      </c>
      <c r="CZ188" s="58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8" t="e">
        <f t="shared" si="125"/>
        <v>#N/A</v>
      </c>
      <c r="DT188" s="58" t="e">
        <f ca="1">AVERAGE(OFFSET($DS$3,0,0,'Données projet'!$E$14+1,1))-AVERAGE(OFFSET($H$3,0,0,'Données projet'!$E$14+1,1))</f>
        <v>#N/A</v>
      </c>
      <c r="DU188" s="58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8" t="e">
        <f t="shared" si="128"/>
        <v>#N/A</v>
      </c>
      <c r="EO188" s="58" t="e">
        <f ca="1">AVERAGE(OFFSET($EN$3,0,0,'Données projet'!$E$15+1,1))-AVERAGE(OFFSET($H$3,0,0,'Données projet'!$E$15+1,1))</f>
        <v>#N/A</v>
      </c>
      <c r="EP188" s="58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8" t="e">
        <f t="shared" si="131"/>
        <v>#N/A</v>
      </c>
      <c r="FJ188" s="58" t="e">
        <f ca="1">AVERAGE(OFFSET($FI$3,0,0,'Données projet'!$E$16+1,1))-AVERAGE(OFFSET($H$3,0,0,'Données projet'!$E$16+1,1))</f>
        <v>#N/A</v>
      </c>
      <c r="FK188" s="58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8" t="e">
        <f t="shared" si="134"/>
        <v>#N/A</v>
      </c>
      <c r="GE188" s="58" t="e">
        <f ca="1">AVERAGE(OFFSET($GD$3,0,0,'Données projet'!$E$17+1,1))-AVERAGE(OFFSET($H$3,0,0,'Données projet'!$E$17+1,1))</f>
        <v>#N/A</v>
      </c>
      <c r="GF188" s="58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69.607380726740402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8" t="e">
        <f t="shared" si="137"/>
        <v>#N/A</v>
      </c>
      <c r="GZ188" s="58" t="e">
        <f ca="1">AVERAGE(OFFSET($GY$3,0,0,'Données projet'!$E$18+1,1))-AVERAGE(OFFSET($H$3,0,0,'Données projet'!$E$18+1,1))</f>
        <v>#N/A</v>
      </c>
      <c r="HA188" s="58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2">
        <f>'Scénario référence'!$B$16*5+'Scénario référence'!$B$17*0+'Scénario référence'!$B$18*5</f>
        <v>2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7.333333333333333</v>
      </c>
      <c r="H189" s="66">
        <f t="shared" si="110"/>
        <v>227.33333333333334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7.9580786405131221E-13</v>
      </c>
      <c r="O189" s="13">
        <f>N189*VLOOKUP('Données projet'!$B$9,Paramètres!$A$1:$I$89,3,0)*VLOOKUP('Données projet'!$B$9,Paramètres!$A$1:$I$89,5,0)</f>
        <v>7.2004695539362725E-13</v>
      </c>
      <c r="P189" s="13">
        <f t="shared" si="141"/>
        <v>8.5963894794935589E-12</v>
      </c>
      <c r="Q189" s="20">
        <f t="shared" si="162"/>
        <v>1.6226126790761848E-11</v>
      </c>
      <c r="R189" s="58">
        <f t="shared" si="109"/>
        <v>291.91870324235913</v>
      </c>
      <c r="S189" s="58">
        <f ca="1">AVERAGE(OFFSET($R$3,0,0,'Données projet'!$E$9+1,1))-AVERAGE(OFFSET($H$3,0,0,'Données projet'!$E$9+1,1))</f>
        <v>654.0179680178212</v>
      </c>
      <c r="T189" s="58">
        <f t="shared" si="142"/>
        <v>289.42065570013369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145.24038459878517</v>
      </c>
      <c r="AA189" s="21">
        <f>EXP(-LN(2)/25)*AA188+(1-EXP(-LN(2)/25))/(LN(2)/25)*Calculateur!V189*Calculateur!X189*VLOOKUP('Données projet'!$B$9,Paramètres!$A$1:$I$89,3,0)*0.475*44/12</f>
        <v>23.686464837685246</v>
      </c>
      <c r="AB189" s="21">
        <f>EXP(-LN(2)/2)*AB188+(1-EXP(-LN(2)/2))/(LN(2)/2)*V189*Y189*VLOOKUP('Données projet'!$B$9,Paramètres!$A$1:$I$89,3,0)*0.475*44/12</f>
        <v>3.7563852232046777</v>
      </c>
      <c r="AC189" s="22">
        <f t="shared" si="163"/>
        <v>172.68323465967509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8">
        <f t="shared" si="113"/>
        <v>291.91870324234975</v>
      </c>
      <c r="AN189" s="58">
        <f ca="1">AVERAGE(OFFSET($AM$3,0,0,'Données projet'!$E$10+1,1))-AVERAGE(OFFSET($H$3,0,0,'Données projet'!$E$10+1,1))</f>
        <v>447.44638185108147</v>
      </c>
      <c r="AO189" s="58">
        <f t="shared" si="144"/>
        <v>384.84260115068605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21.740857963739117</v>
      </c>
      <c r="AV189" s="21">
        <f>EXP(-LN(2)/25)*AV188+(1-EXP(-LN(2)/25))/(LN(2)/25)*Calculateur!AQ189*Calculateur!AS189*VLOOKUP('Données projet'!$B$10,Paramètres!$A$1:$I$89,3,0)*0.475*44/12</f>
        <v>3.077599710309737</v>
      </c>
      <c r="AW189" s="21">
        <f>EXP(-LN(2)/2)*AW188+(1-EXP(-LN(2)/2))/(LN(2)/2)*AQ189*AT189*VLOOKUP('Données projet'!$B$10,Paramètres!$A$1:$I$89,3,0)*0.475*44/12</f>
        <v>2.5348734309781097E-15</v>
      </c>
      <c r="AX189" s="21">
        <f t="shared" si="166"/>
        <v>24.818457674048858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8.0694917414803056E-13</v>
      </c>
      <c r="BF189" s="13">
        <f t="shared" si="167"/>
        <v>9.5069530861628001E-12</v>
      </c>
      <c r="BG189" s="20">
        <f t="shared" si="168"/>
        <v>1.7963379770041364E-11</v>
      </c>
      <c r="BH189" s="58">
        <f t="shared" si="116"/>
        <v>291.91870324236089</v>
      </c>
      <c r="BI189" s="58">
        <f ca="1">AVERAGE(OFFSET($BH$3,0,0,'Données projet'!$E$11+1,1))-AVERAGE(OFFSET($H$3,0,0,'Données projet'!$E$11+1,1))</f>
        <v>724.99760740673071</v>
      </c>
      <c r="BJ189" s="58">
        <f t="shared" si="146"/>
        <v>318.24184272438208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162.76939653312127</v>
      </c>
      <c r="BQ189" s="21">
        <f>EXP(-LN(2)/25)*BQ188+(1-EXP(-LN(2)/25))/(LN(2)/25)*Calculateur!BL189*Calculateur!BN189*VLOOKUP('Données projet'!$B$11,Paramètres!$A$1:$I$89,3,0)*0.475*44/12</f>
        <v>26.545176111198995</v>
      </c>
      <c r="BR189" s="21">
        <f>EXP(-LN(2)/2)*BR188+(1-EXP(-LN(2)/2))/(LN(2)/2)*BL189*BO189*VLOOKUP('Données projet'!$B$11,Paramètres!$A$1:$I$89,3,0)*0.475*44/12</f>
        <v>4.2097420604879998</v>
      </c>
      <c r="BS189" s="22">
        <f t="shared" si="169"/>
        <v>193.52431470480826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7.9580786405131221E-13</v>
      </c>
      <c r="BZ189" s="13">
        <f>BY189*VLOOKUP('Données projet'!$B$12,Paramètres!$A$1:$I$89,3,0)*VLOOKUP('Données projet'!$B$12,Paramètres!$A$1:$I$89,5,0)</f>
        <v>7.572907634312286E-13</v>
      </c>
      <c r="CA189" s="13">
        <f t="shared" si="170"/>
        <v>8.9881135648416407E-12</v>
      </c>
      <c r="CB189" s="20">
        <f t="shared" si="171"/>
        <v>1.6973245871741914E-11</v>
      </c>
      <c r="CC189" s="58">
        <f t="shared" si="119"/>
        <v>291.91870324235992</v>
      </c>
      <c r="CD189" s="58">
        <f ca="1">AVERAGE(OFFSET($CC$3,0,0,'Données projet'!$E$12+1,1))-AVERAGE(OFFSET($H$3,0,0,'Données projet'!$E$12+1,1))</f>
        <v>684.45757350513315</v>
      </c>
      <c r="CE189" s="58">
        <f t="shared" si="148"/>
        <v>301.78148341369194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152.75281828492919</v>
      </c>
      <c r="CL189" s="21">
        <f>EXP(-LN(2)/25)*CL188+(1-EXP(-LN(2)/25))/(LN(2)/25)*Calculateur!CG189*Calculateur!CI189*VLOOKUP('Données projet'!$B$12,Paramètres!$A$1:$I$89,3,0)*0.475*44/12</f>
        <v>24.911626812048269</v>
      </c>
      <c r="CM189" s="21">
        <f>EXP(-LN(2)/2)*CM188+(1-EXP(-LN(2)/2))/(LN(2)/2)*CG189*CJ189*VLOOKUP('Données projet'!$B$12,Paramètres!$A$1:$I$89,3,0)*0.475*44/12</f>
        <v>3.9506810106118158</v>
      </c>
      <c r="CN189" s="22">
        <f t="shared" si="172"/>
        <v>181.61512610758928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8" t="e">
        <f t="shared" si="122"/>
        <v>#N/A</v>
      </c>
      <c r="CY189" s="58" t="e">
        <f ca="1">AVERAGE(OFFSET($CX$3,0,0,'Données projet'!$E$13+1,1))-AVERAGE(OFFSET($H$3,0,0,'Données projet'!$E$13+1,1))</f>
        <v>#N/A</v>
      </c>
      <c r="CZ189" s="58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8" t="e">
        <f t="shared" si="125"/>
        <v>#N/A</v>
      </c>
      <c r="DT189" s="58" t="e">
        <f ca="1">AVERAGE(OFFSET($DS$3,0,0,'Données projet'!$E$14+1,1))-AVERAGE(OFFSET($H$3,0,0,'Données projet'!$E$14+1,1))</f>
        <v>#N/A</v>
      </c>
      <c r="DU189" s="58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8" t="e">
        <f t="shared" si="128"/>
        <v>#N/A</v>
      </c>
      <c r="EO189" s="58" t="e">
        <f ca="1">AVERAGE(OFFSET($EN$3,0,0,'Données projet'!$E$15+1,1))-AVERAGE(OFFSET($H$3,0,0,'Données projet'!$E$15+1,1))</f>
        <v>#N/A</v>
      </c>
      <c r="EP189" s="58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8" t="e">
        <f t="shared" si="131"/>
        <v>#N/A</v>
      </c>
      <c r="FJ189" s="58" t="e">
        <f ca="1">AVERAGE(OFFSET($FI$3,0,0,'Données projet'!$E$16+1,1))-AVERAGE(OFFSET($H$3,0,0,'Données projet'!$E$16+1,1))</f>
        <v>#N/A</v>
      </c>
      <c r="FK189" s="58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8" t="e">
        <f t="shared" si="134"/>
        <v>#N/A</v>
      </c>
      <c r="GE189" s="58" t="e">
        <f ca="1">AVERAGE(OFFSET($GD$3,0,0,'Données projet'!$E$17+1,1))-AVERAGE(OFFSET($H$3,0,0,'Données projet'!$E$17+1,1))</f>
        <v>#N/A</v>
      </c>
      <c r="GF189" s="58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69.61419179336626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8" t="e">
        <f t="shared" si="137"/>
        <v>#N/A</v>
      </c>
      <c r="GZ189" s="58" t="e">
        <f ca="1">AVERAGE(OFFSET($GY$3,0,0,'Données projet'!$E$18+1,1))-AVERAGE(OFFSET($H$3,0,0,'Données projet'!$E$18+1,1))</f>
        <v>#N/A</v>
      </c>
      <c r="HA189" s="58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2">
        <f>'Scénario référence'!$B$16*5+'Scénario référence'!$B$17*0+'Scénario référence'!$B$18*5</f>
        <v>2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7.333333333333333</v>
      </c>
      <c r="H190" s="66">
        <f t="shared" si="110"/>
        <v>227.33333333333334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7.9580786405131221E-13</v>
      </c>
      <c r="O190" s="13">
        <f>N190*VLOOKUP('Données projet'!$B$9,Paramètres!$A$1:$I$89,3,0)*VLOOKUP('Données projet'!$B$9,Paramètres!$A$1:$I$89,5,0)</f>
        <v>7.2004695539362725E-13</v>
      </c>
      <c r="P190" s="13">
        <f t="shared" si="141"/>
        <v>8.5963894794935589E-12</v>
      </c>
      <c r="Q190" s="20">
        <f t="shared" si="162"/>
        <v>1.6226126790761848E-11</v>
      </c>
      <c r="R190" s="58">
        <f t="shared" si="109"/>
        <v>291.94324391179873</v>
      </c>
      <c r="S190" s="58">
        <f ca="1">AVERAGE(OFFSET($R$3,0,0,'Données projet'!$E$9+1,1))-AVERAGE(OFFSET($H$3,0,0,'Données projet'!$E$9+1,1))</f>
        <v>654.0179680178212</v>
      </c>
      <c r="T190" s="58">
        <f t="shared" si="142"/>
        <v>289.42065570013369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142.39230924469027</v>
      </c>
      <c r="AA190" s="21">
        <f>EXP(-LN(2)/25)*AA189+(1-EXP(-LN(2)/25))/(LN(2)/25)*Calculateur!V190*Calculateur!X190*VLOOKUP('Données projet'!$B$9,Paramètres!$A$1:$I$89,3,0)*0.475*44/12</f>
        <v>23.038757211081695</v>
      </c>
      <c r="AB190" s="21">
        <f>EXP(-LN(2)/2)*AB189+(1-EXP(-LN(2)/2))/(LN(2)/2)*V190*Y190*VLOOKUP('Données projet'!$B$9,Paramètres!$A$1:$I$89,3,0)*0.475*44/12</f>
        <v>2.6561654640769707</v>
      </c>
      <c r="AC190" s="22">
        <f t="shared" si="163"/>
        <v>168.08723191984893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8">
        <f t="shared" si="113"/>
        <v>291.94324391178935</v>
      </c>
      <c r="AN190" s="58">
        <f ca="1">AVERAGE(OFFSET($AM$3,0,0,'Données projet'!$E$10+1,1))-AVERAGE(OFFSET($H$3,0,0,'Données projet'!$E$10+1,1))</f>
        <v>447.44638185108147</v>
      </c>
      <c r="AO190" s="58">
        <f t="shared" si="144"/>
        <v>384.84260115068605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21.314532999684175</v>
      </c>
      <c r="AV190" s="21">
        <f>EXP(-LN(2)/25)*AV189+(1-EXP(-LN(2)/25))/(LN(2)/25)*Calculateur!AQ190*Calculateur!AS190*VLOOKUP('Données projet'!$B$10,Paramètres!$A$1:$I$89,3,0)*0.475*44/12</f>
        <v>2.9934425843873824</v>
      </c>
      <c r="AW190" s="21">
        <f>EXP(-LN(2)/2)*AW189+(1-EXP(-LN(2)/2))/(LN(2)/2)*AQ190*AT190*VLOOKUP('Données projet'!$B$10,Paramètres!$A$1:$I$89,3,0)*0.475*44/12</f>
        <v>1.7924261924942312E-15</v>
      </c>
      <c r="AX190" s="21">
        <f t="shared" si="166"/>
        <v>24.30797558407156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8.0694917414803056E-13</v>
      </c>
      <c r="BF190" s="13">
        <f t="shared" si="167"/>
        <v>9.5069530861628001E-12</v>
      </c>
      <c r="BG190" s="20">
        <f t="shared" si="168"/>
        <v>1.7963379770041364E-11</v>
      </c>
      <c r="BH190" s="58">
        <f t="shared" si="116"/>
        <v>291.94324391180049</v>
      </c>
      <c r="BI190" s="58">
        <f ca="1">AVERAGE(OFFSET($BH$3,0,0,'Données projet'!$E$11+1,1))-AVERAGE(OFFSET($H$3,0,0,'Données projet'!$E$11+1,1))</f>
        <v>724.99760740673071</v>
      </c>
      <c r="BJ190" s="58">
        <f t="shared" si="146"/>
        <v>318.24184272438208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159.57758794663562</v>
      </c>
      <c r="BQ190" s="21">
        <f>EXP(-LN(2)/25)*BQ189+(1-EXP(-LN(2)/25))/(LN(2)/25)*Calculateur!BL190*Calculateur!BN190*VLOOKUP('Données projet'!$B$11,Paramètres!$A$1:$I$89,3,0)*0.475*44/12</f>
        <v>25.819296874488117</v>
      </c>
      <c r="BR190" s="21">
        <f>EXP(-LN(2)/2)*BR189+(1-EXP(-LN(2)/2))/(LN(2)/2)*BL190*BO190*VLOOKUP('Données projet'!$B$11,Paramètres!$A$1:$I$89,3,0)*0.475*44/12</f>
        <v>2.9767371580172939</v>
      </c>
      <c r="BS190" s="22">
        <f t="shared" si="169"/>
        <v>188.37362197914103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7.9580786405131221E-13</v>
      </c>
      <c r="BZ190" s="13">
        <f>BY190*VLOOKUP('Données projet'!$B$12,Paramètres!$A$1:$I$89,3,0)*VLOOKUP('Données projet'!$B$12,Paramètres!$A$1:$I$89,5,0)</f>
        <v>7.572907634312286E-13</v>
      </c>
      <c r="CA190" s="13">
        <f t="shared" si="170"/>
        <v>8.9881135648416407E-12</v>
      </c>
      <c r="CB190" s="20">
        <f t="shared" si="171"/>
        <v>1.6973245871741914E-11</v>
      </c>
      <c r="CC190" s="58">
        <f t="shared" si="119"/>
        <v>291.94324391179953</v>
      </c>
      <c r="CD190" s="58">
        <f ca="1">AVERAGE(OFFSET($CC$3,0,0,'Données projet'!$E$12+1,1))-AVERAGE(OFFSET($H$3,0,0,'Données projet'!$E$12+1,1))</f>
        <v>684.45757350513315</v>
      </c>
      <c r="CE190" s="58">
        <f t="shared" si="148"/>
        <v>301.78148341369194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149.75742868838111</v>
      </c>
      <c r="CL190" s="21">
        <f>EXP(-LN(2)/25)*CL189+(1-EXP(-LN(2)/25))/(LN(2)/25)*Calculateur!CG190*Calculateur!CI190*VLOOKUP('Données projet'!$B$12,Paramètres!$A$1:$I$89,3,0)*0.475*44/12</f>
        <v>24.23041706682729</v>
      </c>
      <c r="CM190" s="21">
        <f>EXP(-LN(2)/2)*CM189+(1-EXP(-LN(2)/2))/(LN(2)/2)*CG190*CJ190*VLOOKUP('Données projet'!$B$12,Paramètres!$A$1:$I$89,3,0)*0.475*44/12</f>
        <v>2.7935533329085378</v>
      </c>
      <c r="CN190" s="22">
        <f t="shared" si="172"/>
        <v>176.78139908811696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8" t="e">
        <f t="shared" si="122"/>
        <v>#N/A</v>
      </c>
      <c r="CY190" s="58" t="e">
        <f ca="1">AVERAGE(OFFSET($CX$3,0,0,'Données projet'!$E$13+1,1))-AVERAGE(OFFSET($H$3,0,0,'Données projet'!$E$13+1,1))</f>
        <v>#N/A</v>
      </c>
      <c r="CZ190" s="58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8" t="e">
        <f t="shared" si="125"/>
        <v>#N/A</v>
      </c>
      <c r="DT190" s="58" t="e">
        <f ca="1">AVERAGE(OFFSET($DS$3,0,0,'Données projet'!$E$14+1,1))-AVERAGE(OFFSET($H$3,0,0,'Données projet'!$E$14+1,1))</f>
        <v>#N/A</v>
      </c>
      <c r="DU190" s="58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8" t="e">
        <f t="shared" si="128"/>
        <v>#N/A</v>
      </c>
      <c r="EO190" s="58" t="e">
        <f ca="1">AVERAGE(OFFSET($EN$3,0,0,'Données projet'!$E$15+1,1))-AVERAGE(OFFSET($H$3,0,0,'Données projet'!$E$15+1,1))</f>
        <v>#N/A</v>
      </c>
      <c r="EP190" s="58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8" t="e">
        <f t="shared" si="131"/>
        <v>#N/A</v>
      </c>
      <c r="FJ190" s="58" t="e">
        <f ca="1">AVERAGE(OFFSET($FI$3,0,0,'Données projet'!$E$16+1,1))-AVERAGE(OFFSET($H$3,0,0,'Données projet'!$E$16+1,1))</f>
        <v>#N/A</v>
      </c>
      <c r="FK190" s="58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8" t="e">
        <f t="shared" si="134"/>
        <v>#N/A</v>
      </c>
      <c r="GE190" s="58" t="e">
        <f ca="1">AVERAGE(OFFSET($GD$3,0,0,'Données projet'!$E$17+1,1))-AVERAGE(OFFSET($H$3,0,0,'Données projet'!$E$17+1,1))</f>
        <v>#N/A</v>
      </c>
      <c r="GF190" s="58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69.62088470321342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8" t="e">
        <f t="shared" si="137"/>
        <v>#N/A</v>
      </c>
      <c r="GZ190" s="58" t="e">
        <f ca="1">AVERAGE(OFFSET($GY$3,0,0,'Données projet'!$E$18+1,1))-AVERAGE(OFFSET($H$3,0,0,'Données projet'!$E$18+1,1))</f>
        <v>#N/A</v>
      </c>
      <c r="HA190" s="58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2">
        <f>'Scénario référence'!$B$16*5+'Scénario référence'!$B$17*0+'Scénario référence'!$B$18*5</f>
        <v>2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7.333333333333333</v>
      </c>
      <c r="H191" s="66">
        <f t="shared" si="110"/>
        <v>227.33333333333334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7.9580786405131221E-13</v>
      </c>
      <c r="O191" s="13">
        <f>N191*VLOOKUP('Données projet'!$B$9,Paramètres!$A$1:$I$89,3,0)*VLOOKUP('Données projet'!$B$9,Paramètres!$A$1:$I$89,5,0)</f>
        <v>7.2004695539362725E-13</v>
      </c>
      <c r="P191" s="13">
        <f t="shared" si="141"/>
        <v>8.5963894794935589E-12</v>
      </c>
      <c r="Q191" s="20">
        <f t="shared" si="162"/>
        <v>1.6226126790761848E-11</v>
      </c>
      <c r="R191" s="58">
        <f t="shared" si="109"/>
        <v>291.96735885548833</v>
      </c>
      <c r="S191" s="58">
        <f ca="1">AVERAGE(OFFSET($R$3,0,0,'Données projet'!$E$9+1,1))-AVERAGE(OFFSET($H$3,0,0,'Données projet'!$E$9+1,1))</f>
        <v>654.0179680178212</v>
      </c>
      <c r="T191" s="58">
        <f t="shared" si="142"/>
        <v>289.42065570013369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139.60008291113473</v>
      </c>
      <c r="AA191" s="21">
        <f>EXP(-LN(2)/25)*AA190+(1-EXP(-LN(2)/25))/(LN(2)/25)*Calculateur!V191*Calculateur!X191*VLOOKUP('Données projet'!$B$9,Paramètres!$A$1:$I$89,3,0)*0.475*44/12</f>
        <v>22.408761183589078</v>
      </c>
      <c r="AB191" s="21">
        <f>EXP(-LN(2)/2)*AB190+(1-EXP(-LN(2)/2))/(LN(2)/2)*V191*Y191*VLOOKUP('Données projet'!$B$9,Paramètres!$A$1:$I$89,3,0)*0.475*44/12</f>
        <v>1.8781926116023391</v>
      </c>
      <c r="AC191" s="22">
        <f t="shared" si="163"/>
        <v>163.88703670632617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8">
        <f t="shared" si="113"/>
        <v>291.96735885547895</v>
      </c>
      <c r="AN191" s="58">
        <f ca="1">AVERAGE(OFFSET($AM$3,0,0,'Données projet'!$E$10+1,1))-AVERAGE(OFFSET($H$3,0,0,'Données projet'!$E$10+1,1))</f>
        <v>447.44638185108147</v>
      </c>
      <c r="AO191" s="58">
        <f t="shared" si="144"/>
        <v>384.84260115068605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20.896568008141799</v>
      </c>
      <c r="AV191" s="21">
        <f>EXP(-LN(2)/25)*AV190+(1-EXP(-LN(2)/25))/(LN(2)/25)*Calculateur!AQ191*Calculateur!AS191*VLOOKUP('Données projet'!$B$10,Paramètres!$A$1:$I$89,3,0)*0.475*44/12</f>
        <v>2.9115867394990054</v>
      </c>
      <c r="AW191" s="21">
        <f>EXP(-LN(2)/2)*AW190+(1-EXP(-LN(2)/2))/(LN(2)/2)*AQ191*AT191*VLOOKUP('Données projet'!$B$10,Paramètres!$A$1:$I$89,3,0)*0.475*44/12</f>
        <v>1.2674367154890549E-15</v>
      </c>
      <c r="AX191" s="21">
        <f t="shared" si="166"/>
        <v>23.808154747640803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8.0694917414803056E-13</v>
      </c>
      <c r="BF191" s="13">
        <f t="shared" si="167"/>
        <v>9.5069530861628001E-12</v>
      </c>
      <c r="BG191" s="20">
        <f t="shared" si="168"/>
        <v>1.7963379770041364E-11</v>
      </c>
      <c r="BH191" s="58">
        <f t="shared" si="116"/>
        <v>291.96735885549009</v>
      </c>
      <c r="BI191" s="58">
        <f ca="1">AVERAGE(OFFSET($BH$3,0,0,'Données projet'!$E$11+1,1))-AVERAGE(OFFSET($H$3,0,0,'Données projet'!$E$11+1,1))</f>
        <v>724.99760740673071</v>
      </c>
      <c r="BJ191" s="58">
        <f t="shared" si="146"/>
        <v>318.24184272438208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156.44836877971994</v>
      </c>
      <c r="BQ191" s="21">
        <f>EXP(-LN(2)/25)*BQ190+(1-EXP(-LN(2)/25))/(LN(2)/25)*Calculateur!BL191*Calculateur!BN191*VLOOKUP('Données projet'!$B$11,Paramètres!$A$1:$I$89,3,0)*0.475*44/12</f>
        <v>25.113266843677426</v>
      </c>
      <c r="BR191" s="21">
        <f>EXP(-LN(2)/2)*BR190+(1-EXP(-LN(2)/2))/(LN(2)/2)*BL191*BO191*VLOOKUP('Données projet'!$B$11,Paramètres!$A$1:$I$89,3,0)*0.475*44/12</f>
        <v>2.1048710302439999</v>
      </c>
      <c r="BS191" s="22">
        <f t="shared" si="169"/>
        <v>183.66650665364136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7.9580786405131221E-13</v>
      </c>
      <c r="BZ191" s="13">
        <f>BY191*VLOOKUP('Données projet'!$B$12,Paramètres!$A$1:$I$89,3,0)*VLOOKUP('Données projet'!$B$12,Paramètres!$A$1:$I$89,5,0)</f>
        <v>7.572907634312286E-13</v>
      </c>
      <c r="CA191" s="13">
        <f t="shared" si="170"/>
        <v>8.9881135648416407E-12</v>
      </c>
      <c r="CB191" s="20">
        <f t="shared" si="171"/>
        <v>1.6973245871741914E-11</v>
      </c>
      <c r="CC191" s="58">
        <f t="shared" si="119"/>
        <v>291.96735885548912</v>
      </c>
      <c r="CD191" s="58">
        <f ca="1">AVERAGE(OFFSET($CC$3,0,0,'Données projet'!$E$12+1,1))-AVERAGE(OFFSET($H$3,0,0,'Données projet'!$E$12+1,1))</f>
        <v>684.45757350513315</v>
      </c>
      <c r="CE191" s="58">
        <f t="shared" si="148"/>
        <v>301.78148341369194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146.82077685481408</v>
      </c>
      <c r="CL191" s="21">
        <f>EXP(-LN(2)/25)*CL190+(1-EXP(-LN(2)/25))/(LN(2)/25)*Calculateur!CG191*Calculateur!CI191*VLOOKUP('Données projet'!$B$12,Paramètres!$A$1:$I$89,3,0)*0.475*44/12</f>
        <v>23.567835037912644</v>
      </c>
      <c r="CM191" s="21">
        <f>EXP(-LN(2)/2)*CM190+(1-EXP(-LN(2)/2))/(LN(2)/2)*CG191*CJ191*VLOOKUP('Données projet'!$B$12,Paramètres!$A$1:$I$89,3,0)*0.475*44/12</f>
        <v>1.9753405053059081</v>
      </c>
      <c r="CN191" s="22">
        <f t="shared" si="172"/>
        <v>172.36395239803261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8" t="e">
        <f t="shared" si="122"/>
        <v>#N/A</v>
      </c>
      <c r="CY191" s="58" t="e">
        <f ca="1">AVERAGE(OFFSET($CX$3,0,0,'Données projet'!$E$13+1,1))-AVERAGE(OFFSET($H$3,0,0,'Données projet'!$E$13+1,1))</f>
        <v>#N/A</v>
      </c>
      <c r="CZ191" s="58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8" t="e">
        <f t="shared" si="125"/>
        <v>#N/A</v>
      </c>
      <c r="DT191" s="58" t="e">
        <f ca="1">AVERAGE(OFFSET($DS$3,0,0,'Données projet'!$E$14+1,1))-AVERAGE(OFFSET($H$3,0,0,'Données projet'!$E$14+1,1))</f>
        <v>#N/A</v>
      </c>
      <c r="DU191" s="58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8" t="e">
        <f t="shared" si="128"/>
        <v>#N/A</v>
      </c>
      <c r="EO191" s="58" t="e">
        <f ca="1">AVERAGE(OFFSET($EN$3,0,0,'Données projet'!$E$15+1,1))-AVERAGE(OFFSET($H$3,0,0,'Données projet'!$E$15+1,1))</f>
        <v>#N/A</v>
      </c>
      <c r="EP191" s="58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8" t="e">
        <f t="shared" si="131"/>
        <v>#N/A</v>
      </c>
      <c r="FJ191" s="58" t="e">
        <f ca="1">AVERAGE(OFFSET($FI$3,0,0,'Données projet'!$E$16+1,1))-AVERAGE(OFFSET($H$3,0,0,'Données projet'!$E$16+1,1))</f>
        <v>#N/A</v>
      </c>
      <c r="FK191" s="58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8" t="e">
        <f t="shared" si="134"/>
        <v>#N/A</v>
      </c>
      <c r="GE191" s="58" t="e">
        <f ca="1">AVERAGE(OFFSET($GD$3,0,0,'Données projet'!$E$17+1,1))-AVERAGE(OFFSET($H$3,0,0,'Données projet'!$E$17+1,1))</f>
        <v>#N/A</v>
      </c>
      <c r="GF191" s="58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69.627461506037847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8" t="e">
        <f t="shared" si="137"/>
        <v>#N/A</v>
      </c>
      <c r="GZ191" s="58" t="e">
        <f ca="1">AVERAGE(OFFSET($GY$3,0,0,'Données projet'!$E$18+1,1))-AVERAGE(OFFSET($H$3,0,0,'Données projet'!$E$18+1,1))</f>
        <v>#N/A</v>
      </c>
      <c r="HA191" s="58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2">
        <f>'Scénario référence'!$B$16*5+'Scénario référence'!$B$17*0+'Scénario référence'!$B$18*5</f>
        <v>2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7.333333333333333</v>
      </c>
      <c r="H192" s="66">
        <f t="shared" si="110"/>
        <v>227.33333333333334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7.9580786405131221E-13</v>
      </c>
      <c r="O192" s="13">
        <f>N192*VLOOKUP('Données projet'!$B$9,Paramètres!$A$1:$I$89,3,0)*VLOOKUP('Données projet'!$B$9,Paramètres!$A$1:$I$89,5,0)</f>
        <v>7.2004695539362725E-13</v>
      </c>
      <c r="P192" s="13">
        <f t="shared" si="141"/>
        <v>8.5963894794935589E-12</v>
      </c>
      <c r="Q192" s="20">
        <f t="shared" si="162"/>
        <v>1.6226126790761848E-11</v>
      </c>
      <c r="R192" s="58">
        <f t="shared" si="109"/>
        <v>291.99105545881775</v>
      </c>
      <c r="S192" s="58">
        <f ca="1">AVERAGE(OFFSET($R$3,0,0,'Données projet'!$E$9+1,1))-AVERAGE(OFFSET($H$3,0,0,'Données projet'!$E$9+1,1))</f>
        <v>654.0179680178212</v>
      </c>
      <c r="T192" s="58">
        <f t="shared" si="142"/>
        <v>289.42065570013369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136.86261043289034</v>
      </c>
      <c r="AA192" s="21">
        <f>EXP(-LN(2)/25)*AA191+(1-EXP(-LN(2)/25))/(LN(2)/25)*Calculateur!V192*Calculateur!X192*VLOOKUP('Données projet'!$B$9,Paramètres!$A$1:$I$89,3,0)*0.475*44/12</f>
        <v>21.7959924305983</v>
      </c>
      <c r="AB192" s="21">
        <f>EXP(-LN(2)/2)*AB191+(1-EXP(-LN(2)/2))/(LN(2)/2)*V192*Y192*VLOOKUP('Données projet'!$B$9,Paramètres!$A$1:$I$89,3,0)*0.475*44/12</f>
        <v>1.3280827320384856</v>
      </c>
      <c r="AC192" s="22">
        <f t="shared" si="163"/>
        <v>159.98668559552712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8">
        <f t="shared" si="113"/>
        <v>291.99105545880838</v>
      </c>
      <c r="AN192" s="58">
        <f ca="1">AVERAGE(OFFSET($AM$3,0,0,'Données projet'!$E$10+1,1))-AVERAGE(OFFSET($H$3,0,0,'Données projet'!$E$10+1,1))</f>
        <v>447.44638185108147</v>
      </c>
      <c r="AO192" s="58">
        <f t="shared" si="144"/>
        <v>384.84260115068605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20.486799055150094</v>
      </c>
      <c r="AV192" s="21">
        <f>EXP(-LN(2)/25)*AV191+(1-EXP(-LN(2)/25))/(LN(2)/25)*Calculateur!AQ192*Calculateur!AS192*VLOOKUP('Données projet'!$B$10,Paramètres!$A$1:$I$89,3,0)*0.475*44/12</f>
        <v>2.831969246993713</v>
      </c>
      <c r="AW192" s="21">
        <f>EXP(-LN(2)/2)*AW191+(1-EXP(-LN(2)/2))/(LN(2)/2)*AQ192*AT192*VLOOKUP('Données projet'!$B$10,Paramètres!$A$1:$I$89,3,0)*0.475*44/12</f>
        <v>8.9621309624711559E-16</v>
      </c>
      <c r="AX192" s="21">
        <f t="shared" si="166"/>
        <v>23.318768302143805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8.0694917414803056E-13</v>
      </c>
      <c r="BF192" s="13">
        <f t="shared" si="167"/>
        <v>9.5069530861628001E-12</v>
      </c>
      <c r="BG192" s="20">
        <f t="shared" si="168"/>
        <v>1.7963379770041364E-11</v>
      </c>
      <c r="BH192" s="58">
        <f t="shared" si="116"/>
        <v>291.99105545881952</v>
      </c>
      <c r="BI192" s="58">
        <f ca="1">AVERAGE(OFFSET($BH$3,0,0,'Données projet'!$E$11+1,1))-AVERAGE(OFFSET($H$3,0,0,'Données projet'!$E$11+1,1))</f>
        <v>724.99760740673071</v>
      </c>
      <c r="BJ192" s="58">
        <f t="shared" si="146"/>
        <v>318.24184272438208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153.38051169203226</v>
      </c>
      <c r="BQ192" s="21">
        <f>EXP(-LN(2)/25)*BQ191+(1-EXP(-LN(2)/25))/(LN(2)/25)*Calculateur!BL192*Calculateur!BN192*VLOOKUP('Données projet'!$B$11,Paramètres!$A$1:$I$89,3,0)*0.475*44/12</f>
        <v>24.426543241187762</v>
      </c>
      <c r="BR192" s="21">
        <f>EXP(-LN(2)/2)*BR191+(1-EXP(-LN(2)/2))/(LN(2)/2)*BL192*BO192*VLOOKUP('Données projet'!$B$11,Paramètres!$A$1:$I$89,3,0)*0.475*44/12</f>
        <v>1.4883685790086469</v>
      </c>
      <c r="BS192" s="22">
        <f t="shared" si="169"/>
        <v>179.29542351222867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7.9580786405131221E-13</v>
      </c>
      <c r="BZ192" s="13">
        <f>BY192*VLOOKUP('Données projet'!$B$12,Paramètres!$A$1:$I$89,3,0)*VLOOKUP('Données projet'!$B$12,Paramètres!$A$1:$I$89,5,0)</f>
        <v>7.572907634312286E-13</v>
      </c>
      <c r="CA192" s="13">
        <f t="shared" si="170"/>
        <v>8.9881135648416407E-12</v>
      </c>
      <c r="CB192" s="20">
        <f t="shared" si="171"/>
        <v>1.6973245871741914E-11</v>
      </c>
      <c r="CC192" s="58">
        <f t="shared" si="119"/>
        <v>291.99105545881855</v>
      </c>
      <c r="CD192" s="58">
        <f ca="1">AVERAGE(OFFSET($CC$3,0,0,'Données projet'!$E$12+1,1))-AVERAGE(OFFSET($H$3,0,0,'Données projet'!$E$12+1,1))</f>
        <v>684.45757350513315</v>
      </c>
      <c r="CE192" s="58">
        <f t="shared" si="148"/>
        <v>301.78148341369194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143.94171097252254</v>
      </c>
      <c r="CL192" s="21">
        <f>EXP(-LN(2)/25)*CL191+(1-EXP(-LN(2)/25))/(LN(2)/25)*Calculateur!CG192*Calculateur!CI192*VLOOKUP('Données projet'!$B$12,Paramètres!$A$1:$I$89,3,0)*0.475*44/12</f>
        <v>22.923371349422343</v>
      </c>
      <c r="CM192" s="21">
        <f>EXP(-LN(2)/2)*CM191+(1-EXP(-LN(2)/2))/(LN(2)/2)*CG192*CJ192*VLOOKUP('Données projet'!$B$12,Paramètres!$A$1:$I$89,3,0)*0.475*44/12</f>
        <v>1.3967766664542691</v>
      </c>
      <c r="CN192" s="22">
        <f t="shared" si="172"/>
        <v>168.26185898839915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8" t="e">
        <f t="shared" si="122"/>
        <v>#N/A</v>
      </c>
      <c r="CY192" s="58" t="e">
        <f ca="1">AVERAGE(OFFSET($CX$3,0,0,'Données projet'!$E$13+1,1))-AVERAGE(OFFSET($H$3,0,0,'Données projet'!$E$13+1,1))</f>
        <v>#N/A</v>
      </c>
      <c r="CZ192" s="58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8" t="e">
        <f t="shared" si="125"/>
        <v>#N/A</v>
      </c>
      <c r="DT192" s="58" t="e">
        <f ca="1">AVERAGE(OFFSET($DS$3,0,0,'Données projet'!$E$14+1,1))-AVERAGE(OFFSET($H$3,0,0,'Données projet'!$E$14+1,1))</f>
        <v>#N/A</v>
      </c>
      <c r="DU192" s="58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8" t="e">
        <f t="shared" si="128"/>
        <v>#N/A</v>
      </c>
      <c r="EO192" s="58" t="e">
        <f ca="1">AVERAGE(OFFSET($EN$3,0,0,'Données projet'!$E$15+1,1))-AVERAGE(OFFSET($H$3,0,0,'Données projet'!$E$15+1,1))</f>
        <v>#N/A</v>
      </c>
      <c r="EP192" s="58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8" t="e">
        <f t="shared" si="131"/>
        <v>#N/A</v>
      </c>
      <c r="FJ192" s="58" t="e">
        <f ca="1">AVERAGE(OFFSET($FI$3,0,0,'Données projet'!$E$16+1,1))-AVERAGE(OFFSET($H$3,0,0,'Données projet'!$E$16+1,1))</f>
        <v>#N/A</v>
      </c>
      <c r="FK192" s="58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8" t="e">
        <f t="shared" si="134"/>
        <v>#N/A</v>
      </c>
      <c r="GE192" s="58" t="e">
        <f ca="1">AVERAGE(OFFSET($GD$3,0,0,'Données projet'!$E$17+1,1))-AVERAGE(OFFSET($H$3,0,0,'Données projet'!$E$17+1,1))</f>
        <v>#N/A</v>
      </c>
      <c r="GF192" s="58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69.633924216036789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8" t="e">
        <f t="shared" si="137"/>
        <v>#N/A</v>
      </c>
      <c r="GZ192" s="58" t="e">
        <f ca="1">AVERAGE(OFFSET($GY$3,0,0,'Données projet'!$E$18+1,1))-AVERAGE(OFFSET($H$3,0,0,'Données projet'!$E$18+1,1))</f>
        <v>#N/A</v>
      </c>
      <c r="HA192" s="58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2">
        <f>'Scénario référence'!$B$16*5+'Scénario référence'!$B$17*0+'Scénario référence'!$B$18*5</f>
        <v>2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7.333333333333333</v>
      </c>
      <c r="H193" s="66">
        <f t="shared" si="110"/>
        <v>227.33333333333334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7.9580786405131221E-13</v>
      </c>
      <c r="O193" s="13">
        <f>N193*VLOOKUP('Données projet'!$B$9,Paramètres!$A$1:$I$89,3,0)*VLOOKUP('Données projet'!$B$9,Paramètres!$A$1:$I$89,5,0)</f>
        <v>7.2004695539362725E-13</v>
      </c>
      <c r="P193" s="13">
        <f t="shared" si="141"/>
        <v>8.5963894794935589E-12</v>
      </c>
      <c r="Q193" s="20">
        <f t="shared" si="162"/>
        <v>1.6226126790761848E-11</v>
      </c>
      <c r="R193" s="58">
        <f t="shared" si="109"/>
        <v>292.01434097905712</v>
      </c>
      <c r="S193" s="58">
        <f ca="1">AVERAGE(OFFSET($R$3,0,0,'Données projet'!$E$9+1,1))-AVERAGE(OFFSET($H$3,0,0,'Données projet'!$E$9+1,1))</f>
        <v>654.0179680178212</v>
      </c>
      <c r="T193" s="58">
        <f t="shared" si="142"/>
        <v>289.42065570013369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134.17881812025095</v>
      </c>
      <c r="AA193" s="21">
        <f>EXP(-LN(2)/25)*AA192+(1-EXP(-LN(2)/25))/(LN(2)/25)*Calculateur!V193*Calculateur!X193*VLOOKUP('Données projet'!$B$9,Paramètres!$A$1:$I$89,3,0)*0.475*44/12</f>
        <v>21.199979871382162</v>
      </c>
      <c r="AB193" s="21">
        <f>EXP(-LN(2)/2)*AB192+(1-EXP(-LN(2)/2))/(LN(2)/2)*V193*Y193*VLOOKUP('Données projet'!$B$9,Paramètres!$A$1:$I$89,3,0)*0.475*44/12</f>
        <v>0.93909630580116976</v>
      </c>
      <c r="AC193" s="22">
        <f t="shared" si="163"/>
        <v>156.31789429743429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8">
        <f t="shared" si="113"/>
        <v>292.01434097904774</v>
      </c>
      <c r="AN193" s="58">
        <f ca="1">AVERAGE(OFFSET($AM$3,0,0,'Données projet'!$E$10+1,1))-AVERAGE(OFFSET($H$3,0,0,'Données projet'!$E$10+1,1))</f>
        <v>447.44638185108147</v>
      </c>
      <c r="AO193" s="58">
        <f t="shared" si="144"/>
        <v>384.84260115068605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20.085065421392176</v>
      </c>
      <c r="AV193" s="21">
        <f>EXP(-LN(2)/25)*AV192+(1-EXP(-LN(2)/25))/(LN(2)/25)*Calculateur!AQ193*Calculateur!AS193*VLOOKUP('Données projet'!$B$10,Paramètres!$A$1:$I$89,3,0)*0.475*44/12</f>
        <v>2.7545288990078798</v>
      </c>
      <c r="AW193" s="21">
        <f>EXP(-LN(2)/2)*AW192+(1-EXP(-LN(2)/2))/(LN(2)/2)*AQ193*AT193*VLOOKUP('Données projet'!$B$10,Paramètres!$A$1:$I$89,3,0)*0.475*44/12</f>
        <v>6.3371835774452743E-16</v>
      </c>
      <c r="AX193" s="21">
        <f t="shared" si="166"/>
        <v>22.839594320400057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8.0694917414803056E-13</v>
      </c>
      <c r="BF193" s="13">
        <f t="shared" si="167"/>
        <v>9.5069530861628001E-12</v>
      </c>
      <c r="BG193" s="20">
        <f t="shared" si="168"/>
        <v>1.7963379770041364E-11</v>
      </c>
      <c r="BH193" s="58">
        <f t="shared" si="116"/>
        <v>292.01434097905889</v>
      </c>
      <c r="BI193" s="58">
        <f ca="1">AVERAGE(OFFSET($BH$3,0,0,'Données projet'!$E$11+1,1))-AVERAGE(OFFSET($H$3,0,0,'Données projet'!$E$11+1,1))</f>
        <v>724.99760740673071</v>
      </c>
      <c r="BJ193" s="58">
        <f t="shared" si="146"/>
        <v>318.24184272438208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150.37281341062607</v>
      </c>
      <c r="BQ193" s="21">
        <f>EXP(-LN(2)/25)*BQ192+(1-EXP(-LN(2)/25))/(LN(2)/25)*Calculateur!BL193*Calculateur!BN193*VLOOKUP('Données projet'!$B$11,Paramètres!$A$1:$I$89,3,0)*0.475*44/12</f>
        <v>23.758598131721403</v>
      </c>
      <c r="BR193" s="21">
        <f>EXP(-LN(2)/2)*BR192+(1-EXP(-LN(2)/2))/(LN(2)/2)*BL193*BO193*VLOOKUP('Données projet'!$B$11,Paramètres!$A$1:$I$89,3,0)*0.475*44/12</f>
        <v>1.052435515122</v>
      </c>
      <c r="BS193" s="22">
        <f t="shared" si="169"/>
        <v>175.18384705746948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7.9580786405131221E-13</v>
      </c>
      <c r="BZ193" s="13">
        <f>BY193*VLOOKUP('Données projet'!$B$12,Paramètres!$A$1:$I$89,3,0)*VLOOKUP('Données projet'!$B$12,Paramètres!$A$1:$I$89,5,0)</f>
        <v>7.572907634312286E-13</v>
      </c>
      <c r="CA193" s="13">
        <f t="shared" si="170"/>
        <v>8.9881135648416407E-12</v>
      </c>
      <c r="CB193" s="20">
        <f t="shared" si="171"/>
        <v>1.6973245871741914E-11</v>
      </c>
      <c r="CC193" s="58">
        <f t="shared" si="119"/>
        <v>292.01434097905792</v>
      </c>
      <c r="CD193" s="58">
        <f ca="1">AVERAGE(OFFSET($CC$3,0,0,'Données projet'!$E$12+1,1))-AVERAGE(OFFSET($H$3,0,0,'Données projet'!$E$12+1,1))</f>
        <v>684.45757350513315</v>
      </c>
      <c r="CE193" s="58">
        <f t="shared" si="148"/>
        <v>301.78148341369194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141.11910181612595</v>
      </c>
      <c r="CL193" s="21">
        <f>EXP(-LN(2)/25)*CL192+(1-EXP(-LN(2)/25))/(LN(2)/25)*Calculateur!CG193*Calculateur!CI193*VLOOKUP('Données projet'!$B$12,Paramètres!$A$1:$I$89,3,0)*0.475*44/12</f>
        <v>22.296530554384681</v>
      </c>
      <c r="CM193" s="21">
        <f>EXP(-LN(2)/2)*CM192+(1-EXP(-LN(2)/2))/(LN(2)/2)*CG193*CJ193*VLOOKUP('Données projet'!$B$12,Paramètres!$A$1:$I$89,3,0)*0.475*44/12</f>
        <v>0.98767025265295427</v>
      </c>
      <c r="CN193" s="22">
        <f t="shared" si="172"/>
        <v>164.40330262316357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8" t="e">
        <f t="shared" si="122"/>
        <v>#N/A</v>
      </c>
      <c r="CY193" s="58" t="e">
        <f ca="1">AVERAGE(OFFSET($CX$3,0,0,'Données projet'!$E$13+1,1))-AVERAGE(OFFSET($H$3,0,0,'Données projet'!$E$13+1,1))</f>
        <v>#N/A</v>
      </c>
      <c r="CZ193" s="58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8" t="e">
        <f t="shared" si="125"/>
        <v>#N/A</v>
      </c>
      <c r="DT193" s="58" t="e">
        <f ca="1">AVERAGE(OFFSET($DS$3,0,0,'Données projet'!$E$14+1,1))-AVERAGE(OFFSET($H$3,0,0,'Données projet'!$E$14+1,1))</f>
        <v>#N/A</v>
      </c>
      <c r="DU193" s="58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8" t="e">
        <f t="shared" si="128"/>
        <v>#N/A</v>
      </c>
      <c r="EO193" s="58" t="e">
        <f ca="1">AVERAGE(OFFSET($EN$3,0,0,'Données projet'!$E$15+1,1))-AVERAGE(OFFSET($H$3,0,0,'Données projet'!$E$15+1,1))</f>
        <v>#N/A</v>
      </c>
      <c r="EP193" s="58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8" t="e">
        <f t="shared" si="131"/>
        <v>#N/A</v>
      </c>
      <c r="FJ193" s="58" t="e">
        <f ca="1">AVERAGE(OFFSET($FI$3,0,0,'Données projet'!$E$16+1,1))-AVERAGE(OFFSET($H$3,0,0,'Données projet'!$E$16+1,1))</f>
        <v>#N/A</v>
      </c>
      <c r="FK193" s="58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8" t="e">
        <f t="shared" si="134"/>
        <v>#N/A</v>
      </c>
      <c r="GE193" s="58" t="e">
        <f ca="1">AVERAGE(OFFSET($GD$3,0,0,'Données projet'!$E$17+1,1))-AVERAGE(OFFSET($H$3,0,0,'Données projet'!$E$17+1,1))</f>
        <v>#N/A</v>
      </c>
      <c r="GF193" s="58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69.640274812465705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8" t="e">
        <f t="shared" si="137"/>
        <v>#N/A</v>
      </c>
      <c r="GZ193" s="58" t="e">
        <f ca="1">AVERAGE(OFFSET($GY$3,0,0,'Données projet'!$E$18+1,1))-AVERAGE(OFFSET($H$3,0,0,'Données projet'!$E$18+1,1))</f>
        <v>#N/A</v>
      </c>
      <c r="HA193" s="58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2">
        <f>'Scénario référence'!$B$16*5+'Scénario référence'!$B$17*0+'Scénario référence'!$B$18*5</f>
        <v>2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7.333333333333333</v>
      </c>
      <c r="H194" s="66">
        <f t="shared" si="110"/>
        <v>227.33333333333334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7.9580786405131221E-13</v>
      </c>
      <c r="O194" s="13">
        <f>N194*VLOOKUP('Données projet'!$B$9,Paramètres!$A$1:$I$89,3,0)*VLOOKUP('Données projet'!$B$9,Paramètres!$A$1:$I$89,5,0)</f>
        <v>7.2004695539362725E-13</v>
      </c>
      <c r="P194" s="13">
        <f t="shared" si="141"/>
        <v>8.5963894794935589E-12</v>
      </c>
      <c r="Q194" s="20">
        <f t="shared" si="162"/>
        <v>1.6226126790761848E-11</v>
      </c>
      <c r="R194" s="58">
        <f t="shared" si="109"/>
        <v>292.03722254757895</v>
      </c>
      <c r="S194" s="58">
        <f ca="1">AVERAGE(OFFSET($R$3,0,0,'Données projet'!$E$9+1,1))-AVERAGE(OFFSET($H$3,0,0,'Données projet'!$E$9+1,1))</f>
        <v>654.0179680178212</v>
      </c>
      <c r="T194" s="58">
        <f t="shared" si="142"/>
        <v>289.42065570013369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131.54765333791076</v>
      </c>
      <c r="AA194" s="21">
        <f>EXP(-LN(2)/25)*AA193+(1-EXP(-LN(2)/25))/(LN(2)/25)*Calculateur!V194*Calculateur!X194*VLOOKUP('Données projet'!$B$9,Paramètres!$A$1:$I$89,3,0)*0.475*44/12</f>
        <v>20.620265306940727</v>
      </c>
      <c r="AB194" s="21">
        <f>EXP(-LN(2)/2)*AB193+(1-EXP(-LN(2)/2))/(LN(2)/2)*V194*Y194*VLOOKUP('Données projet'!$B$9,Paramètres!$A$1:$I$89,3,0)*0.475*44/12</f>
        <v>0.66404136601924291</v>
      </c>
      <c r="AC194" s="22">
        <f t="shared" si="163"/>
        <v>152.83196001087072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8">
        <f t="shared" si="113"/>
        <v>292.03722254756957</v>
      </c>
      <c r="AN194" s="58">
        <f ca="1">AVERAGE(OFFSET($AM$3,0,0,'Données projet'!$E$10+1,1))-AVERAGE(OFFSET($H$3,0,0,'Données projet'!$E$10+1,1))</f>
        <v>447.44638185108147</v>
      </c>
      <c r="AO194" s="58">
        <f t="shared" si="144"/>
        <v>384.84260115068605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19.69120953915893</v>
      </c>
      <c r="AV194" s="21">
        <f>EXP(-LN(2)/25)*AV193+(1-EXP(-LN(2)/25))/(LN(2)/25)*Calculateur!AQ194*Calculateur!AS194*VLOOKUP('Données projet'!$B$10,Paramètres!$A$1:$I$89,3,0)*0.475*44/12</f>
        <v>2.6792061614101299</v>
      </c>
      <c r="AW194" s="21">
        <f>EXP(-LN(2)/2)*AW193+(1-EXP(-LN(2)/2))/(LN(2)/2)*AQ194*AT194*VLOOKUP('Données projet'!$B$10,Paramètres!$A$1:$I$89,3,0)*0.475*44/12</f>
        <v>4.4810654812355779E-16</v>
      </c>
      <c r="AX194" s="21">
        <f t="shared" si="166"/>
        <v>22.370415700569058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8.0694917414803056E-13</v>
      </c>
      <c r="BF194" s="13">
        <f t="shared" si="167"/>
        <v>9.5069530861628001E-12</v>
      </c>
      <c r="BG194" s="20">
        <f t="shared" si="168"/>
        <v>1.7963379770041364E-11</v>
      </c>
      <c r="BH194" s="58">
        <f t="shared" si="116"/>
        <v>292.03722254758071</v>
      </c>
      <c r="BI194" s="58">
        <f ca="1">AVERAGE(OFFSET($BH$3,0,0,'Données projet'!$E$11+1,1))-AVERAGE(OFFSET($H$3,0,0,'Données projet'!$E$11+1,1))</f>
        <v>724.99760740673071</v>
      </c>
      <c r="BJ194" s="58">
        <f t="shared" si="146"/>
        <v>318.24184272438208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147.42409425800344</v>
      </c>
      <c r="BQ194" s="21">
        <f>EXP(-LN(2)/25)*BQ193+(1-EXP(-LN(2)/25))/(LN(2)/25)*Calculateur!BL194*Calculateur!BN194*VLOOKUP('Données projet'!$B$11,Paramètres!$A$1:$I$89,3,0)*0.475*44/12</f>
        <v>23.108918016399105</v>
      </c>
      <c r="BR194" s="21">
        <f>EXP(-LN(2)/2)*BR193+(1-EXP(-LN(2)/2))/(LN(2)/2)*BL194*BO194*VLOOKUP('Données projet'!$B$11,Paramètres!$A$1:$I$89,3,0)*0.475*44/12</f>
        <v>0.74418428950432347</v>
      </c>
      <c r="BS194" s="22">
        <f t="shared" si="169"/>
        <v>171.27719656390687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7.9580786405131221E-13</v>
      </c>
      <c r="BZ194" s="13">
        <f>BY194*VLOOKUP('Données projet'!$B$12,Paramètres!$A$1:$I$89,3,0)*VLOOKUP('Données projet'!$B$12,Paramètres!$A$1:$I$89,5,0)</f>
        <v>7.572907634312286E-13</v>
      </c>
      <c r="CA194" s="13">
        <f t="shared" si="170"/>
        <v>8.9881135648416407E-12</v>
      </c>
      <c r="CB194" s="20">
        <f t="shared" si="171"/>
        <v>1.6973245871741914E-11</v>
      </c>
      <c r="CC194" s="58">
        <f t="shared" si="119"/>
        <v>292.03722254757974</v>
      </c>
      <c r="CD194" s="58">
        <f ca="1">AVERAGE(OFFSET($CC$3,0,0,'Données projet'!$E$12+1,1))-AVERAGE(OFFSET($H$3,0,0,'Données projet'!$E$12+1,1))</f>
        <v>684.45757350513315</v>
      </c>
      <c r="CE194" s="58">
        <f t="shared" si="148"/>
        <v>301.78148341369194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138.35184230366471</v>
      </c>
      <c r="CL194" s="21">
        <f>EXP(-LN(2)/25)*CL193+(1-EXP(-LN(2)/25))/(LN(2)/25)*Calculateur!CG194*Calculateur!CI194*VLOOKUP('Données projet'!$B$12,Paramètres!$A$1:$I$89,3,0)*0.475*44/12</f>
        <v>21.686830753851449</v>
      </c>
      <c r="CM194" s="21">
        <f>EXP(-LN(2)/2)*CM193+(1-EXP(-LN(2)/2))/(LN(2)/2)*CG194*CJ194*VLOOKUP('Données projet'!$B$12,Paramètres!$A$1:$I$89,3,0)*0.475*44/12</f>
        <v>0.69838833322713467</v>
      </c>
      <c r="CN194" s="22">
        <f t="shared" si="172"/>
        <v>160.73706139074329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8" t="e">
        <f t="shared" si="122"/>
        <v>#N/A</v>
      </c>
      <c r="CY194" s="58" t="e">
        <f ca="1">AVERAGE(OFFSET($CX$3,0,0,'Données projet'!$E$13+1,1))-AVERAGE(OFFSET($H$3,0,0,'Données projet'!$E$13+1,1))</f>
        <v>#N/A</v>
      </c>
      <c r="CZ194" s="58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8" t="e">
        <f t="shared" si="125"/>
        <v>#N/A</v>
      </c>
      <c r="DT194" s="58" t="e">
        <f ca="1">AVERAGE(OFFSET($DS$3,0,0,'Données projet'!$E$14+1,1))-AVERAGE(OFFSET($H$3,0,0,'Données projet'!$E$14+1,1))</f>
        <v>#N/A</v>
      </c>
      <c r="DU194" s="58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8" t="e">
        <f t="shared" si="128"/>
        <v>#N/A</v>
      </c>
      <c r="EO194" s="58" t="e">
        <f ca="1">AVERAGE(OFFSET($EN$3,0,0,'Données projet'!$E$15+1,1))-AVERAGE(OFFSET($H$3,0,0,'Données projet'!$E$15+1,1))</f>
        <v>#N/A</v>
      </c>
      <c r="EP194" s="58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8" t="e">
        <f t="shared" si="131"/>
        <v>#N/A</v>
      </c>
      <c r="FJ194" s="58" t="e">
        <f ca="1">AVERAGE(OFFSET($FI$3,0,0,'Données projet'!$E$16+1,1))-AVERAGE(OFFSET($H$3,0,0,'Données projet'!$E$16+1,1))</f>
        <v>#N/A</v>
      </c>
      <c r="FK194" s="58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8" t="e">
        <f t="shared" si="134"/>
        <v>#N/A</v>
      </c>
      <c r="GE194" s="58" t="e">
        <f ca="1">AVERAGE(OFFSET($GD$3,0,0,'Données projet'!$E$17+1,1))-AVERAGE(OFFSET($H$3,0,0,'Données projet'!$E$17+1,1))</f>
        <v>#N/A</v>
      </c>
      <c r="GF194" s="58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69.646515240244383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8" t="e">
        <f t="shared" si="137"/>
        <v>#N/A</v>
      </c>
      <c r="GZ194" s="58" t="e">
        <f ca="1">AVERAGE(OFFSET($GY$3,0,0,'Données projet'!$E$18+1,1))-AVERAGE(OFFSET($H$3,0,0,'Données projet'!$E$18+1,1))</f>
        <v>#N/A</v>
      </c>
      <c r="HA194" s="58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2">
        <f>'Scénario référence'!$B$16*5+'Scénario référence'!$B$17*0+'Scénario référence'!$B$18*5</f>
        <v>2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7.333333333333333</v>
      </c>
      <c r="H195" s="66">
        <f t="shared" si="110"/>
        <v>227.33333333333334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7.9580786405131221E-13</v>
      </c>
      <c r="O195" s="13">
        <f>N195*VLOOKUP('Données projet'!$B$9,Paramètres!$A$1:$I$89,3,0)*VLOOKUP('Données projet'!$B$9,Paramètres!$A$1:$I$89,5,0)</f>
        <v>7.2004695539362725E-13</v>
      </c>
      <c r="P195" s="13">
        <f t="shared" si="141"/>
        <v>8.5963894794935589E-12</v>
      </c>
      <c r="Q195" s="20">
        <f t="shared" si="162"/>
        <v>1.6226126790761848E-11</v>
      </c>
      <c r="R195" s="58">
        <f t="shared" ref="R195:R203" si="191">Q195+(I195+J195)*44/12</f>
        <v>292.05970717204247</v>
      </c>
      <c r="S195" s="58">
        <f ca="1">AVERAGE(OFFSET($R$3,0,0,'Données projet'!$E$9+1,1))-AVERAGE(OFFSET($H$3,0,0,'Données projet'!$E$9+1,1))</f>
        <v>654.0179680178212</v>
      </c>
      <c r="T195" s="58">
        <f t="shared" si="142"/>
        <v>289.42065570013369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128.96808409210021</v>
      </c>
      <c r="AA195" s="21">
        <f>EXP(-LN(2)/25)*AA194+(1-EXP(-LN(2)/25))/(LN(2)/25)*Calculateur!V195*Calculateur!X195*VLOOKUP('Données projet'!$B$9,Paramètres!$A$1:$I$89,3,0)*0.475*44/12</f>
        <v>20.056403067749809</v>
      </c>
      <c r="AB195" s="21">
        <f>EXP(-LN(2)/2)*AB194+(1-EXP(-LN(2)/2))/(LN(2)/2)*V195*Y195*VLOOKUP('Données projet'!$B$9,Paramètres!$A$1:$I$89,3,0)*0.475*44/12</f>
        <v>0.46954815290058494</v>
      </c>
      <c r="AC195" s="22">
        <f t="shared" si="163"/>
        <v>149.49403531275061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8">
        <f t="shared" si="113"/>
        <v>292.05970717203309</v>
      </c>
      <c r="AN195" s="58">
        <f ca="1">AVERAGE(OFFSET($AM$3,0,0,'Données projet'!$E$10+1,1))-AVERAGE(OFFSET($H$3,0,0,'Données projet'!$E$10+1,1))</f>
        <v>447.44638185108147</v>
      </c>
      <c r="AO195" s="58">
        <f t="shared" si="144"/>
        <v>384.84260115068605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19.305076930547909</v>
      </c>
      <c r="AV195" s="21">
        <f>EXP(-LN(2)/25)*AV194+(1-EXP(-LN(2)/25))/(LN(2)/25)*Calculateur!AQ195*Calculateur!AS195*VLOOKUP('Données projet'!$B$10,Paramètres!$A$1:$I$89,3,0)*0.475*44/12</f>
        <v>2.6059431280330414</v>
      </c>
      <c r="AW195" s="21">
        <f>EXP(-LN(2)/2)*AW194+(1-EXP(-LN(2)/2))/(LN(2)/2)*AQ195*AT195*VLOOKUP('Données projet'!$B$10,Paramètres!$A$1:$I$89,3,0)*0.475*44/12</f>
        <v>3.1685917887226371E-16</v>
      </c>
      <c r="AX195" s="21">
        <f t="shared" si="166"/>
        <v>21.911020058580949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8.0694917414803056E-13</v>
      </c>
      <c r="BF195" s="13">
        <f t="shared" si="167"/>
        <v>9.5069530861628001E-12</v>
      </c>
      <c r="BG195" s="20">
        <f t="shared" si="168"/>
        <v>1.7963379770041364E-11</v>
      </c>
      <c r="BH195" s="58">
        <f t="shared" si="116"/>
        <v>292.05970717204423</v>
      </c>
      <c r="BI195" s="58">
        <f ca="1">AVERAGE(OFFSET($BH$3,0,0,'Données projet'!$E$11+1,1))-AVERAGE(OFFSET($H$3,0,0,'Données projet'!$E$11+1,1))</f>
        <v>724.99760740673071</v>
      </c>
      <c r="BJ195" s="58">
        <f t="shared" si="146"/>
        <v>318.24184272438208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144.53319768942265</v>
      </c>
      <c r="BQ195" s="21">
        <f>EXP(-LN(2)/25)*BQ194+(1-EXP(-LN(2)/25))/(LN(2)/25)*Calculateur!BL195*Calculateur!BN195*VLOOKUP('Données projet'!$B$11,Paramètres!$A$1:$I$89,3,0)*0.475*44/12</f>
        <v>22.477003437995489</v>
      </c>
      <c r="BR195" s="21">
        <f>EXP(-LN(2)/2)*BR194+(1-EXP(-LN(2)/2))/(LN(2)/2)*BL195*BO195*VLOOKUP('Données projet'!$B$11,Paramètres!$A$1:$I$89,3,0)*0.475*44/12</f>
        <v>0.52621775756099998</v>
      </c>
      <c r="BS195" s="22">
        <f t="shared" si="169"/>
        <v>167.53641888497913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7.9580786405131221E-13</v>
      </c>
      <c r="BZ195" s="13">
        <f>BY195*VLOOKUP('Données projet'!$B$12,Paramètres!$A$1:$I$89,3,0)*VLOOKUP('Données projet'!$B$12,Paramètres!$A$1:$I$89,5,0)</f>
        <v>7.572907634312286E-13</v>
      </c>
      <c r="CA195" s="13">
        <f t="shared" si="170"/>
        <v>8.9881135648416407E-12</v>
      </c>
      <c r="CB195" s="20">
        <f t="shared" si="171"/>
        <v>1.6973245871741914E-11</v>
      </c>
      <c r="CC195" s="58">
        <f t="shared" si="119"/>
        <v>292.05970717204326</v>
      </c>
      <c r="CD195" s="58">
        <f ca="1">AVERAGE(OFFSET($CC$3,0,0,'Données projet'!$E$12+1,1))-AVERAGE(OFFSET($H$3,0,0,'Données projet'!$E$12+1,1))</f>
        <v>684.45757350513315</v>
      </c>
      <c r="CE195" s="58">
        <f t="shared" si="148"/>
        <v>301.78148341369194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135.63884706238119</v>
      </c>
      <c r="CL195" s="21">
        <f>EXP(-LN(2)/25)*CL194+(1-EXP(-LN(2)/25))/(LN(2)/25)*Calculateur!CG195*Calculateur!CI195*VLOOKUP('Données projet'!$B$12,Paramètres!$A$1:$I$89,3,0)*0.475*44/12</f>
        <v>21.09380322642652</v>
      </c>
      <c r="CM195" s="21">
        <f>EXP(-LN(2)/2)*CM194+(1-EXP(-LN(2)/2))/(LN(2)/2)*CG195*CJ195*VLOOKUP('Données projet'!$B$12,Paramètres!$A$1:$I$89,3,0)*0.475*44/12</f>
        <v>0.49383512632647719</v>
      </c>
      <c r="CN195" s="22">
        <f t="shared" si="172"/>
        <v>157.22648541513419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8" t="e">
        <f t="shared" si="122"/>
        <v>#N/A</v>
      </c>
      <c r="CY195" s="58" t="e">
        <f ca="1">AVERAGE(OFFSET($CX$3,0,0,'Données projet'!$E$13+1,1))-AVERAGE(OFFSET($H$3,0,0,'Données projet'!$E$13+1,1))</f>
        <v>#N/A</v>
      </c>
      <c r="CZ195" s="58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8" t="e">
        <f t="shared" si="125"/>
        <v>#N/A</v>
      </c>
      <c r="DT195" s="58" t="e">
        <f ca="1">AVERAGE(OFFSET($DS$3,0,0,'Données projet'!$E$14+1,1))-AVERAGE(OFFSET($H$3,0,0,'Données projet'!$E$14+1,1))</f>
        <v>#N/A</v>
      </c>
      <c r="DU195" s="58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8" t="e">
        <f t="shared" si="128"/>
        <v>#N/A</v>
      </c>
      <c r="EO195" s="58" t="e">
        <f ca="1">AVERAGE(OFFSET($EN$3,0,0,'Données projet'!$E$15+1,1))-AVERAGE(OFFSET($H$3,0,0,'Données projet'!$E$15+1,1))</f>
        <v>#N/A</v>
      </c>
      <c r="EP195" s="58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8" t="e">
        <f t="shared" si="131"/>
        <v>#N/A</v>
      </c>
      <c r="FJ195" s="58" t="e">
        <f ca="1">AVERAGE(OFFSET($FI$3,0,0,'Données projet'!$E$16+1,1))-AVERAGE(OFFSET($H$3,0,0,'Données projet'!$E$16+1,1))</f>
        <v>#N/A</v>
      </c>
      <c r="FK195" s="58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8" t="e">
        <f t="shared" si="134"/>
        <v>#N/A</v>
      </c>
      <c r="GE195" s="58" t="e">
        <f ca="1">AVERAGE(OFFSET($GD$3,0,0,'Données projet'!$E$17+1,1))-AVERAGE(OFFSET($H$3,0,0,'Données projet'!$E$17+1,1))</f>
        <v>#N/A</v>
      </c>
      <c r="GF195" s="58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69.652647410552618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8" t="e">
        <f t="shared" si="137"/>
        <v>#N/A</v>
      </c>
      <c r="GZ195" s="58" t="e">
        <f ca="1">AVERAGE(OFFSET($GY$3,0,0,'Données projet'!$E$18+1,1))-AVERAGE(OFFSET($H$3,0,0,'Données projet'!$E$18+1,1))</f>
        <v>#N/A</v>
      </c>
      <c r="HA195" s="58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2">
        <f>'Scénario référence'!$B$16*5+'Scénario référence'!$B$17*0+'Scénario référence'!$B$18*5</f>
        <v>2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7.333333333333333</v>
      </c>
      <c r="H196" s="66">
        <f t="shared" ref="H196:H203" si="192">(B196+E196+F196)*44/12+(C196+D196)*0.475*44/12</f>
        <v>227.33333333333334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7.9580786405131221E-13</v>
      </c>
      <c r="O196" s="13">
        <f>N196*VLOOKUP('Données projet'!$B$9,Paramètres!$A$1:$I$89,3,0)*VLOOKUP('Données projet'!$B$9,Paramètres!$A$1:$I$89,5,0)</f>
        <v>7.2004695539362725E-13</v>
      </c>
      <c r="P196" s="13">
        <f t="shared" si="141"/>
        <v>8.5963894794935589E-12</v>
      </c>
      <c r="Q196" s="20">
        <f t="shared" si="162"/>
        <v>1.6226126790761848E-11</v>
      </c>
      <c r="R196" s="58">
        <f t="shared" si="191"/>
        <v>292.08180173853958</v>
      </c>
      <c r="S196" s="58">
        <f ca="1">AVERAGE(OFFSET($R$3,0,0,'Données projet'!$E$9+1,1))-AVERAGE(OFFSET($H$3,0,0,'Données projet'!$E$9+1,1))</f>
        <v>654.0179680178212</v>
      </c>
      <c r="T196" s="58">
        <f t="shared" si="142"/>
        <v>289.42065570013369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126.43909862581812</v>
      </c>
      <c r="AA196" s="21">
        <f>EXP(-LN(2)/25)*AA195+(1-EXP(-LN(2)/25))/(LN(2)/25)*Calculateur!V196*Calculateur!X196*VLOOKUP('Données projet'!$B$9,Paramètres!$A$1:$I$89,3,0)*0.475*44/12</f>
        <v>19.507959671141794</v>
      </c>
      <c r="AB196" s="21">
        <f>EXP(-LN(2)/2)*AB195+(1-EXP(-LN(2)/2))/(LN(2)/2)*V196*Y196*VLOOKUP('Données projet'!$B$9,Paramètres!$A$1:$I$89,3,0)*0.475*44/12</f>
        <v>0.33202068300962151</v>
      </c>
      <c r="AC196" s="22">
        <f t="shared" si="163"/>
        <v>146.27907897996954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8">
        <f t="shared" ref="AM196:AM203" si="193">AL196+(AD196+AE196)*44/12</f>
        <v>292.0818017385302</v>
      </c>
      <c r="AN196" s="58">
        <f ca="1">AVERAGE(OFFSET($AM$3,0,0,'Données projet'!$E$10+1,1))-AVERAGE(OFFSET($H$3,0,0,'Données projet'!$E$10+1,1))</f>
        <v>447.44638185108147</v>
      </c>
      <c r="AO196" s="58">
        <f t="shared" si="144"/>
        <v>384.84260115068605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18.926516146874114</v>
      </c>
      <c r="AV196" s="21">
        <f>EXP(-LN(2)/25)*AV195+(1-EXP(-LN(2)/25))/(LN(2)/25)*Calculateur!AQ196*Calculateur!AS196*VLOOKUP('Données projet'!$B$10,Paramètres!$A$1:$I$89,3,0)*0.475*44/12</f>
        <v>2.5346834761563848</v>
      </c>
      <c r="AW196" s="21">
        <f>EXP(-LN(2)/2)*AW195+(1-EXP(-LN(2)/2))/(LN(2)/2)*AQ196*AT196*VLOOKUP('Données projet'!$B$10,Paramètres!$A$1:$I$89,3,0)*0.475*44/12</f>
        <v>2.240532740617789E-16</v>
      </c>
      <c r="AX196" s="21">
        <f t="shared" si="166"/>
        <v>21.461199623030499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8.0694917414803056E-13</v>
      </c>
      <c r="BF196" s="13">
        <f t="shared" si="167"/>
        <v>9.5069530861628001E-12</v>
      </c>
      <c r="BG196" s="20">
        <f t="shared" si="168"/>
        <v>1.7963379770041364E-11</v>
      </c>
      <c r="BH196" s="58">
        <f t="shared" ref="BH196:BH203" si="194">BG196+(AY196+AZ196)*44/12</f>
        <v>292.08180173854134</v>
      </c>
      <c r="BI196" s="58">
        <f ca="1">AVERAGE(OFFSET($BH$3,0,0,'Données projet'!$E$11+1,1))-AVERAGE(OFFSET($H$3,0,0,'Données projet'!$E$11+1,1))</f>
        <v>724.99760740673071</v>
      </c>
      <c r="BJ196" s="58">
        <f t="shared" si="146"/>
        <v>318.24184272438208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141.69898983927894</v>
      </c>
      <c r="BQ196" s="21">
        <f>EXP(-LN(2)/25)*BQ195+(1-EXP(-LN(2)/25))/(LN(2)/25)*Calculateur!BL196*Calculateur!BN196*VLOOKUP('Données projet'!$B$11,Paramètres!$A$1:$I$89,3,0)*0.475*44/12</f>
        <v>21.862368596969262</v>
      </c>
      <c r="BR196" s="21">
        <f>EXP(-LN(2)/2)*BR195+(1-EXP(-LN(2)/2))/(LN(2)/2)*BL196*BO196*VLOOKUP('Données projet'!$B$11,Paramètres!$A$1:$I$89,3,0)*0.475*44/12</f>
        <v>0.37209214475216174</v>
      </c>
      <c r="BS196" s="22">
        <f t="shared" si="169"/>
        <v>163.93345058100039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7.9580786405131221E-13</v>
      </c>
      <c r="BZ196" s="13">
        <f>BY196*VLOOKUP('Données projet'!$B$12,Paramètres!$A$1:$I$89,3,0)*VLOOKUP('Données projet'!$B$12,Paramètres!$A$1:$I$89,5,0)</f>
        <v>7.572907634312286E-13</v>
      </c>
      <c r="CA196" s="13">
        <f t="shared" si="170"/>
        <v>8.9881135648416407E-12</v>
      </c>
      <c r="CB196" s="20">
        <f t="shared" si="171"/>
        <v>1.6973245871741914E-11</v>
      </c>
      <c r="CC196" s="58">
        <f t="shared" ref="CC196:CC203" si="195">CB196+(BT196+BU196)*44/12</f>
        <v>292.08180173854038</v>
      </c>
      <c r="CD196" s="58">
        <f ca="1">AVERAGE(OFFSET($CC$3,0,0,'Données projet'!$E$12+1,1))-AVERAGE(OFFSET($H$3,0,0,'Données projet'!$E$12+1,1))</f>
        <v>684.45757350513315</v>
      </c>
      <c r="CE196" s="58">
        <f t="shared" si="148"/>
        <v>301.78148341369194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132.97905200301554</v>
      </c>
      <c r="CL196" s="21">
        <f>EXP(-LN(2)/25)*CL195+(1-EXP(-LN(2)/25))/(LN(2)/25)*Calculateur!CG196*Calculateur!CI196*VLOOKUP('Données projet'!$B$12,Paramètres!$A$1:$I$89,3,0)*0.475*44/12</f>
        <v>20.516992067924985</v>
      </c>
      <c r="CM196" s="21">
        <f>EXP(-LN(2)/2)*CM195+(1-EXP(-LN(2)/2))/(LN(2)/2)*CG196*CJ196*VLOOKUP('Données projet'!$B$12,Paramètres!$A$1:$I$89,3,0)*0.475*44/12</f>
        <v>0.34919416661356739</v>
      </c>
      <c r="CN196" s="22">
        <f t="shared" si="172"/>
        <v>153.84523823755407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8" t="e">
        <f t="shared" ref="CX196:CX203" si="196">CW196+(CO196+CP196)*44/12</f>
        <v>#N/A</v>
      </c>
      <c r="CY196" s="58" t="e">
        <f ca="1">AVERAGE(OFFSET($CX$3,0,0,'Données projet'!$E$13+1,1))-AVERAGE(OFFSET($H$3,0,0,'Données projet'!$E$13+1,1))</f>
        <v>#N/A</v>
      </c>
      <c r="CZ196" s="58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8" t="e">
        <f t="shared" ref="DS196:DS203" si="197">DR196+(DJ196+DK196)*44/12</f>
        <v>#N/A</v>
      </c>
      <c r="DT196" s="58" t="e">
        <f ca="1">AVERAGE(OFFSET($DS$3,0,0,'Données projet'!$E$14+1,1))-AVERAGE(OFFSET($H$3,0,0,'Données projet'!$E$14+1,1))</f>
        <v>#N/A</v>
      </c>
      <c r="DU196" s="58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8" t="e">
        <f t="shared" ref="EN196:EN203" si="198">EM196+(EE196+EF196)*44/12</f>
        <v>#N/A</v>
      </c>
      <c r="EO196" s="58" t="e">
        <f ca="1">AVERAGE(OFFSET($EN$3,0,0,'Données projet'!$E$15+1,1))-AVERAGE(OFFSET($H$3,0,0,'Données projet'!$E$15+1,1))</f>
        <v>#N/A</v>
      </c>
      <c r="EP196" s="58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8" t="e">
        <f t="shared" ref="FI196:FI203" si="199">FH196+(EZ196+FA196)*44/12</f>
        <v>#N/A</v>
      </c>
      <c r="FJ196" s="58" t="e">
        <f ca="1">AVERAGE(OFFSET($FI$3,0,0,'Données projet'!$E$16+1,1))-AVERAGE(OFFSET($H$3,0,0,'Données projet'!$E$16+1,1))</f>
        <v>#N/A</v>
      </c>
      <c r="FK196" s="58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8" t="e">
        <f t="shared" ref="GD196:GD203" si="200">GC196+(FU196+FV196)*44/12</f>
        <v>#N/A</v>
      </c>
      <c r="GE196" s="58" t="e">
        <f ca="1">AVERAGE(OFFSET($GD$3,0,0,'Données projet'!$E$17+1,1))-AVERAGE(OFFSET($H$3,0,0,'Données projet'!$E$17+1,1))</f>
        <v>#N/A</v>
      </c>
      <c r="GF196" s="58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69.658673201415468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8" t="e">
        <f t="shared" ref="GY196:GY203" si="201">GX196+(GP196+GQ196)*44/12</f>
        <v>#N/A</v>
      </c>
      <c r="GZ196" s="58" t="e">
        <f ca="1">AVERAGE(OFFSET($GY$3,0,0,'Données projet'!$E$18+1,1))-AVERAGE(OFFSET($H$3,0,0,'Données projet'!$E$18+1,1))</f>
        <v>#N/A</v>
      </c>
      <c r="HA196" s="58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2">
        <f>'Scénario référence'!$B$16*5+'Scénario référence'!$B$17*0+'Scénario référence'!$B$18*5</f>
        <v>2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7.333333333333333</v>
      </c>
      <c r="H197" s="66">
        <f t="shared" si="192"/>
        <v>227.33333333333334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7.9580786405131221E-13</v>
      </c>
      <c r="O197" s="13">
        <f>N197*VLOOKUP('Données projet'!$B$9,Paramètres!$A$1:$I$89,3,0)*VLOOKUP('Données projet'!$B$9,Paramètres!$A$1:$I$89,5,0)</f>
        <v>7.2004695539362725E-13</v>
      </c>
      <c r="P197" s="13">
        <f t="shared" ref="P197:P203" si="203">EXP(-1.0587+0.8836*LN(O197)+0.284)</f>
        <v>8.5963894794935589E-12</v>
      </c>
      <c r="Q197" s="20">
        <f t="shared" si="162"/>
        <v>1.6226126790761848E-11</v>
      </c>
      <c r="R197" s="58">
        <f t="shared" si="191"/>
        <v>292.10351301370406</v>
      </c>
      <c r="S197" s="58">
        <f ca="1">AVERAGE(OFFSET($R$3,0,0,'Données projet'!$E$9+1,1))-AVERAGE(OFFSET($H$3,0,0,'Données projet'!$E$9+1,1))</f>
        <v>654.0179680178212</v>
      </c>
      <c r="T197" s="58">
        <f t="shared" ref="T197:T203" si="204">$T$3</f>
        <v>289.42065570013369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123.959705022001</v>
      </c>
      <c r="AA197" s="21">
        <f>EXP(-LN(2)/25)*AA196+(1-EXP(-LN(2)/25))/(LN(2)/25)*Calculateur!V197*Calculateur!X197*VLOOKUP('Données projet'!$B$9,Paramètres!$A$1:$I$89,3,0)*0.475*44/12</f>
        <v>18.974513488055408</v>
      </c>
      <c r="AB197" s="21">
        <f>EXP(-LN(2)/2)*AB196+(1-EXP(-LN(2)/2))/(LN(2)/2)*V197*Y197*VLOOKUP('Données projet'!$B$9,Paramètres!$A$1:$I$89,3,0)*0.475*44/12</f>
        <v>0.2347740764502925</v>
      </c>
      <c r="AC197" s="22">
        <f t="shared" si="163"/>
        <v>143.1689925865067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8">
        <f t="shared" si="193"/>
        <v>292.10351301369468</v>
      </c>
      <c r="AN197" s="58">
        <f ca="1">AVERAGE(OFFSET($AM$3,0,0,'Données projet'!$E$10+1,1))-AVERAGE(OFFSET($H$3,0,0,'Données projet'!$E$10+1,1))</f>
        <v>447.44638185108147</v>
      </c>
      <c r="AO197" s="58">
        <f t="shared" ref="AO197:AO203" si="205">$AO$3</f>
        <v>384.84260115068605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18.555378709268883</v>
      </c>
      <c r="AV197" s="21">
        <f>EXP(-LN(2)/25)*AV196+(1-EXP(-LN(2)/25))/(LN(2)/25)*Calculateur!AQ197*Calculateur!AS197*VLOOKUP('Données projet'!$B$10,Paramètres!$A$1:$I$89,3,0)*0.475*44/12</f>
        <v>2.4653724232076777</v>
      </c>
      <c r="AW197" s="21">
        <f>EXP(-LN(2)/2)*AW196+(1-EXP(-LN(2)/2))/(LN(2)/2)*AQ197*AT197*VLOOKUP('Données projet'!$B$10,Paramètres!$A$1:$I$89,3,0)*0.475*44/12</f>
        <v>1.5842958943613186E-16</v>
      </c>
      <c r="AX197" s="21">
        <f t="shared" si="166"/>
        <v>21.020751132476562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8.0694917414803056E-13</v>
      </c>
      <c r="BF197" s="13">
        <f t="shared" si="167"/>
        <v>9.5069530861628001E-12</v>
      </c>
      <c r="BG197" s="20">
        <f t="shared" si="168"/>
        <v>1.7963379770041364E-11</v>
      </c>
      <c r="BH197" s="58">
        <f t="shared" si="194"/>
        <v>292.10351301370582</v>
      </c>
      <c r="BI197" s="58">
        <f ca="1">AVERAGE(OFFSET($BH$3,0,0,'Données projet'!$E$11+1,1))-AVERAGE(OFFSET($H$3,0,0,'Données projet'!$E$11+1,1))</f>
        <v>724.99760740673071</v>
      </c>
      <c r="BJ197" s="58">
        <f t="shared" ref="BJ197:BJ203" si="206">$BJ$3</f>
        <v>318.24184272438208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138.92035907638044</v>
      </c>
      <c r="BQ197" s="21">
        <f>EXP(-LN(2)/25)*BQ196+(1-EXP(-LN(2)/25))/(LN(2)/25)*Calculateur!BL197*Calculateur!BN197*VLOOKUP('Données projet'!$B$11,Paramètres!$A$1:$I$89,3,0)*0.475*44/12</f>
        <v>21.264540977993139</v>
      </c>
      <c r="BR197" s="21">
        <f>EXP(-LN(2)/2)*BR196+(1-EXP(-LN(2)/2))/(LN(2)/2)*BL197*BO197*VLOOKUP('Données projet'!$B$11,Paramètres!$A$1:$I$89,3,0)*0.475*44/12</f>
        <v>0.26310887878049999</v>
      </c>
      <c r="BS197" s="22">
        <f t="shared" si="169"/>
        <v>160.44800893315409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7.9580786405131221E-13</v>
      </c>
      <c r="BZ197" s="13">
        <f>BY197*VLOOKUP('Données projet'!$B$12,Paramètres!$A$1:$I$89,3,0)*VLOOKUP('Données projet'!$B$12,Paramètres!$A$1:$I$89,5,0)</f>
        <v>7.572907634312286E-13</v>
      </c>
      <c r="CA197" s="13">
        <f t="shared" si="170"/>
        <v>8.9881135648416407E-12</v>
      </c>
      <c r="CB197" s="20">
        <f t="shared" si="171"/>
        <v>1.6973245871741914E-11</v>
      </c>
      <c r="CC197" s="58">
        <f t="shared" si="195"/>
        <v>292.10351301370486</v>
      </c>
      <c r="CD197" s="58">
        <f ca="1">AVERAGE(OFFSET($CC$3,0,0,'Données projet'!$E$12+1,1))-AVERAGE(OFFSET($H$3,0,0,'Données projet'!$E$12+1,1))</f>
        <v>684.45757350513315</v>
      </c>
      <c r="CE197" s="58">
        <f t="shared" ref="CE197:CE203" si="207">$CE$3</f>
        <v>301.78148341369194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130.37141390244926</v>
      </c>
      <c r="CL197" s="21">
        <f>EXP(-LN(2)/25)*CL196+(1-EXP(-LN(2)/25))/(LN(2)/25)*Calculateur!CG197*Calculateur!CI197*VLOOKUP('Données projet'!$B$12,Paramètres!$A$1:$I$89,3,0)*0.475*44/12</f>
        <v>19.955953840885854</v>
      </c>
      <c r="CM197" s="21">
        <f>EXP(-LN(2)/2)*CM196+(1-EXP(-LN(2)/2))/(LN(2)/2)*CG197*CJ197*VLOOKUP('Données projet'!$B$12,Paramètres!$A$1:$I$89,3,0)*0.475*44/12</f>
        <v>0.24691756316323862</v>
      </c>
      <c r="CN197" s="22">
        <f t="shared" si="172"/>
        <v>150.57428530649835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8" t="e">
        <f t="shared" si="196"/>
        <v>#N/A</v>
      </c>
      <c r="CY197" s="58" t="e">
        <f ca="1">AVERAGE(OFFSET($CX$3,0,0,'Données projet'!$E$13+1,1))-AVERAGE(OFFSET($H$3,0,0,'Données projet'!$E$13+1,1))</f>
        <v>#N/A</v>
      </c>
      <c r="CZ197" s="58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8" t="e">
        <f t="shared" si="197"/>
        <v>#N/A</v>
      </c>
      <c r="DT197" s="58" t="e">
        <f ca="1">AVERAGE(OFFSET($DS$3,0,0,'Données projet'!$E$14+1,1))-AVERAGE(OFFSET($H$3,0,0,'Données projet'!$E$14+1,1))</f>
        <v>#N/A</v>
      </c>
      <c r="DU197" s="58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8" t="e">
        <f t="shared" si="198"/>
        <v>#N/A</v>
      </c>
      <c r="EO197" s="58" t="e">
        <f ca="1">AVERAGE(OFFSET($EN$3,0,0,'Données projet'!$E$15+1,1))-AVERAGE(OFFSET($H$3,0,0,'Données projet'!$E$15+1,1))</f>
        <v>#N/A</v>
      </c>
      <c r="EP197" s="58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8" t="e">
        <f t="shared" si="199"/>
        <v>#N/A</v>
      </c>
      <c r="FJ197" s="58" t="e">
        <f ca="1">AVERAGE(OFFSET($FI$3,0,0,'Données projet'!$E$16+1,1))-AVERAGE(OFFSET($H$3,0,0,'Données projet'!$E$16+1,1))</f>
        <v>#N/A</v>
      </c>
      <c r="FK197" s="58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8" t="e">
        <f t="shared" si="200"/>
        <v>#N/A</v>
      </c>
      <c r="GE197" s="58" t="e">
        <f ca="1">AVERAGE(OFFSET($GD$3,0,0,'Données projet'!$E$17+1,1))-AVERAGE(OFFSET($H$3,0,0,'Données projet'!$E$17+1,1))</f>
        <v>#N/A</v>
      </c>
      <c r="GF197" s="58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69.664594458278515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8" t="e">
        <f t="shared" si="201"/>
        <v>#N/A</v>
      </c>
      <c r="GZ197" s="58" t="e">
        <f ca="1">AVERAGE(OFFSET($GY$3,0,0,'Données projet'!$E$18+1,1))-AVERAGE(OFFSET($H$3,0,0,'Données projet'!$E$18+1,1))</f>
        <v>#N/A</v>
      </c>
      <c r="HA197" s="58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2">
        <f>'Scénario référence'!$B$16*5+'Scénario référence'!$B$17*0+'Scénario référence'!$B$18*5</f>
        <v>2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7.333333333333333</v>
      </c>
      <c r="H198" s="66">
        <f t="shared" si="192"/>
        <v>227.33333333333334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7.9580786405131221E-13</v>
      </c>
      <c r="O198" s="13">
        <f>N198*VLOOKUP('Données projet'!$B$9,Paramètres!$A$1:$I$89,3,0)*VLOOKUP('Données projet'!$B$9,Paramètres!$A$1:$I$89,5,0)</f>
        <v>7.2004695539362725E-13</v>
      </c>
      <c r="P198" s="13">
        <f t="shared" si="203"/>
        <v>8.5963894794935589E-12</v>
      </c>
      <c r="Q198" s="20">
        <f t="shared" si="162"/>
        <v>1.6226126790761848E-11</v>
      </c>
      <c r="R198" s="58">
        <f t="shared" si="191"/>
        <v>292.12484764678362</v>
      </c>
      <c r="S198" s="58">
        <f ca="1">AVERAGE(OFFSET($R$3,0,0,'Données projet'!$E$9+1,1))-AVERAGE(OFFSET($H$3,0,0,'Données projet'!$E$9+1,1))</f>
        <v>654.0179680178212</v>
      </c>
      <c r="T198" s="58">
        <f t="shared" si="204"/>
        <v>289.42065570013369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121.52893081447397</v>
      </c>
      <c r="AA198" s="21">
        <f>EXP(-LN(2)/25)*AA197+(1-EXP(-LN(2)/25))/(LN(2)/25)*Calculateur!V198*Calculateur!X198*VLOOKUP('Données projet'!$B$9,Paramètres!$A$1:$I$89,3,0)*0.475*44/12</f>
        <v>18.455654418898234</v>
      </c>
      <c r="AB198" s="21">
        <f>EXP(-LN(2)/2)*AB197+(1-EXP(-LN(2)/2))/(LN(2)/2)*V198*Y198*VLOOKUP('Données projet'!$B$9,Paramètres!$A$1:$I$89,3,0)*0.475*44/12</f>
        <v>0.16601034150481075</v>
      </c>
      <c r="AC198" s="22">
        <f t="shared" si="163"/>
        <v>140.150595574877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8">
        <f t="shared" si="193"/>
        <v>292.12484764677424</v>
      </c>
      <c r="AN198" s="58">
        <f ca="1">AVERAGE(OFFSET($AM$3,0,0,'Données projet'!$E$10+1,1))-AVERAGE(OFFSET($H$3,0,0,'Données projet'!$E$10+1,1))</f>
        <v>447.44638185108147</v>
      </c>
      <c r="AO198" s="58">
        <f t="shared" si="205"/>
        <v>384.84260115068605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18.191519050443606</v>
      </c>
      <c r="AV198" s="21">
        <f>EXP(-LN(2)/25)*AV197+(1-EXP(-LN(2)/25))/(LN(2)/25)*Calculateur!AQ198*Calculateur!AS198*VLOOKUP('Données projet'!$B$10,Paramètres!$A$1:$I$89,3,0)*0.475*44/12</f>
        <v>2.3979566846467626</v>
      </c>
      <c r="AW198" s="21">
        <f>EXP(-LN(2)/2)*AW197+(1-EXP(-LN(2)/2))/(LN(2)/2)*AQ198*AT198*VLOOKUP('Données projet'!$B$10,Paramètres!$A$1:$I$89,3,0)*0.475*44/12</f>
        <v>1.1202663703088945E-16</v>
      </c>
      <c r="AX198" s="21">
        <f t="shared" si="166"/>
        <v>20.589475735090367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8.0694917414803056E-13</v>
      </c>
      <c r="BF198" s="13">
        <f t="shared" si="167"/>
        <v>9.5069530861628001E-12</v>
      </c>
      <c r="BG198" s="20">
        <f t="shared" si="168"/>
        <v>1.7963379770041364E-11</v>
      </c>
      <c r="BH198" s="58">
        <f t="shared" si="194"/>
        <v>292.12484764678538</v>
      </c>
      <c r="BI198" s="58">
        <f ca="1">AVERAGE(OFFSET($BH$3,0,0,'Données projet'!$E$11+1,1))-AVERAGE(OFFSET($H$3,0,0,'Données projet'!$E$11+1,1))</f>
        <v>724.99760740673071</v>
      </c>
      <c r="BJ198" s="58">
        <f t="shared" si="206"/>
        <v>318.24184272438208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136.19621556794496</v>
      </c>
      <c r="BQ198" s="21">
        <f>EXP(-LN(2)/25)*BQ197+(1-EXP(-LN(2)/25))/(LN(2)/25)*Calculateur!BL198*Calculateur!BN198*VLOOKUP('Données projet'!$B$11,Paramètres!$A$1:$I$89,3,0)*0.475*44/12</f>
        <v>20.683060986696308</v>
      </c>
      <c r="BR198" s="21">
        <f>EXP(-LN(2)/2)*BR197+(1-EXP(-LN(2)/2))/(LN(2)/2)*BL198*BO198*VLOOKUP('Données projet'!$B$11,Paramètres!$A$1:$I$89,3,0)*0.475*44/12</f>
        <v>0.18604607237608087</v>
      </c>
      <c r="BS198" s="22">
        <f t="shared" si="169"/>
        <v>157.06532262701737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7.9580786405131221E-13</v>
      </c>
      <c r="BZ198" s="13">
        <f>BY198*VLOOKUP('Données projet'!$B$12,Paramètres!$A$1:$I$89,3,0)*VLOOKUP('Données projet'!$B$12,Paramètres!$A$1:$I$89,5,0)</f>
        <v>7.572907634312286E-13</v>
      </c>
      <c r="CA198" s="13">
        <f t="shared" si="170"/>
        <v>8.9881135648416407E-12</v>
      </c>
      <c r="CB198" s="20">
        <f t="shared" si="171"/>
        <v>1.6973245871741914E-11</v>
      </c>
      <c r="CC198" s="58">
        <f t="shared" si="195"/>
        <v>292.12484764678442</v>
      </c>
      <c r="CD198" s="58">
        <f ca="1">AVERAGE(OFFSET($CC$3,0,0,'Données projet'!$E$12+1,1))-AVERAGE(OFFSET($H$3,0,0,'Données projet'!$E$12+1,1))</f>
        <v>684.45757350513315</v>
      </c>
      <c r="CE198" s="58">
        <f t="shared" si="207"/>
        <v>301.78148341369194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127.8149099945329</v>
      </c>
      <c r="CL198" s="21">
        <f>EXP(-LN(2)/25)*CL197+(1-EXP(-LN(2)/25))/(LN(2)/25)*Calculateur!CG198*Calculateur!CI198*VLOOKUP('Données projet'!$B$12,Paramètres!$A$1:$I$89,3,0)*0.475*44/12</f>
        <v>19.41025723366883</v>
      </c>
      <c r="CM198" s="21">
        <f>EXP(-LN(2)/2)*CM197+(1-EXP(-LN(2)/2))/(LN(2)/2)*CG198*CJ198*VLOOKUP('Données projet'!$B$12,Paramètres!$A$1:$I$89,3,0)*0.475*44/12</f>
        <v>0.17459708330678372</v>
      </c>
      <c r="CN198" s="22">
        <f t="shared" si="172"/>
        <v>147.39976431150851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8" t="e">
        <f t="shared" si="196"/>
        <v>#N/A</v>
      </c>
      <c r="CY198" s="58" t="e">
        <f ca="1">AVERAGE(OFFSET($CX$3,0,0,'Données projet'!$E$13+1,1))-AVERAGE(OFFSET($H$3,0,0,'Données projet'!$E$13+1,1))</f>
        <v>#N/A</v>
      </c>
      <c r="CZ198" s="58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8" t="e">
        <f t="shared" si="197"/>
        <v>#N/A</v>
      </c>
      <c r="DT198" s="58" t="e">
        <f ca="1">AVERAGE(OFFSET($DS$3,0,0,'Données projet'!$E$14+1,1))-AVERAGE(OFFSET($H$3,0,0,'Données projet'!$E$14+1,1))</f>
        <v>#N/A</v>
      </c>
      <c r="DU198" s="58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8" t="e">
        <f t="shared" si="198"/>
        <v>#N/A</v>
      </c>
      <c r="EO198" s="58" t="e">
        <f ca="1">AVERAGE(OFFSET($EN$3,0,0,'Données projet'!$E$15+1,1))-AVERAGE(OFFSET($H$3,0,0,'Données projet'!$E$15+1,1))</f>
        <v>#N/A</v>
      </c>
      <c r="EP198" s="58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8" t="e">
        <f t="shared" si="199"/>
        <v>#N/A</v>
      </c>
      <c r="FJ198" s="58" t="e">
        <f ca="1">AVERAGE(OFFSET($FI$3,0,0,'Données projet'!$E$16+1,1))-AVERAGE(OFFSET($H$3,0,0,'Données projet'!$E$16+1,1))</f>
        <v>#N/A</v>
      </c>
      <c r="FK198" s="58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8" t="e">
        <f t="shared" si="200"/>
        <v>#N/A</v>
      </c>
      <c r="GE198" s="58" t="e">
        <f ca="1">AVERAGE(OFFSET($GD$3,0,0,'Données projet'!$E$17+1,1))-AVERAGE(OFFSET($H$3,0,0,'Données projet'!$E$17+1,1))</f>
        <v>#N/A</v>
      </c>
      <c r="GF198" s="58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69.670412994572928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8" t="e">
        <f t="shared" si="201"/>
        <v>#N/A</v>
      </c>
      <c r="GZ198" s="58" t="e">
        <f ca="1">AVERAGE(OFFSET($GY$3,0,0,'Données projet'!$E$18+1,1))-AVERAGE(OFFSET($H$3,0,0,'Données projet'!$E$18+1,1))</f>
        <v>#N/A</v>
      </c>
      <c r="HA198" s="58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2">
        <f>'Scénario référence'!$B$16*5+'Scénario référence'!$B$17*0+'Scénario référence'!$B$18*5</f>
        <v>2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7.333333333333333</v>
      </c>
      <c r="H199" s="66">
        <f t="shared" si="192"/>
        <v>227.33333333333334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7.9580786405131221E-13</v>
      </c>
      <c r="O199" s="13">
        <f>N199*VLOOKUP('Données projet'!$B$9,Paramètres!$A$1:$I$89,3,0)*VLOOKUP('Données projet'!$B$9,Paramètres!$A$1:$I$89,5,0)</f>
        <v>7.2004695539362725E-13</v>
      </c>
      <c r="P199" s="13">
        <f t="shared" si="203"/>
        <v>8.5963894794935589E-12</v>
      </c>
      <c r="Q199" s="20">
        <f t="shared" si="162"/>
        <v>1.6226126790761848E-11</v>
      </c>
      <c r="R199" s="58">
        <f t="shared" si="191"/>
        <v>292.14581217167631</v>
      </c>
      <c r="S199" s="58">
        <f ca="1">AVERAGE(OFFSET($R$3,0,0,'Données projet'!$E$9+1,1))-AVERAGE(OFFSET($H$3,0,0,'Données projet'!$E$9+1,1))</f>
        <v>654.0179680178212</v>
      </c>
      <c r="T199" s="58">
        <f t="shared" si="204"/>
        <v>289.42065570013369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119.14582260653066</v>
      </c>
      <c r="AA199" s="21">
        <f>EXP(-LN(2)/25)*AA198+(1-EXP(-LN(2)/25))/(LN(2)/25)*Calculateur!V199*Calculateur!X199*VLOOKUP('Données projet'!$B$9,Paramètres!$A$1:$I$89,3,0)*0.475*44/12</f>
        <v>17.950983578272776</v>
      </c>
      <c r="AB199" s="21">
        <f>EXP(-LN(2)/2)*AB198+(1-EXP(-LN(2)/2))/(LN(2)/2)*V199*Y199*VLOOKUP('Données projet'!$B$9,Paramètres!$A$1:$I$89,3,0)*0.475*44/12</f>
        <v>0.11738703822514625</v>
      </c>
      <c r="AC199" s="22">
        <f t="shared" si="163"/>
        <v>137.21419322302856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8">
        <f t="shared" si="193"/>
        <v>292.14581217166693</v>
      </c>
      <c r="AN199" s="58">
        <f ca="1">AVERAGE(OFFSET($AM$3,0,0,'Données projet'!$E$10+1,1))-AVERAGE(OFFSET($H$3,0,0,'Données projet'!$E$10+1,1))</f>
        <v>447.44638185108147</v>
      </c>
      <c r="AO199" s="58">
        <f t="shared" si="205"/>
        <v>384.84260115068605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17.834794457595414</v>
      </c>
      <c r="AV199" s="21">
        <f>EXP(-LN(2)/25)*AV198+(1-EXP(-LN(2)/25))/(LN(2)/25)*Calculateur!AQ199*Calculateur!AS199*VLOOKUP('Données projet'!$B$10,Paramètres!$A$1:$I$89,3,0)*0.475*44/12</f>
        <v>2.3323844330020354</v>
      </c>
      <c r="AW199" s="21">
        <f>EXP(-LN(2)/2)*AW198+(1-EXP(-LN(2)/2))/(LN(2)/2)*AQ199*AT199*VLOOKUP('Données projet'!$B$10,Paramètres!$A$1:$I$89,3,0)*0.475*44/12</f>
        <v>7.9214794718065928E-17</v>
      </c>
      <c r="AX199" s="21">
        <f t="shared" si="166"/>
        <v>20.167178890597448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8.0694917414803056E-13</v>
      </c>
      <c r="BF199" s="13">
        <f t="shared" si="167"/>
        <v>9.5069530861628001E-12</v>
      </c>
      <c r="BG199" s="20">
        <f t="shared" si="168"/>
        <v>1.7963379770041364E-11</v>
      </c>
      <c r="BH199" s="58">
        <f t="shared" si="194"/>
        <v>292.14581217167807</v>
      </c>
      <c r="BI199" s="58">
        <f ca="1">AVERAGE(OFFSET($BH$3,0,0,'Données projet'!$E$11+1,1))-AVERAGE(OFFSET($H$3,0,0,'Données projet'!$E$11+1,1))</f>
        <v>724.99760740673071</v>
      </c>
      <c r="BJ199" s="58">
        <f t="shared" si="206"/>
        <v>318.24184272438208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133.52549085214642</v>
      </c>
      <c r="BQ199" s="21">
        <f>EXP(-LN(2)/25)*BQ198+(1-EXP(-LN(2)/25))/(LN(2)/25)*Calculateur!BL199*Calculateur!BN199*VLOOKUP('Données projet'!$B$11,Paramètres!$A$1:$I$89,3,0)*0.475*44/12</f>
        <v>20.117481596340191</v>
      </c>
      <c r="BR199" s="21">
        <f>EXP(-LN(2)/2)*BR198+(1-EXP(-LN(2)/2))/(LN(2)/2)*BL199*BO199*VLOOKUP('Données projet'!$B$11,Paramètres!$A$1:$I$89,3,0)*0.475*44/12</f>
        <v>0.13155443939024999</v>
      </c>
      <c r="BS199" s="22">
        <f t="shared" si="169"/>
        <v>153.77452688787685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7.9580786405131221E-13</v>
      </c>
      <c r="BZ199" s="13">
        <f>BY199*VLOOKUP('Données projet'!$B$12,Paramètres!$A$1:$I$89,3,0)*VLOOKUP('Données projet'!$B$12,Paramètres!$A$1:$I$89,5,0)</f>
        <v>7.572907634312286E-13</v>
      </c>
      <c r="CA199" s="13">
        <f t="shared" si="170"/>
        <v>8.9881135648416407E-12</v>
      </c>
      <c r="CB199" s="20">
        <f t="shared" si="171"/>
        <v>1.6973245871741914E-11</v>
      </c>
      <c r="CC199" s="58">
        <f t="shared" si="195"/>
        <v>292.14581217167711</v>
      </c>
      <c r="CD199" s="58">
        <f ca="1">AVERAGE(OFFSET($CC$3,0,0,'Données projet'!$E$12+1,1))-AVERAGE(OFFSET($H$3,0,0,'Données projet'!$E$12+1,1))</f>
        <v>684.45757350513315</v>
      </c>
      <c r="CE199" s="58">
        <f t="shared" si="207"/>
        <v>301.78148341369194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125.30853756893735</v>
      </c>
      <c r="CL199" s="21">
        <f>EXP(-LN(2)/25)*CL198+(1-EXP(-LN(2)/25))/(LN(2)/25)*Calculateur!CG199*Calculateur!CI199*VLOOKUP('Données projet'!$B$12,Paramètres!$A$1:$I$89,3,0)*0.475*44/12</f>
        <v>18.879482728873089</v>
      </c>
      <c r="CM199" s="21">
        <f>EXP(-LN(2)/2)*CM198+(1-EXP(-LN(2)/2))/(LN(2)/2)*CG199*CJ199*VLOOKUP('Données projet'!$B$12,Paramètres!$A$1:$I$89,3,0)*0.475*44/12</f>
        <v>0.12345878158161934</v>
      </c>
      <c r="CN199" s="22">
        <f t="shared" si="172"/>
        <v>144.31147907939209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8" t="e">
        <f t="shared" si="196"/>
        <v>#N/A</v>
      </c>
      <c r="CY199" s="58" t="e">
        <f ca="1">AVERAGE(OFFSET($CX$3,0,0,'Données projet'!$E$13+1,1))-AVERAGE(OFFSET($H$3,0,0,'Données projet'!$E$13+1,1))</f>
        <v>#N/A</v>
      </c>
      <c r="CZ199" s="58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8" t="e">
        <f t="shared" si="197"/>
        <v>#N/A</v>
      </c>
      <c r="DT199" s="58" t="e">
        <f ca="1">AVERAGE(OFFSET($DS$3,0,0,'Données projet'!$E$14+1,1))-AVERAGE(OFFSET($H$3,0,0,'Données projet'!$E$14+1,1))</f>
        <v>#N/A</v>
      </c>
      <c r="DU199" s="58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8" t="e">
        <f t="shared" si="198"/>
        <v>#N/A</v>
      </c>
      <c r="EO199" s="58" t="e">
        <f ca="1">AVERAGE(OFFSET($EN$3,0,0,'Données projet'!$E$15+1,1))-AVERAGE(OFFSET($H$3,0,0,'Données projet'!$E$15+1,1))</f>
        <v>#N/A</v>
      </c>
      <c r="EP199" s="58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8" t="e">
        <f t="shared" si="199"/>
        <v>#N/A</v>
      </c>
      <c r="FJ199" s="58" t="e">
        <f ca="1">AVERAGE(OFFSET($FI$3,0,0,'Données projet'!$E$16+1,1))-AVERAGE(OFFSET($H$3,0,0,'Données projet'!$E$16+1,1))</f>
        <v>#N/A</v>
      </c>
      <c r="FK199" s="58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8" t="e">
        <f t="shared" si="200"/>
        <v>#N/A</v>
      </c>
      <c r="GE199" s="58" t="e">
        <f ca="1">AVERAGE(OFFSET($GD$3,0,0,'Données projet'!$E$17+1,1))-AVERAGE(OFFSET($H$3,0,0,'Données projet'!$E$17+1,1))</f>
        <v>#N/A</v>
      </c>
      <c r="GF199" s="58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69.676130592270937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8" t="e">
        <f t="shared" si="201"/>
        <v>#N/A</v>
      </c>
      <c r="GZ199" s="58" t="e">
        <f ca="1">AVERAGE(OFFSET($GY$3,0,0,'Données projet'!$E$18+1,1))-AVERAGE(OFFSET($H$3,0,0,'Données projet'!$E$18+1,1))</f>
        <v>#N/A</v>
      </c>
      <c r="HA199" s="58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2">
        <f>'Scénario référence'!$B$16*5+'Scénario référence'!$B$17*0+'Scénario référence'!$B$18*5</f>
        <v>2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7.333333333333333</v>
      </c>
      <c r="H200" s="66">
        <f t="shared" si="192"/>
        <v>227.33333333333334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7.9580786405131221E-13</v>
      </c>
      <c r="O200" s="13">
        <f>N200*VLOOKUP('Données projet'!$B$9,Paramètres!$A$1:$I$89,3,0)*VLOOKUP('Données projet'!$B$9,Paramètres!$A$1:$I$89,5,0)</f>
        <v>7.2004695539362725E-13</v>
      </c>
      <c r="P200" s="13">
        <f t="shared" si="203"/>
        <v>8.5963894794935589E-12</v>
      </c>
      <c r="Q200" s="20">
        <f t="shared" si="162"/>
        <v>1.6226126790761848E-11</v>
      </c>
      <c r="R200" s="58">
        <f t="shared" si="191"/>
        <v>292.16641300893173</v>
      </c>
      <c r="S200" s="58">
        <f ca="1">AVERAGE(OFFSET($R$3,0,0,'Données projet'!$E$9+1,1))-AVERAGE(OFFSET($H$3,0,0,'Données projet'!$E$9+1,1))</f>
        <v>654.0179680178212</v>
      </c>
      <c r="T200" s="58">
        <f t="shared" si="204"/>
        <v>289.42065570013369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116.80944569699264</v>
      </c>
      <c r="AA200" s="21">
        <f>EXP(-LN(2)/25)*AA199+(1-EXP(-LN(2)/25))/(LN(2)/25)*Calculateur!V200*Calculateur!X200*VLOOKUP('Données projet'!$B$9,Paramètres!$A$1:$I$89,3,0)*0.475*44/12</f>
        <v>17.460112988323708</v>
      </c>
      <c r="AB200" s="21">
        <f>EXP(-LN(2)/2)*AB199+(1-EXP(-LN(2)/2))/(LN(2)/2)*V200*Y200*VLOOKUP('Données projet'!$B$9,Paramètres!$A$1:$I$89,3,0)*0.475*44/12</f>
        <v>8.3005170752405377E-2</v>
      </c>
      <c r="AC200" s="22">
        <f t="shared" si="163"/>
        <v>134.35256385606877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8">
        <f t="shared" si="193"/>
        <v>292.16641300892235</v>
      </c>
      <c r="AN200" s="58">
        <f ca="1">AVERAGE(OFFSET($AM$3,0,0,'Données projet'!$E$10+1,1))-AVERAGE(OFFSET($H$3,0,0,'Données projet'!$E$10+1,1))</f>
        <v>447.44638185108147</v>
      </c>
      <c r="AO200" s="58">
        <f t="shared" si="205"/>
        <v>384.84260115068605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17.485065016432458</v>
      </c>
      <c r="AV200" s="21">
        <f>EXP(-LN(2)/25)*AV199+(1-EXP(-LN(2)/25))/(LN(2)/25)*Calculateur!AQ200*Calculateur!AS200*VLOOKUP('Données projet'!$B$10,Paramètres!$A$1:$I$89,3,0)*0.475*44/12</f>
        <v>2.2686052580268279</v>
      </c>
      <c r="AW200" s="21">
        <f>EXP(-LN(2)/2)*AW199+(1-EXP(-LN(2)/2))/(LN(2)/2)*AQ200*AT200*VLOOKUP('Données projet'!$B$10,Paramètres!$A$1:$I$89,3,0)*0.475*44/12</f>
        <v>5.6013318515444724E-17</v>
      </c>
      <c r="AX200" s="21">
        <f t="shared" si="166"/>
        <v>19.753670274459285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8.0694917414803056E-13</v>
      </c>
      <c r="BF200" s="13">
        <f t="shared" si="167"/>
        <v>9.5069530861628001E-12</v>
      </c>
      <c r="BG200" s="20">
        <f t="shared" si="168"/>
        <v>1.7963379770041364E-11</v>
      </c>
      <c r="BH200" s="58">
        <f t="shared" si="194"/>
        <v>292.16641300893349</v>
      </c>
      <c r="BI200" s="58">
        <f ca="1">AVERAGE(OFFSET($BH$3,0,0,'Données projet'!$E$11+1,1))-AVERAGE(OFFSET($H$3,0,0,'Données projet'!$E$11+1,1))</f>
        <v>724.99760740673071</v>
      </c>
      <c r="BJ200" s="58">
        <f t="shared" si="206"/>
        <v>318.24184272438208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130.90713741904347</v>
      </c>
      <c r="BQ200" s="21">
        <f>EXP(-LN(2)/25)*BQ199+(1-EXP(-LN(2)/25))/(LN(2)/25)*Calculateur!BL200*Calculateur!BN200*VLOOKUP('Données projet'!$B$11,Paramètres!$A$1:$I$89,3,0)*0.475*44/12</f>
        <v>19.567368004155892</v>
      </c>
      <c r="BR200" s="21">
        <f>EXP(-LN(2)/2)*BR199+(1-EXP(-LN(2)/2))/(LN(2)/2)*BL200*BO200*VLOOKUP('Données projet'!$B$11,Paramètres!$A$1:$I$89,3,0)*0.475*44/12</f>
        <v>9.3023036188040434E-2</v>
      </c>
      <c r="BS200" s="22">
        <f t="shared" si="169"/>
        <v>150.5675284593874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7.9580786405131221E-13</v>
      </c>
      <c r="BZ200" s="13">
        <f>BY200*VLOOKUP('Données projet'!$B$12,Paramètres!$A$1:$I$89,3,0)*VLOOKUP('Données projet'!$B$12,Paramètres!$A$1:$I$89,5,0)</f>
        <v>7.572907634312286E-13</v>
      </c>
      <c r="CA200" s="13">
        <f t="shared" si="170"/>
        <v>8.9881135648416407E-12</v>
      </c>
      <c r="CB200" s="20">
        <f t="shared" si="171"/>
        <v>1.6973245871741914E-11</v>
      </c>
      <c r="CC200" s="58">
        <f t="shared" si="195"/>
        <v>292.16641300893252</v>
      </c>
      <c r="CD200" s="58">
        <f ca="1">AVERAGE(OFFSET($CC$3,0,0,'Données projet'!$E$12+1,1))-AVERAGE(OFFSET($H$3,0,0,'Données projet'!$E$12+1,1))</f>
        <v>684.45757350513315</v>
      </c>
      <c r="CE200" s="58">
        <f t="shared" si="207"/>
        <v>301.78148341369194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122.85131357787151</v>
      </c>
      <c r="CL200" s="21">
        <f>EXP(-LN(2)/25)*CL199+(1-EXP(-LN(2)/25))/(LN(2)/25)*Calculateur!CG200*Calculateur!CI200*VLOOKUP('Données projet'!$B$12,Paramètres!$A$1:$I$89,3,0)*0.475*44/12</f>
        <v>18.363222280823209</v>
      </c>
      <c r="CM200" s="21">
        <f>EXP(-LN(2)/2)*CM199+(1-EXP(-LN(2)/2))/(LN(2)/2)*CG200*CJ200*VLOOKUP('Données projet'!$B$12,Paramètres!$A$1:$I$89,3,0)*0.475*44/12</f>
        <v>8.7298541653391876E-2</v>
      </c>
      <c r="CN200" s="22">
        <f t="shared" si="172"/>
        <v>141.3018344003481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8" t="e">
        <f t="shared" si="196"/>
        <v>#N/A</v>
      </c>
      <c r="CY200" s="58" t="e">
        <f ca="1">AVERAGE(OFFSET($CX$3,0,0,'Données projet'!$E$13+1,1))-AVERAGE(OFFSET($H$3,0,0,'Données projet'!$E$13+1,1))</f>
        <v>#N/A</v>
      </c>
      <c r="CZ200" s="58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8" t="e">
        <f t="shared" si="197"/>
        <v>#N/A</v>
      </c>
      <c r="DT200" s="58" t="e">
        <f ca="1">AVERAGE(OFFSET($DS$3,0,0,'Données projet'!$E$14+1,1))-AVERAGE(OFFSET($H$3,0,0,'Données projet'!$E$14+1,1))</f>
        <v>#N/A</v>
      </c>
      <c r="DU200" s="58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8" t="e">
        <f t="shared" si="198"/>
        <v>#N/A</v>
      </c>
      <c r="EO200" s="58" t="e">
        <f ca="1">AVERAGE(OFFSET($EN$3,0,0,'Données projet'!$E$15+1,1))-AVERAGE(OFFSET($H$3,0,0,'Données projet'!$E$15+1,1))</f>
        <v>#N/A</v>
      </c>
      <c r="EP200" s="58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8" t="e">
        <f t="shared" si="199"/>
        <v>#N/A</v>
      </c>
      <c r="FJ200" s="58" t="e">
        <f ca="1">AVERAGE(OFFSET($FI$3,0,0,'Données projet'!$E$16+1,1))-AVERAGE(OFFSET($H$3,0,0,'Données projet'!$E$16+1,1))</f>
        <v>#N/A</v>
      </c>
      <c r="FK200" s="58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8" t="e">
        <f t="shared" si="200"/>
        <v>#N/A</v>
      </c>
      <c r="GE200" s="58" t="e">
        <f ca="1">AVERAGE(OFFSET($GD$3,0,0,'Données projet'!$E$17+1,1))-AVERAGE(OFFSET($H$3,0,0,'Données projet'!$E$17+1,1))</f>
        <v>#N/A</v>
      </c>
      <c r="GF200" s="58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69.681749002431502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8" t="e">
        <f t="shared" si="201"/>
        <v>#N/A</v>
      </c>
      <c r="GZ200" s="58" t="e">
        <f ca="1">AVERAGE(OFFSET($GY$3,0,0,'Données projet'!$E$18+1,1))-AVERAGE(OFFSET($H$3,0,0,'Données projet'!$E$18+1,1))</f>
        <v>#N/A</v>
      </c>
      <c r="HA200" s="58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2">
        <f>'Scénario référence'!$B$16*5+'Scénario référence'!$B$17*0+'Scénario référence'!$B$18*5</f>
        <v>2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7.333333333333333</v>
      </c>
      <c r="H201" s="66">
        <f t="shared" si="192"/>
        <v>227.33333333333334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7.9580786405131221E-13</v>
      </c>
      <c r="O201" s="13">
        <f>N201*VLOOKUP('Données projet'!$B$9,Paramètres!$A$1:$I$89,3,0)*VLOOKUP('Données projet'!$B$9,Paramètres!$A$1:$I$89,5,0)</f>
        <v>7.2004695539362725E-13</v>
      </c>
      <c r="P201" s="13">
        <f t="shared" si="203"/>
        <v>8.5963894794935589E-12</v>
      </c>
      <c r="Q201" s="20">
        <f t="shared" si="162"/>
        <v>1.6226126790761848E-11</v>
      </c>
      <c r="R201" s="58">
        <f t="shared" si="191"/>
        <v>292.1866564677174</v>
      </c>
      <c r="S201" s="58">
        <f ca="1">AVERAGE(OFFSET($R$3,0,0,'Données projet'!$E$9+1,1))-AVERAGE(OFFSET($H$3,0,0,'Données projet'!$E$9+1,1))</f>
        <v>654.0179680178212</v>
      </c>
      <c r="T201" s="58">
        <f t="shared" si="204"/>
        <v>289.42065570013369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114.51888371360145</v>
      </c>
      <c r="AA201" s="21">
        <f>EXP(-LN(2)/25)*AA200+(1-EXP(-LN(2)/25))/(LN(2)/25)*Calculateur!V201*Calculateur!X201*VLOOKUP('Données projet'!$B$9,Paramètres!$A$1:$I$89,3,0)*0.475*44/12</f>
        <v>16.98266528047056</v>
      </c>
      <c r="AB201" s="21">
        <f>EXP(-LN(2)/2)*AB200+(1-EXP(-LN(2)/2))/(LN(2)/2)*V201*Y201*VLOOKUP('Données projet'!$B$9,Paramètres!$A$1:$I$89,3,0)*0.475*44/12</f>
        <v>5.8693519112573124E-2</v>
      </c>
      <c r="AC201" s="22">
        <f t="shared" si="163"/>
        <v>131.56024251318459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8">
        <f t="shared" si="193"/>
        <v>292.18665646770802</v>
      </c>
      <c r="AN201" s="58">
        <f ca="1">AVERAGE(OFFSET($AM$3,0,0,'Données projet'!$E$10+1,1))-AVERAGE(OFFSET($H$3,0,0,'Données projet'!$E$10+1,1))</f>
        <v>447.44638185108147</v>
      </c>
      <c r="AO201" s="58">
        <f t="shared" si="205"/>
        <v>384.84260115068605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17.142193556296814</v>
      </c>
      <c r="AV201" s="21">
        <f>EXP(-LN(2)/25)*AV200+(1-EXP(-LN(2)/25))/(LN(2)/25)*Calculateur!AQ201*Calculateur!AS201*VLOOKUP('Données projet'!$B$10,Paramètres!$A$1:$I$89,3,0)*0.475*44/12</f>
        <v>2.2065701279453189</v>
      </c>
      <c r="AW201" s="21">
        <f>EXP(-LN(2)/2)*AW200+(1-EXP(-LN(2)/2))/(LN(2)/2)*AQ201*AT201*VLOOKUP('Données projet'!$B$10,Paramètres!$A$1:$I$89,3,0)*0.475*44/12</f>
        <v>3.9607397359032964E-17</v>
      </c>
      <c r="AX201" s="21">
        <f t="shared" si="166"/>
        <v>19.348763684242133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8.0694917414803056E-13</v>
      </c>
      <c r="BF201" s="13">
        <f t="shared" si="167"/>
        <v>9.5069530861628001E-12</v>
      </c>
      <c r="BG201" s="20">
        <f t="shared" si="168"/>
        <v>1.7963379770041364E-11</v>
      </c>
      <c r="BH201" s="58">
        <f t="shared" si="194"/>
        <v>292.18665646771916</v>
      </c>
      <c r="BI201" s="58">
        <f ca="1">AVERAGE(OFFSET($BH$3,0,0,'Données projet'!$E$11+1,1))-AVERAGE(OFFSET($H$3,0,0,'Données projet'!$E$11+1,1))</f>
        <v>724.99760740673071</v>
      </c>
      <c r="BJ201" s="58">
        <f t="shared" si="206"/>
        <v>318.24184272438208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128.34012829972576</v>
      </c>
      <c r="BQ201" s="21">
        <f>EXP(-LN(2)/25)*BQ200+(1-EXP(-LN(2)/25))/(LN(2)/25)*Calculateur!BL201*Calculateur!BN201*VLOOKUP('Données projet'!$B$11,Paramètres!$A$1:$I$89,3,0)*0.475*44/12</f>
        <v>19.032297297079086</v>
      </c>
      <c r="BR201" s="21">
        <f>EXP(-LN(2)/2)*BR200+(1-EXP(-LN(2)/2))/(LN(2)/2)*BL201*BO201*VLOOKUP('Données projet'!$B$11,Paramètres!$A$1:$I$89,3,0)*0.475*44/12</f>
        <v>6.5777219695124997E-2</v>
      </c>
      <c r="BS201" s="22">
        <f t="shared" si="169"/>
        <v>147.43820281649997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7.9580786405131221E-13</v>
      </c>
      <c r="BZ201" s="13">
        <f>BY201*VLOOKUP('Données projet'!$B$12,Paramètres!$A$1:$I$89,3,0)*VLOOKUP('Données projet'!$B$12,Paramètres!$A$1:$I$89,5,0)</f>
        <v>7.572907634312286E-13</v>
      </c>
      <c r="CA201" s="13">
        <f t="shared" si="170"/>
        <v>8.9881135648416407E-12</v>
      </c>
      <c r="CB201" s="20">
        <f t="shared" si="171"/>
        <v>1.6973245871741914E-11</v>
      </c>
      <c r="CC201" s="58">
        <f t="shared" si="195"/>
        <v>292.18665646771819</v>
      </c>
      <c r="CD201" s="58">
        <f ca="1">AVERAGE(OFFSET($CC$3,0,0,'Données projet'!$E$12+1,1))-AVERAGE(OFFSET($H$3,0,0,'Données projet'!$E$12+1,1))</f>
        <v>684.45757350513315</v>
      </c>
      <c r="CE201" s="58">
        <f t="shared" si="207"/>
        <v>301.78148341369194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120.44227425051182</v>
      </c>
      <c r="CL201" s="21">
        <f>EXP(-LN(2)/25)*CL200+(1-EXP(-LN(2)/25))/(LN(2)/25)*Calculateur!CG201*Calculateur!CI201*VLOOKUP('Données projet'!$B$12,Paramètres!$A$1:$I$89,3,0)*0.475*44/12</f>
        <v>17.861079001874209</v>
      </c>
      <c r="CM201" s="21">
        <f>EXP(-LN(2)/2)*CM200+(1-EXP(-LN(2)/2))/(LN(2)/2)*CG201*CJ201*VLOOKUP('Données projet'!$B$12,Paramètres!$A$1:$I$89,3,0)*0.475*44/12</f>
        <v>6.1729390790809677E-2</v>
      </c>
      <c r="CN201" s="22">
        <f t="shared" si="172"/>
        <v>138.36508264317683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8" t="e">
        <f t="shared" si="196"/>
        <v>#N/A</v>
      </c>
      <c r="CY201" s="58" t="e">
        <f ca="1">AVERAGE(OFFSET($CX$3,0,0,'Données projet'!$E$13+1,1))-AVERAGE(OFFSET($H$3,0,0,'Données projet'!$E$13+1,1))</f>
        <v>#N/A</v>
      </c>
      <c r="CZ201" s="58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8" t="e">
        <f t="shared" si="197"/>
        <v>#N/A</v>
      </c>
      <c r="DT201" s="58" t="e">
        <f ca="1">AVERAGE(OFFSET($DS$3,0,0,'Données projet'!$E$14+1,1))-AVERAGE(OFFSET($H$3,0,0,'Données projet'!$E$14+1,1))</f>
        <v>#N/A</v>
      </c>
      <c r="DU201" s="58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8" t="e">
        <f t="shared" si="198"/>
        <v>#N/A</v>
      </c>
      <c r="EO201" s="58" t="e">
        <f ca="1">AVERAGE(OFFSET($EN$3,0,0,'Données projet'!$E$15+1,1))-AVERAGE(OFFSET($H$3,0,0,'Données projet'!$E$15+1,1))</f>
        <v>#N/A</v>
      </c>
      <c r="EP201" s="58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8" t="e">
        <f t="shared" si="199"/>
        <v>#N/A</v>
      </c>
      <c r="FJ201" s="58" t="e">
        <f ca="1">AVERAGE(OFFSET($FI$3,0,0,'Données projet'!$E$16+1,1))-AVERAGE(OFFSET($H$3,0,0,'Données projet'!$E$16+1,1))</f>
        <v>#N/A</v>
      </c>
      <c r="FK201" s="58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8" t="e">
        <f t="shared" si="200"/>
        <v>#N/A</v>
      </c>
      <c r="GE201" s="58" t="e">
        <f ca="1">AVERAGE(OFFSET($GD$3,0,0,'Données projet'!$E$17+1,1))-AVERAGE(OFFSET($H$3,0,0,'Données projet'!$E$17+1,1))</f>
        <v>#N/A</v>
      </c>
      <c r="GF201" s="58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69.687269945736688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8" t="e">
        <f t="shared" si="201"/>
        <v>#N/A</v>
      </c>
      <c r="GZ201" s="58" t="e">
        <f ca="1">AVERAGE(OFFSET($GY$3,0,0,'Données projet'!$E$18+1,1))-AVERAGE(OFFSET($H$3,0,0,'Données projet'!$E$18+1,1))</f>
        <v>#N/A</v>
      </c>
      <c r="HA201" s="58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2">
        <f>'Scénario référence'!$B$16*5+'Scénario référence'!$B$17*0+'Scénario référence'!$B$18*5</f>
        <v>2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7.333333333333333</v>
      </c>
      <c r="H202" s="66">
        <f t="shared" si="192"/>
        <v>227.33333333333334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7.9580786405131221E-13</v>
      </c>
      <c r="O202" s="13">
        <f>N202*VLOOKUP('Données projet'!$B$9,Paramètres!$A$1:$I$89,3,0)*VLOOKUP('Données projet'!$B$9,Paramètres!$A$1:$I$89,5,0)</f>
        <v>7.2004695539362725E-13</v>
      </c>
      <c r="P202" s="13">
        <f t="shared" si="203"/>
        <v>8.5963894794935589E-12</v>
      </c>
      <c r="Q202" s="20">
        <f t="shared" si="162"/>
        <v>1.6226126790761848E-11</v>
      </c>
      <c r="R202" s="58">
        <f t="shared" si="191"/>
        <v>292.20654874775062</v>
      </c>
      <c r="S202" s="58">
        <f ca="1">AVERAGE(OFFSET($R$3,0,0,'Données projet'!$E$9+1,1))-AVERAGE(OFFSET($H$3,0,0,'Données projet'!$E$9+1,1))</f>
        <v>654.0179680178212</v>
      </c>
      <c r="T202" s="58">
        <f t="shared" si="204"/>
        <v>289.42065570013369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112.27323825359971</v>
      </c>
      <c r="AA202" s="21">
        <f>EXP(-LN(2)/25)*AA201+(1-EXP(-LN(2)/25))/(LN(2)/25)*Calculateur!V202*Calculateur!X202*VLOOKUP('Données projet'!$B$9,Paramètres!$A$1:$I$89,3,0)*0.475*44/12</f>
        <v>16.51827340529654</v>
      </c>
      <c r="AB202" s="21">
        <f>EXP(-LN(2)/2)*AB201+(1-EXP(-LN(2)/2))/(LN(2)/2)*V202*Y202*VLOOKUP('Données projet'!$B$9,Paramètres!$A$1:$I$89,3,0)*0.475*44/12</f>
        <v>4.1502585376202689E-2</v>
      </c>
      <c r="AC202" s="22">
        <f t="shared" si="163"/>
        <v>128.83301424427245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8">
        <f t="shared" si="193"/>
        <v>292.20654874774124</v>
      </c>
      <c r="AN202" s="58">
        <f ca="1">AVERAGE(OFFSET($AM$3,0,0,'Données projet'!$E$10+1,1))-AVERAGE(OFFSET($H$3,0,0,'Données projet'!$E$10+1,1))</f>
        <v>447.44638185108147</v>
      </c>
      <c r="AO202" s="58">
        <f t="shared" si="205"/>
        <v>384.84260115068605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16.806045596363486</v>
      </c>
      <c r="AV202" s="21">
        <f>EXP(-LN(2)/25)*AV201+(1-EXP(-LN(2)/25))/(LN(2)/25)*Calculateur!AQ202*Calculateur!AS202*VLOOKUP('Données projet'!$B$10,Paramètres!$A$1:$I$89,3,0)*0.475*44/12</f>
        <v>2.1462313517581744</v>
      </c>
      <c r="AW202" s="21">
        <f>EXP(-LN(2)/2)*AW201+(1-EXP(-LN(2)/2))/(LN(2)/2)*AQ202*AT202*VLOOKUP('Données projet'!$B$10,Paramètres!$A$1:$I$89,3,0)*0.475*44/12</f>
        <v>2.8006659257722362E-17</v>
      </c>
      <c r="AX202" s="21">
        <f t="shared" si="166"/>
        <v>18.952276948121661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8.0694917414803056E-13</v>
      </c>
      <c r="BF202" s="13">
        <f t="shared" si="167"/>
        <v>9.5069530861628001E-12</v>
      </c>
      <c r="BG202" s="20">
        <f t="shared" si="168"/>
        <v>1.7963379770041364E-11</v>
      </c>
      <c r="BH202" s="58">
        <f t="shared" si="194"/>
        <v>292.20654874775238</v>
      </c>
      <c r="BI202" s="58">
        <f ca="1">AVERAGE(OFFSET($BH$3,0,0,'Données projet'!$E$11+1,1))-AVERAGE(OFFSET($H$3,0,0,'Données projet'!$E$11+1,1))</f>
        <v>724.99760740673071</v>
      </c>
      <c r="BJ202" s="58">
        <f t="shared" si="206"/>
        <v>318.24184272438208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125.82345666351692</v>
      </c>
      <c r="BQ202" s="21">
        <f>EXP(-LN(2)/25)*BQ201+(1-EXP(-LN(2)/25))/(LN(2)/25)*Calculateur!BL202*Calculateur!BN202*VLOOKUP('Données projet'!$B$11,Paramètres!$A$1:$I$89,3,0)*0.475*44/12</f>
        <v>18.511858126625444</v>
      </c>
      <c r="BR202" s="21">
        <f>EXP(-LN(2)/2)*BR201+(1-EXP(-LN(2)/2))/(LN(2)/2)*BL202*BO202*VLOOKUP('Données projet'!$B$11,Paramètres!$A$1:$I$89,3,0)*0.475*44/12</f>
        <v>4.6511518094020217E-2</v>
      </c>
      <c r="BS202" s="22">
        <f t="shared" si="169"/>
        <v>144.38182630823638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7.9580786405131221E-13</v>
      </c>
      <c r="BZ202" s="13">
        <f>BY202*VLOOKUP('Données projet'!$B$12,Paramètres!$A$1:$I$89,3,0)*VLOOKUP('Données projet'!$B$12,Paramètres!$A$1:$I$89,5,0)</f>
        <v>7.572907634312286E-13</v>
      </c>
      <c r="CA202" s="13">
        <f t="shared" si="170"/>
        <v>8.9881135648416407E-12</v>
      </c>
      <c r="CB202" s="20">
        <f t="shared" si="171"/>
        <v>1.6973245871741914E-11</v>
      </c>
      <c r="CC202" s="58">
        <f t="shared" si="195"/>
        <v>292.20654874775141</v>
      </c>
      <c r="CD202" s="58">
        <f ca="1">AVERAGE(OFFSET($CC$3,0,0,'Données projet'!$E$12+1,1))-AVERAGE(OFFSET($H$3,0,0,'Données projet'!$E$12+1,1))</f>
        <v>684.45757350513315</v>
      </c>
      <c r="CE202" s="58">
        <f t="shared" si="207"/>
        <v>301.78148341369194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118.08047471499275</v>
      </c>
      <c r="CL202" s="21">
        <f>EXP(-LN(2)/25)*CL201+(1-EXP(-LN(2)/25))/(LN(2)/25)*Calculateur!CG202*Calculateur!CI202*VLOOKUP('Données projet'!$B$12,Paramètres!$A$1:$I$89,3,0)*0.475*44/12</f>
        <v>17.372666857294636</v>
      </c>
      <c r="CM202" s="21">
        <f>EXP(-LN(2)/2)*CM201+(1-EXP(-LN(2)/2))/(LN(2)/2)*CG202*CJ202*VLOOKUP('Données projet'!$B$12,Paramètres!$A$1:$I$89,3,0)*0.475*44/12</f>
        <v>4.3649270826695945E-2</v>
      </c>
      <c r="CN202" s="22">
        <f t="shared" si="172"/>
        <v>135.4967908431141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8" t="e">
        <f t="shared" si="196"/>
        <v>#N/A</v>
      </c>
      <c r="CY202" s="58" t="e">
        <f ca="1">AVERAGE(OFFSET($CX$3,0,0,'Données projet'!$E$13+1,1))-AVERAGE(OFFSET($H$3,0,0,'Données projet'!$E$13+1,1))</f>
        <v>#N/A</v>
      </c>
      <c r="CZ202" s="58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8" t="e">
        <f t="shared" si="197"/>
        <v>#N/A</v>
      </c>
      <c r="DT202" s="58" t="e">
        <f ca="1">AVERAGE(OFFSET($DS$3,0,0,'Données projet'!$E$14+1,1))-AVERAGE(OFFSET($H$3,0,0,'Données projet'!$E$14+1,1))</f>
        <v>#N/A</v>
      </c>
      <c r="DU202" s="58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8" t="e">
        <f t="shared" si="198"/>
        <v>#N/A</v>
      </c>
      <c r="EO202" s="58" t="e">
        <f ca="1">AVERAGE(OFFSET($EN$3,0,0,'Données projet'!$E$15+1,1))-AVERAGE(OFFSET($H$3,0,0,'Données projet'!$E$15+1,1))</f>
        <v>#N/A</v>
      </c>
      <c r="EP202" s="58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8" t="e">
        <f t="shared" si="199"/>
        <v>#N/A</v>
      </c>
      <c r="FJ202" s="58" t="e">
        <f ca="1">AVERAGE(OFFSET($FI$3,0,0,'Données projet'!$E$16+1,1))-AVERAGE(OFFSET($H$3,0,0,'Données projet'!$E$16+1,1))</f>
        <v>#N/A</v>
      </c>
      <c r="FK202" s="58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8" t="e">
        <f t="shared" si="200"/>
        <v>#N/A</v>
      </c>
      <c r="GE202" s="58" t="e">
        <f ca="1">AVERAGE(OFFSET($GD$3,0,0,'Données projet'!$E$17+1,1))-AVERAGE(OFFSET($H$3,0,0,'Données projet'!$E$17+1,1))</f>
        <v>#N/A</v>
      </c>
      <c r="GF202" s="58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69.692695113018488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8" t="e">
        <f t="shared" si="201"/>
        <v>#N/A</v>
      </c>
      <c r="GZ202" s="58" t="e">
        <f ca="1">AVERAGE(OFFSET($GY$3,0,0,'Données projet'!$E$18+1,1))-AVERAGE(OFFSET($H$3,0,0,'Données projet'!$E$18+1,1))</f>
        <v>#N/A</v>
      </c>
      <c r="HA202" s="58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2">
        <f>'Scénario référence'!$B$16*5+'Scénario référence'!$B$17*0+'Scénario référence'!$B$18*5</f>
        <v>2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7.333333333333333</v>
      </c>
      <c r="H203" s="66">
        <f t="shared" si="192"/>
        <v>227.33333333333334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7.9580786405131221E-13</v>
      </c>
      <c r="O203" s="13">
        <f>N203*VLOOKUP('Données projet'!$B$9,Paramètres!$A$1:$I$89,3,0)*VLOOKUP('Données projet'!$B$9,Paramètres!$A$1:$I$89,5,0)</f>
        <v>7.2004695539362725E-13</v>
      </c>
      <c r="P203" s="13">
        <f t="shared" si="203"/>
        <v>8.5963894794935589E-12</v>
      </c>
      <c r="Q203" s="20">
        <f t="shared" si="162"/>
        <v>1.6226126790761848E-11</v>
      </c>
      <c r="R203" s="58">
        <f t="shared" si="191"/>
        <v>292.22609594119785</v>
      </c>
      <c r="S203" s="58">
        <f ca="1">AVERAGE(OFFSET($R$3,0,0,'Données projet'!$E$9+1,1))-AVERAGE(OFFSET($H$3,0,0,'Données projet'!$E$9+1,1))</f>
        <v>654.0179680178212</v>
      </c>
      <c r="T203" s="58">
        <f t="shared" si="204"/>
        <v>289.42065570013369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110.07162853136013</v>
      </c>
      <c r="AA203" s="21">
        <f>EXP(-LN(2)/25)*AA202+(1-EXP(-LN(2)/25))/(LN(2)/25)*Calculateur!V203*Calculateur!X203*VLOOKUP('Données projet'!$B$9,Paramètres!$A$1:$I$89,3,0)*0.475*44/12</f>
        <v>16.066580350370462</v>
      </c>
      <c r="AB203" s="21">
        <f>EXP(-LN(2)/2)*AB202+(1-EXP(-LN(2)/2))/(LN(2)/2)*V203*Y203*VLOOKUP('Données projet'!$B$9,Paramètres!$A$1:$I$89,3,0)*0.475*44/12</f>
        <v>2.9346759556286562E-2</v>
      </c>
      <c r="AC203" s="22">
        <f t="shared" si="163"/>
        <v>126.16755564128688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8">
        <f t="shared" si="193"/>
        <v>292.22609594118848</v>
      </c>
      <c r="AN203" s="58">
        <f ca="1">AVERAGE(OFFSET($AM$3,0,0,'Données projet'!$E$10+1,1))-AVERAGE(OFFSET($H$3,0,0,'Données projet'!$E$10+1,1))</f>
        <v>447.44638185108147</v>
      </c>
      <c r="AO203" s="58">
        <f t="shared" si="205"/>
        <v>384.84260115068605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16.476489292894442</v>
      </c>
      <c r="AV203" s="21">
        <f>EXP(-LN(2)/25)*AV202+(1-EXP(-LN(2)/25))/(LN(2)/25)*Calculateur!AQ203*Calculateur!AS203*VLOOKUP('Données projet'!$B$10,Paramètres!$A$1:$I$89,3,0)*0.475*44/12</f>
        <v>2.0875425425789458</v>
      </c>
      <c r="AW203" s="21">
        <f>EXP(-LN(2)/2)*AW202+(1-EXP(-LN(2)/2))/(LN(2)/2)*AQ203*AT203*VLOOKUP('Données projet'!$B$10,Paramètres!$A$1:$I$89,3,0)*0.475*44/12</f>
        <v>1.9803698679516482E-17</v>
      </c>
      <c r="AX203" s="21">
        <f t="shared" si="166"/>
        <v>18.564031835473386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8.0694917414803056E-13</v>
      </c>
      <c r="BF203" s="13">
        <f t="shared" si="167"/>
        <v>9.5069530861628001E-12</v>
      </c>
      <c r="BG203" s="20">
        <f t="shared" si="168"/>
        <v>1.7963379770041364E-11</v>
      </c>
      <c r="BH203" s="58">
        <f t="shared" si="194"/>
        <v>292.22609594119962</v>
      </c>
      <c r="BI203" s="58">
        <f ca="1">AVERAGE(OFFSET($BH$3,0,0,'Données projet'!$E$11+1,1))-AVERAGE(OFFSET($H$3,0,0,'Données projet'!$E$11+1,1))</f>
        <v>724.99760740673071</v>
      </c>
      <c r="BJ203" s="58">
        <f t="shared" si="206"/>
        <v>318.24184272438208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123.35613542307601</v>
      </c>
      <c r="BQ203" s="21">
        <f>EXP(-LN(2)/25)*BQ202+(1-EXP(-LN(2)/25))/(LN(2)/25)*Calculateur!BL203*Calculateur!BN203*VLOOKUP('Données projet'!$B$11,Paramètres!$A$1:$I$89,3,0)*0.475*44/12</f>
        <v>18.005650392656563</v>
      </c>
      <c r="BR203" s="21">
        <f>EXP(-LN(2)/2)*BR202+(1-EXP(-LN(2)/2))/(LN(2)/2)*BL203*BO203*VLOOKUP('Données projet'!$B$11,Paramètres!$A$1:$I$89,3,0)*0.475*44/12</f>
        <v>3.2888609847562499E-2</v>
      </c>
      <c r="BS203" s="22">
        <f t="shared" si="169"/>
        <v>141.39467442558012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7.9580786405131221E-13</v>
      </c>
      <c r="BZ203" s="13">
        <f>BY203*VLOOKUP('Données projet'!$B$12,Paramètres!$A$1:$I$89,3,0)*VLOOKUP('Données projet'!$B$12,Paramètres!$A$1:$I$89,5,0)</f>
        <v>7.572907634312286E-13</v>
      </c>
      <c r="CA203" s="13">
        <f t="shared" si="170"/>
        <v>8.9881135648416407E-12</v>
      </c>
      <c r="CB203" s="20">
        <f t="shared" si="171"/>
        <v>1.6973245871741914E-11</v>
      </c>
      <c r="CC203" s="58">
        <f t="shared" si="195"/>
        <v>292.22609594119865</v>
      </c>
      <c r="CD203" s="58">
        <f ca="1">AVERAGE(OFFSET($CC$3,0,0,'Données projet'!$E$12+1,1))-AVERAGE(OFFSET($H$3,0,0,'Données projet'!$E$12+1,1))</f>
        <v>684.45757350513315</v>
      </c>
      <c r="CE203" s="58">
        <f t="shared" si="207"/>
        <v>301.78148341369194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115.76498862780973</v>
      </c>
      <c r="CL203" s="21">
        <f>EXP(-LN(2)/25)*CL202+(1-EXP(-LN(2)/25))/(LN(2)/25)*Calculateur!CG203*Calculateur!CI203*VLOOKUP('Données projet'!$B$12,Paramètres!$A$1:$I$89,3,0)*0.475*44/12</f>
        <v>16.897610368493069</v>
      </c>
      <c r="CM203" s="21">
        <f>EXP(-LN(2)/2)*CM202+(1-EXP(-LN(2)/2))/(LN(2)/2)*CG203*CJ203*VLOOKUP('Données projet'!$B$12,Paramètres!$A$1:$I$89,3,0)*0.475*44/12</f>
        <v>3.0864695395404845E-2</v>
      </c>
      <c r="CN203" s="22">
        <f t="shared" si="172"/>
        <v>132.69346369169818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8" t="e">
        <f t="shared" si="196"/>
        <v>#N/A</v>
      </c>
      <c r="CY203" s="58" t="e">
        <f ca="1">AVERAGE(OFFSET($CX$3,0,0,'Données projet'!$E$13+1,1))-AVERAGE(OFFSET($H$3,0,0,'Données projet'!$E$13+1,1))</f>
        <v>#N/A</v>
      </c>
      <c r="CZ203" s="58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8" t="e">
        <f t="shared" si="197"/>
        <v>#N/A</v>
      </c>
      <c r="DT203" s="58" t="e">
        <f ca="1">AVERAGE(OFFSET($DS$3,0,0,'Données projet'!$E$14+1,1))-AVERAGE(OFFSET($H$3,0,0,'Données projet'!$E$14+1,1))</f>
        <v>#N/A</v>
      </c>
      <c r="DU203" s="58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8" t="e">
        <f t="shared" si="198"/>
        <v>#N/A</v>
      </c>
      <c r="EO203" s="58" t="e">
        <f ca="1">AVERAGE(OFFSET($EN$3,0,0,'Données projet'!$E$15+1,1))-AVERAGE(OFFSET($H$3,0,0,'Données projet'!$E$15+1,1))</f>
        <v>#N/A</v>
      </c>
      <c r="EP203" s="58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8" t="e">
        <f t="shared" si="199"/>
        <v>#N/A</v>
      </c>
      <c r="FJ203" s="58" t="e">
        <f ca="1">AVERAGE(OFFSET($FI$3,0,0,'Données projet'!$E$16+1,1))-AVERAGE(OFFSET($H$3,0,0,'Données projet'!$E$16+1,1))</f>
        <v>#N/A</v>
      </c>
      <c r="FK203" s="58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8" t="e">
        <f t="shared" si="200"/>
        <v>#N/A</v>
      </c>
      <c r="GE203" s="58" t="e">
        <f ca="1">AVERAGE(OFFSET($GD$3,0,0,'Données projet'!$E$17+1,1))-AVERAGE(OFFSET($H$3,0,0,'Données projet'!$E$17+1,1))</f>
        <v>#N/A</v>
      </c>
      <c r="GF203" s="58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69.69802616577681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8" t="e">
        <f t="shared" si="201"/>
        <v>#N/A</v>
      </c>
      <c r="GZ203" s="58" t="e">
        <f ca="1">AVERAGE(OFFSET($GY$3,0,0,'Données projet'!$E$18+1,1))-AVERAGE(OFFSET($H$3,0,0,'Données projet'!$E$18+1,1))</f>
        <v>#N/A</v>
      </c>
      <c r="HA203" s="58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1.1303799945549604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1.2910399817270899</v>
      </c>
      <c r="BA205" s="81">
        <f>EXP(LN('Données projet'!B88)/'Données projet'!A88)</f>
        <v>1.1303799945549604</v>
      </c>
      <c r="BV205" s="81">
        <f>EXP(LN('Données projet'!B114)/'Données projet'!A114)</f>
        <v>1.1303799945549604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535156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53515625" style="4" bestFit="1" customWidth="1"/>
    <col min="7" max="7" width="11.4609375" style="4" bestFit="1" customWidth="1"/>
    <col min="8" max="8" width="39" style="4" bestFit="1" customWidth="1"/>
    <col min="9" max="9" width="16.535156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0" t="s">
        <v>0</v>
      </c>
      <c r="B1" s="111" t="s">
        <v>106</v>
      </c>
      <c r="C1" s="112" t="s">
        <v>144</v>
      </c>
      <c r="D1" s="111" t="s">
        <v>100</v>
      </c>
      <c r="E1" s="112" t="s">
        <v>145</v>
      </c>
      <c r="F1" s="112" t="s">
        <v>100</v>
      </c>
      <c r="G1" s="112" t="s">
        <v>146</v>
      </c>
      <c r="H1" s="112" t="s">
        <v>100</v>
      </c>
      <c r="I1" s="113" t="s">
        <v>147</v>
      </c>
      <c r="J1" s="77"/>
      <c r="K1" s="77"/>
      <c r="L1" s="77"/>
      <c r="M1" s="77"/>
      <c r="N1" s="77"/>
    </row>
    <row r="2" spans="1:16" x14ac:dyDescent="0.4">
      <c r="A2" s="114" t="s">
        <v>1</v>
      </c>
      <c r="B2" s="115" t="s">
        <v>53</v>
      </c>
      <c r="C2" s="116">
        <v>0.62</v>
      </c>
      <c r="D2" s="116" t="s">
        <v>161</v>
      </c>
      <c r="E2" s="116">
        <v>1.56</v>
      </c>
      <c r="F2" s="116" t="s">
        <v>274</v>
      </c>
      <c r="G2" s="117">
        <v>0.43</v>
      </c>
      <c r="H2" s="118" t="s">
        <v>278</v>
      </c>
      <c r="I2" s="119">
        <v>0.25</v>
      </c>
      <c r="J2" s="77"/>
      <c r="K2" s="77"/>
      <c r="L2" s="77"/>
      <c r="M2" s="77"/>
      <c r="N2" s="77"/>
      <c r="O2" s="281" t="s">
        <v>238</v>
      </c>
      <c r="P2" s="120">
        <v>0</v>
      </c>
    </row>
    <row r="3" spans="1:16" ht="15" thickBot="1" x14ac:dyDescent="0.45">
      <c r="A3" s="121" t="s">
        <v>2</v>
      </c>
      <c r="B3" s="122" t="s">
        <v>54</v>
      </c>
      <c r="C3" s="123">
        <v>0.64</v>
      </c>
      <c r="D3" s="123" t="s">
        <v>161</v>
      </c>
      <c r="E3" s="123">
        <v>1.56</v>
      </c>
      <c r="F3" s="124" t="s">
        <v>274</v>
      </c>
      <c r="G3" s="125">
        <v>0.43</v>
      </c>
      <c r="H3" s="123" t="s">
        <v>278</v>
      </c>
      <c r="I3" s="126">
        <v>0.25</v>
      </c>
      <c r="J3" s="77"/>
      <c r="K3" s="77"/>
      <c r="L3" s="77"/>
      <c r="M3" s="77"/>
      <c r="N3" s="77"/>
      <c r="O3" s="282"/>
      <c r="P3" s="127">
        <v>0.2</v>
      </c>
    </row>
    <row r="4" spans="1:16" ht="15" thickBot="1" x14ac:dyDescent="0.45">
      <c r="A4" s="121" t="s">
        <v>98</v>
      </c>
      <c r="B4" s="122" t="s">
        <v>99</v>
      </c>
      <c r="C4" s="123">
        <v>0.42</v>
      </c>
      <c r="D4" s="123" t="s">
        <v>161</v>
      </c>
      <c r="E4" s="123">
        <v>1.56</v>
      </c>
      <c r="F4" s="124" t="s">
        <v>274</v>
      </c>
      <c r="G4" s="125">
        <v>0.43</v>
      </c>
      <c r="H4" s="123" t="s">
        <v>278</v>
      </c>
      <c r="I4" s="126">
        <v>0.25</v>
      </c>
      <c r="J4" s="77"/>
      <c r="K4" s="77"/>
      <c r="L4" s="77"/>
      <c r="M4" s="77"/>
      <c r="N4" s="77"/>
    </row>
    <row r="5" spans="1:16" x14ac:dyDescent="0.4">
      <c r="A5" s="121" t="s">
        <v>4</v>
      </c>
      <c r="B5" s="122" t="s">
        <v>55</v>
      </c>
      <c r="C5" s="123">
        <v>0.42</v>
      </c>
      <c r="D5" s="123" t="s">
        <v>161</v>
      </c>
      <c r="E5" s="123">
        <v>1.56</v>
      </c>
      <c r="F5" s="124" t="s">
        <v>274</v>
      </c>
      <c r="G5" s="125">
        <v>0.43</v>
      </c>
      <c r="H5" s="123" t="s">
        <v>278</v>
      </c>
      <c r="I5" s="126">
        <v>0.25</v>
      </c>
      <c r="J5" s="77"/>
      <c r="K5" s="77"/>
      <c r="L5" s="77"/>
      <c r="M5" s="77"/>
      <c r="N5" s="77"/>
      <c r="O5" s="281" t="s">
        <v>237</v>
      </c>
      <c r="P5" s="120">
        <v>0</v>
      </c>
    </row>
    <row r="6" spans="1:16" x14ac:dyDescent="0.4">
      <c r="A6" s="121" t="s">
        <v>3</v>
      </c>
      <c r="B6" s="122" t="s">
        <v>97</v>
      </c>
      <c r="C6" s="123">
        <v>0.42</v>
      </c>
      <c r="D6" s="123" t="s">
        <v>161</v>
      </c>
      <c r="E6" s="123">
        <v>1.56</v>
      </c>
      <c r="F6" s="124" t="s">
        <v>274</v>
      </c>
      <c r="G6" s="125">
        <v>0.43</v>
      </c>
      <c r="H6" s="123" t="s">
        <v>278</v>
      </c>
      <c r="I6" s="126">
        <v>0.25</v>
      </c>
      <c r="J6" s="77"/>
      <c r="K6" s="77"/>
      <c r="L6" s="77"/>
      <c r="M6" s="77"/>
      <c r="N6" s="77"/>
      <c r="O6" s="283"/>
      <c r="P6" s="128">
        <v>0.05</v>
      </c>
    </row>
    <row r="7" spans="1:16" x14ac:dyDescent="0.4">
      <c r="A7" s="121" t="s">
        <v>5</v>
      </c>
      <c r="B7" s="122" t="s">
        <v>56</v>
      </c>
      <c r="C7" s="123">
        <v>0.52</v>
      </c>
      <c r="D7" s="123" t="s">
        <v>161</v>
      </c>
      <c r="E7" s="123">
        <v>1.56</v>
      </c>
      <c r="F7" s="124" t="s">
        <v>274</v>
      </c>
      <c r="G7" s="125">
        <v>0.43</v>
      </c>
      <c r="H7" s="123" t="s">
        <v>278</v>
      </c>
      <c r="I7" s="126">
        <v>0.25</v>
      </c>
      <c r="J7" s="77"/>
      <c r="K7" s="77"/>
      <c r="L7" s="77"/>
      <c r="M7" s="77"/>
      <c r="N7" s="77"/>
      <c r="O7" s="283"/>
      <c r="P7" s="128">
        <v>0.1</v>
      </c>
    </row>
    <row r="8" spans="1:16" ht="15" thickBot="1" x14ac:dyDescent="0.45">
      <c r="A8" s="121" t="s">
        <v>164</v>
      </c>
      <c r="B8" s="122" t="s">
        <v>57</v>
      </c>
      <c r="C8" s="123">
        <v>0.36</v>
      </c>
      <c r="D8" s="123" t="s">
        <v>161</v>
      </c>
      <c r="E8" s="123">
        <v>1.3</v>
      </c>
      <c r="F8" s="124" t="s">
        <v>274</v>
      </c>
      <c r="G8" s="125">
        <v>0.55000000000000004</v>
      </c>
      <c r="H8" s="123" t="s">
        <v>153</v>
      </c>
      <c r="I8" s="126">
        <v>0.43</v>
      </c>
      <c r="J8" s="77"/>
      <c r="K8" s="77"/>
      <c r="L8" s="77"/>
      <c r="M8" s="77"/>
      <c r="N8" s="77"/>
      <c r="O8" s="282"/>
      <c r="P8" s="127">
        <v>0.15</v>
      </c>
    </row>
    <row r="9" spans="1:16" ht="15" thickBot="1" x14ac:dyDescent="0.45">
      <c r="A9" s="121" t="s">
        <v>6</v>
      </c>
      <c r="B9" s="122" t="s">
        <v>58</v>
      </c>
      <c r="C9" s="123">
        <v>0.61</v>
      </c>
      <c r="D9" s="123" t="s">
        <v>161</v>
      </c>
      <c r="E9" s="123">
        <v>1.56</v>
      </c>
      <c r="F9" s="124" t="s">
        <v>274</v>
      </c>
      <c r="G9" s="125">
        <v>0.43</v>
      </c>
      <c r="H9" s="123" t="s">
        <v>278</v>
      </c>
      <c r="I9" s="126">
        <v>0.25</v>
      </c>
      <c r="J9" s="77"/>
      <c r="K9" s="77"/>
      <c r="L9" s="77"/>
      <c r="M9" s="77"/>
      <c r="N9" s="77"/>
    </row>
    <row r="10" spans="1:16" x14ac:dyDescent="0.4">
      <c r="A10" s="121" t="s">
        <v>7</v>
      </c>
      <c r="B10" s="122" t="s">
        <v>59</v>
      </c>
      <c r="C10" s="123">
        <v>0.66</v>
      </c>
      <c r="D10" s="123" t="s">
        <v>161</v>
      </c>
      <c r="E10" s="123">
        <v>1.56</v>
      </c>
      <c r="F10" s="124" t="s">
        <v>274</v>
      </c>
      <c r="G10" s="125">
        <v>0.43</v>
      </c>
      <c r="H10" s="123" t="s">
        <v>278</v>
      </c>
      <c r="I10" s="126">
        <v>0.25</v>
      </c>
      <c r="J10" s="77"/>
      <c r="K10" s="77"/>
      <c r="L10" s="77"/>
      <c r="M10" s="77"/>
      <c r="N10" s="77"/>
      <c r="O10" s="281" t="s">
        <v>236</v>
      </c>
      <c r="P10" s="120">
        <v>0</v>
      </c>
    </row>
    <row r="11" spans="1:16" ht="15" thickBot="1" x14ac:dyDescent="0.45">
      <c r="A11" s="121" t="s">
        <v>8</v>
      </c>
      <c r="B11" s="122" t="s">
        <v>60</v>
      </c>
      <c r="C11" s="123">
        <v>0.47</v>
      </c>
      <c r="D11" s="123" t="s">
        <v>161</v>
      </c>
      <c r="E11" s="123">
        <v>1.56</v>
      </c>
      <c r="F11" s="124" t="s">
        <v>274</v>
      </c>
      <c r="G11" s="125">
        <v>0.43</v>
      </c>
      <c r="H11" s="123" t="s">
        <v>278</v>
      </c>
      <c r="I11" s="126">
        <v>0.25</v>
      </c>
      <c r="J11" s="77"/>
      <c r="K11" s="77"/>
      <c r="L11" s="77"/>
      <c r="M11" s="77"/>
      <c r="N11" s="77"/>
      <c r="O11" s="282"/>
      <c r="P11" s="127">
        <v>0.1</v>
      </c>
    </row>
    <row r="12" spans="1:16" x14ac:dyDescent="0.4">
      <c r="A12" s="121" t="s">
        <v>9</v>
      </c>
      <c r="B12" s="122" t="s">
        <v>61</v>
      </c>
      <c r="C12" s="123">
        <v>0.67</v>
      </c>
      <c r="D12" s="123" t="s">
        <v>161</v>
      </c>
      <c r="E12" s="123">
        <v>1.56</v>
      </c>
      <c r="F12" s="124" t="s">
        <v>274</v>
      </c>
      <c r="G12" s="125">
        <v>0.43</v>
      </c>
      <c r="H12" s="123" t="s">
        <v>152</v>
      </c>
      <c r="I12" s="126">
        <v>0.25</v>
      </c>
      <c r="J12" s="77"/>
      <c r="K12" s="77"/>
      <c r="L12" s="77"/>
      <c r="M12" s="77"/>
      <c r="N12" s="77"/>
    </row>
    <row r="13" spans="1:16" x14ac:dyDescent="0.4">
      <c r="A13" s="121" t="s">
        <v>10</v>
      </c>
      <c r="B13" s="122" t="s">
        <v>62</v>
      </c>
      <c r="C13" s="123">
        <v>0.7</v>
      </c>
      <c r="D13" s="123" t="s">
        <v>161</v>
      </c>
      <c r="E13" s="123">
        <v>1.56</v>
      </c>
      <c r="F13" s="124" t="s">
        <v>274</v>
      </c>
      <c r="G13" s="125">
        <v>0.43</v>
      </c>
      <c r="H13" s="123" t="s">
        <v>152</v>
      </c>
      <c r="I13" s="126">
        <v>0.25</v>
      </c>
      <c r="J13" s="77"/>
      <c r="K13" s="77"/>
      <c r="L13" s="77"/>
      <c r="M13" s="77"/>
      <c r="N13" s="77"/>
    </row>
    <row r="14" spans="1:16" x14ac:dyDescent="0.4">
      <c r="A14" s="121" t="s">
        <v>11</v>
      </c>
      <c r="B14" s="122" t="s">
        <v>63</v>
      </c>
      <c r="C14" s="123">
        <v>0.54</v>
      </c>
      <c r="D14" s="123" t="s">
        <v>161</v>
      </c>
      <c r="E14" s="123">
        <v>1.56</v>
      </c>
      <c r="F14" s="124" t="s">
        <v>274</v>
      </c>
      <c r="G14" s="125">
        <v>0.43</v>
      </c>
      <c r="H14" s="123" t="s">
        <v>152</v>
      </c>
      <c r="I14" s="126">
        <v>0.25</v>
      </c>
      <c r="J14" s="77"/>
      <c r="K14" s="77"/>
      <c r="L14" s="77"/>
      <c r="M14" s="77"/>
      <c r="N14" s="77"/>
    </row>
    <row r="15" spans="1:16" x14ac:dyDescent="0.4">
      <c r="A15" s="121" t="s">
        <v>12</v>
      </c>
      <c r="B15" s="122" t="s">
        <v>64</v>
      </c>
      <c r="C15" s="123">
        <v>0.65</v>
      </c>
      <c r="D15" s="123" t="s">
        <v>161</v>
      </c>
      <c r="E15" s="123">
        <v>1.56</v>
      </c>
      <c r="F15" s="124" t="s">
        <v>274</v>
      </c>
      <c r="G15" s="125">
        <v>0.43</v>
      </c>
      <c r="H15" s="123" t="s">
        <v>152</v>
      </c>
      <c r="I15" s="126">
        <v>0.25</v>
      </c>
      <c r="J15" s="77"/>
      <c r="K15" s="77"/>
      <c r="L15" s="77"/>
      <c r="M15" s="77"/>
      <c r="N15" s="77"/>
    </row>
    <row r="16" spans="1:16" x14ac:dyDescent="0.4">
      <c r="A16" s="121" t="s">
        <v>13</v>
      </c>
      <c r="B16" s="122" t="s">
        <v>65</v>
      </c>
      <c r="C16" s="123">
        <v>0.56000000000000005</v>
      </c>
      <c r="D16" s="123" t="s">
        <v>161</v>
      </c>
      <c r="E16" s="123">
        <v>1.56</v>
      </c>
      <c r="F16" s="124" t="s">
        <v>274</v>
      </c>
      <c r="G16" s="125">
        <v>0.43</v>
      </c>
      <c r="H16" s="123" t="s">
        <v>152</v>
      </c>
      <c r="I16" s="126">
        <v>0.25</v>
      </c>
      <c r="J16" s="77"/>
      <c r="K16" s="77"/>
      <c r="L16" s="77"/>
      <c r="M16" s="77"/>
      <c r="N16" s="77"/>
    </row>
    <row r="17" spans="1:14" x14ac:dyDescent="0.4">
      <c r="A17" s="121" t="s">
        <v>14</v>
      </c>
      <c r="B17" s="122" t="s">
        <v>66</v>
      </c>
      <c r="C17" s="123">
        <v>0.57999999999999996</v>
      </c>
      <c r="D17" s="123" t="s">
        <v>161</v>
      </c>
      <c r="E17" s="123">
        <v>1.56</v>
      </c>
      <c r="F17" s="124" t="s">
        <v>274</v>
      </c>
      <c r="G17" s="125">
        <v>0.43</v>
      </c>
      <c r="H17" s="123" t="s">
        <v>152</v>
      </c>
      <c r="I17" s="126">
        <v>0.25</v>
      </c>
      <c r="J17" s="77"/>
      <c r="K17" s="77"/>
      <c r="L17" s="77"/>
      <c r="M17" s="77"/>
      <c r="N17" s="77"/>
    </row>
    <row r="18" spans="1:14" x14ac:dyDescent="0.4">
      <c r="A18" s="121" t="s">
        <v>15</v>
      </c>
      <c r="B18" s="122" t="s">
        <v>67</v>
      </c>
      <c r="C18" s="123">
        <v>0.64</v>
      </c>
      <c r="D18" s="123" t="s">
        <v>161</v>
      </c>
      <c r="E18" s="123">
        <v>1.56</v>
      </c>
      <c r="F18" s="124" t="s">
        <v>274</v>
      </c>
      <c r="G18" s="125">
        <v>0.43</v>
      </c>
      <c r="H18" s="123" t="s">
        <v>152</v>
      </c>
      <c r="I18" s="126">
        <v>0.25</v>
      </c>
      <c r="J18" s="77"/>
      <c r="K18" s="77"/>
      <c r="L18" s="77"/>
      <c r="M18" s="77"/>
      <c r="N18" s="77"/>
    </row>
    <row r="19" spans="1:14" x14ac:dyDescent="0.4">
      <c r="A19" s="121" t="s">
        <v>16</v>
      </c>
      <c r="B19" s="122" t="s">
        <v>68</v>
      </c>
      <c r="C19" s="123">
        <v>0.73</v>
      </c>
      <c r="D19" s="123" t="s">
        <v>161</v>
      </c>
      <c r="E19" s="123">
        <v>1.56</v>
      </c>
      <c r="F19" s="124" t="s">
        <v>274</v>
      </c>
      <c r="G19" s="125">
        <v>0.43</v>
      </c>
      <c r="H19" s="123" t="s">
        <v>152</v>
      </c>
      <c r="I19" s="126">
        <v>0.25</v>
      </c>
      <c r="J19" s="77"/>
      <c r="K19" s="77"/>
      <c r="L19" s="77"/>
      <c r="M19" s="77"/>
      <c r="N19" s="77"/>
    </row>
    <row r="20" spans="1:14" x14ac:dyDescent="0.4">
      <c r="A20" s="121" t="s">
        <v>52</v>
      </c>
      <c r="B20" s="122" t="s">
        <v>69</v>
      </c>
      <c r="C20" s="123">
        <v>0.69</v>
      </c>
      <c r="D20" s="123" t="s">
        <v>131</v>
      </c>
      <c r="E20" s="123">
        <v>1.56</v>
      </c>
      <c r="F20" s="124" t="s">
        <v>274</v>
      </c>
      <c r="G20" s="125">
        <v>0.43</v>
      </c>
      <c r="H20" s="123" t="s">
        <v>282</v>
      </c>
      <c r="I20" s="126">
        <v>0.25</v>
      </c>
      <c r="J20" s="77"/>
      <c r="K20" s="77"/>
      <c r="L20" s="77"/>
      <c r="M20" s="77"/>
      <c r="N20" s="77"/>
    </row>
    <row r="21" spans="1:14" x14ac:dyDescent="0.4">
      <c r="A21" s="121" t="s">
        <v>154</v>
      </c>
      <c r="B21" s="122" t="s">
        <v>155</v>
      </c>
      <c r="C21" s="123">
        <v>0.36</v>
      </c>
      <c r="D21" s="123" t="s">
        <v>161</v>
      </c>
      <c r="E21" s="123">
        <v>1.3</v>
      </c>
      <c r="F21" s="124" t="s">
        <v>274</v>
      </c>
      <c r="G21" s="125">
        <v>0.55000000000000004</v>
      </c>
      <c r="H21" s="123" t="s">
        <v>153</v>
      </c>
      <c r="I21" s="126">
        <v>0.43</v>
      </c>
      <c r="J21" s="77"/>
      <c r="K21" s="77"/>
      <c r="L21" s="77"/>
      <c r="M21" s="77"/>
      <c r="N21" s="77"/>
    </row>
    <row r="22" spans="1:14" x14ac:dyDescent="0.4">
      <c r="A22" s="121" t="s">
        <v>17</v>
      </c>
      <c r="B22" s="122" t="s">
        <v>70</v>
      </c>
      <c r="C22" s="123">
        <v>0.4</v>
      </c>
      <c r="D22" s="123" t="s">
        <v>161</v>
      </c>
      <c r="E22" s="123">
        <v>1.3</v>
      </c>
      <c r="F22" s="124" t="s">
        <v>274</v>
      </c>
      <c r="G22" s="125">
        <v>0.55000000000000004</v>
      </c>
      <c r="H22" s="123" t="s">
        <v>153</v>
      </c>
      <c r="I22" s="126">
        <v>0.43</v>
      </c>
      <c r="J22" s="77"/>
      <c r="K22" s="77"/>
      <c r="L22" s="77"/>
      <c r="M22" s="77"/>
      <c r="N22" s="77"/>
    </row>
    <row r="23" spans="1:14" x14ac:dyDescent="0.4">
      <c r="A23" s="121" t="s">
        <v>18</v>
      </c>
      <c r="B23" s="122" t="s">
        <v>71</v>
      </c>
      <c r="C23" s="123">
        <v>0.43</v>
      </c>
      <c r="D23" s="123" t="s">
        <v>161</v>
      </c>
      <c r="E23" s="123">
        <v>1.3</v>
      </c>
      <c r="F23" s="124" t="s">
        <v>274</v>
      </c>
      <c r="G23" s="125">
        <v>0.55000000000000004</v>
      </c>
      <c r="H23" s="123" t="s">
        <v>153</v>
      </c>
      <c r="I23" s="126">
        <v>0.43</v>
      </c>
      <c r="J23" s="77"/>
      <c r="K23" s="77"/>
      <c r="L23" s="77"/>
      <c r="M23" s="77"/>
      <c r="N23" s="77"/>
    </row>
    <row r="24" spans="1:14" x14ac:dyDescent="0.4">
      <c r="A24" s="121" t="s">
        <v>19</v>
      </c>
      <c r="B24" s="122" t="s">
        <v>72</v>
      </c>
      <c r="C24" s="123">
        <v>0.37</v>
      </c>
      <c r="D24" s="123" t="s">
        <v>161</v>
      </c>
      <c r="E24" s="123">
        <v>1.3</v>
      </c>
      <c r="F24" s="124" t="s">
        <v>274</v>
      </c>
      <c r="G24" s="125">
        <v>0.55000000000000004</v>
      </c>
      <c r="H24" s="123" t="s">
        <v>152</v>
      </c>
      <c r="I24" s="126">
        <v>0.43</v>
      </c>
      <c r="J24" s="77"/>
      <c r="K24" s="77"/>
      <c r="L24" s="77"/>
      <c r="M24" s="77"/>
      <c r="N24" s="77"/>
    </row>
    <row r="25" spans="1:14" x14ac:dyDescent="0.4">
      <c r="A25" s="121" t="s">
        <v>20</v>
      </c>
      <c r="B25" s="122" t="s">
        <v>73</v>
      </c>
      <c r="C25" s="123">
        <v>0.36</v>
      </c>
      <c r="D25" s="123" t="s">
        <v>161</v>
      </c>
      <c r="E25" s="123">
        <v>1.3</v>
      </c>
      <c r="F25" s="124" t="s">
        <v>274</v>
      </c>
      <c r="G25" s="125">
        <v>0.55000000000000004</v>
      </c>
      <c r="H25" s="123" t="s">
        <v>152</v>
      </c>
      <c r="I25" s="126">
        <v>0.43</v>
      </c>
      <c r="J25" s="77"/>
      <c r="K25" s="77"/>
      <c r="L25" s="77"/>
      <c r="M25" s="77"/>
      <c r="N25" s="77"/>
    </row>
    <row r="26" spans="1:14" x14ac:dyDescent="0.4">
      <c r="A26" s="121" t="s">
        <v>21</v>
      </c>
      <c r="B26" s="122" t="s">
        <v>74</v>
      </c>
      <c r="C26" s="123">
        <v>0.56000000000000005</v>
      </c>
      <c r="D26" s="123" t="s">
        <v>161</v>
      </c>
      <c r="E26" s="123">
        <v>1.56</v>
      </c>
      <c r="F26" s="124" t="s">
        <v>274</v>
      </c>
      <c r="G26" s="125">
        <v>0.53</v>
      </c>
      <c r="H26" s="123" t="s">
        <v>275</v>
      </c>
      <c r="I26" s="126">
        <v>0.25</v>
      </c>
      <c r="J26" s="77"/>
      <c r="K26" s="77"/>
      <c r="L26" s="77"/>
      <c r="M26" s="77"/>
      <c r="N26" s="77"/>
    </row>
    <row r="27" spans="1:14" x14ac:dyDescent="0.4">
      <c r="A27" s="121" t="s">
        <v>22</v>
      </c>
      <c r="B27" s="122" t="s">
        <v>75</v>
      </c>
      <c r="C27" s="123">
        <v>0.51</v>
      </c>
      <c r="D27" s="123" t="s">
        <v>161</v>
      </c>
      <c r="E27" s="123">
        <v>1.56</v>
      </c>
      <c r="F27" s="124" t="s">
        <v>274</v>
      </c>
      <c r="G27" s="125">
        <v>0.53</v>
      </c>
      <c r="H27" s="123" t="s">
        <v>275</v>
      </c>
      <c r="I27" s="126">
        <v>0.25</v>
      </c>
      <c r="J27" s="77"/>
      <c r="K27" s="77"/>
      <c r="L27" s="77"/>
      <c r="M27" s="77"/>
      <c r="N27" s="77"/>
    </row>
    <row r="28" spans="1:14" x14ac:dyDescent="0.4">
      <c r="A28" s="121" t="s">
        <v>23</v>
      </c>
      <c r="B28" s="122" t="s">
        <v>76</v>
      </c>
      <c r="C28" s="123">
        <v>0.51</v>
      </c>
      <c r="D28" s="123" t="s">
        <v>161</v>
      </c>
      <c r="E28" s="123">
        <v>1.56</v>
      </c>
      <c r="F28" s="124" t="s">
        <v>274</v>
      </c>
      <c r="G28" s="125">
        <v>0.53</v>
      </c>
      <c r="H28" s="123" t="s">
        <v>275</v>
      </c>
      <c r="I28" s="126">
        <v>0.25</v>
      </c>
      <c r="J28" s="77"/>
      <c r="K28" s="77"/>
      <c r="L28" s="77"/>
      <c r="M28" s="77"/>
      <c r="N28" s="77"/>
    </row>
    <row r="29" spans="1:14" x14ac:dyDescent="0.4">
      <c r="A29" s="121" t="s">
        <v>24</v>
      </c>
      <c r="B29" s="122" t="s">
        <v>24</v>
      </c>
      <c r="C29" s="123">
        <v>0.56000000000000005</v>
      </c>
      <c r="D29" s="123" t="s">
        <v>161</v>
      </c>
      <c r="E29" s="123">
        <v>1.56</v>
      </c>
      <c r="F29" s="124" t="s">
        <v>274</v>
      </c>
      <c r="G29" s="125">
        <v>0.53</v>
      </c>
      <c r="H29" s="123" t="s">
        <v>275</v>
      </c>
      <c r="I29" s="126">
        <v>0.25</v>
      </c>
      <c r="J29" s="77"/>
      <c r="K29" s="77"/>
      <c r="L29" s="77"/>
      <c r="M29" s="77"/>
      <c r="N29" s="77"/>
    </row>
    <row r="30" spans="1:14" x14ac:dyDescent="0.4">
      <c r="A30" s="121" t="s">
        <v>25</v>
      </c>
      <c r="B30" s="122" t="s">
        <v>77</v>
      </c>
      <c r="C30" s="123">
        <v>0.55000000000000004</v>
      </c>
      <c r="D30" s="123" t="s">
        <v>161</v>
      </c>
      <c r="E30" s="123">
        <v>1.56</v>
      </c>
      <c r="F30" s="124" t="s">
        <v>274</v>
      </c>
      <c r="G30" s="125">
        <v>0.53</v>
      </c>
      <c r="H30" s="123" t="s">
        <v>152</v>
      </c>
      <c r="I30" s="126">
        <v>0.25</v>
      </c>
      <c r="J30" s="77"/>
      <c r="K30" s="77"/>
      <c r="L30" s="77"/>
      <c r="M30" s="77"/>
      <c r="N30" s="77"/>
    </row>
    <row r="31" spans="1:14" x14ac:dyDescent="0.4">
      <c r="A31" s="121" t="s">
        <v>26</v>
      </c>
      <c r="B31" s="122" t="s">
        <v>78</v>
      </c>
      <c r="C31" s="123">
        <v>0.56000000000000005</v>
      </c>
      <c r="D31" s="123" t="s">
        <v>161</v>
      </c>
      <c r="E31" s="123">
        <v>1.56</v>
      </c>
      <c r="F31" s="124" t="s">
        <v>274</v>
      </c>
      <c r="G31" s="125">
        <v>0.43</v>
      </c>
      <c r="H31" s="123" t="s">
        <v>278</v>
      </c>
      <c r="I31" s="126">
        <v>0.25</v>
      </c>
      <c r="J31" s="77"/>
      <c r="K31" s="77"/>
      <c r="L31" s="77"/>
      <c r="M31" s="77"/>
      <c r="N31" s="77"/>
    </row>
    <row r="32" spans="1:14" x14ac:dyDescent="0.4">
      <c r="A32" s="121" t="s">
        <v>27</v>
      </c>
      <c r="B32" s="122" t="s">
        <v>79</v>
      </c>
      <c r="C32" s="123">
        <v>0.48</v>
      </c>
      <c r="D32" s="123" t="s">
        <v>161</v>
      </c>
      <c r="E32" s="123">
        <v>1.3</v>
      </c>
      <c r="F32" s="124" t="s">
        <v>274</v>
      </c>
      <c r="G32" s="125">
        <v>0.6</v>
      </c>
      <c r="H32" s="123" t="s">
        <v>281</v>
      </c>
      <c r="I32" s="126">
        <v>0.43</v>
      </c>
      <c r="J32" s="77"/>
      <c r="K32" s="77"/>
      <c r="L32" s="77"/>
      <c r="M32" s="77"/>
      <c r="N32" s="77"/>
    </row>
    <row r="33" spans="1:14" x14ac:dyDescent="0.4">
      <c r="A33" s="121" t="s">
        <v>28</v>
      </c>
      <c r="B33" s="122" t="s">
        <v>80</v>
      </c>
      <c r="C33" s="123">
        <v>0.42</v>
      </c>
      <c r="D33" s="123" t="s">
        <v>161</v>
      </c>
      <c r="E33" s="123">
        <v>1.3</v>
      </c>
      <c r="F33" s="124" t="s">
        <v>274</v>
      </c>
      <c r="G33" s="125">
        <v>0.6</v>
      </c>
      <c r="H33" s="123" t="s">
        <v>281</v>
      </c>
      <c r="I33" s="126">
        <v>0.43</v>
      </c>
      <c r="J33" s="77"/>
      <c r="K33" s="77"/>
      <c r="L33" s="77"/>
      <c r="M33" s="77"/>
      <c r="N33" s="77"/>
    </row>
    <row r="34" spans="1:14" x14ac:dyDescent="0.4">
      <c r="A34" s="121" t="s">
        <v>81</v>
      </c>
      <c r="B34" s="122" t="s">
        <v>163</v>
      </c>
      <c r="C34" s="123">
        <v>0.42</v>
      </c>
      <c r="D34" s="123" t="s">
        <v>103</v>
      </c>
      <c r="E34" s="123">
        <v>1.3</v>
      </c>
      <c r="F34" s="124" t="s">
        <v>274</v>
      </c>
      <c r="G34" s="125">
        <v>0.6</v>
      </c>
      <c r="H34" s="122" t="s">
        <v>280</v>
      </c>
      <c r="I34" s="126">
        <v>0.43</v>
      </c>
      <c r="J34" s="77"/>
      <c r="K34" s="77"/>
      <c r="L34" s="77"/>
      <c r="M34" s="77"/>
      <c r="N34" s="77"/>
    </row>
    <row r="35" spans="1:14" x14ac:dyDescent="0.4">
      <c r="A35" s="121" t="s">
        <v>29</v>
      </c>
      <c r="B35" s="122" t="s">
        <v>82</v>
      </c>
      <c r="C35" s="123">
        <v>0.5</v>
      </c>
      <c r="D35" s="123" t="s">
        <v>161</v>
      </c>
      <c r="E35" s="123">
        <v>1.56</v>
      </c>
      <c r="F35" s="124" t="s">
        <v>274</v>
      </c>
      <c r="G35" s="125">
        <v>0.43</v>
      </c>
      <c r="H35" s="123" t="s">
        <v>278</v>
      </c>
      <c r="I35" s="126">
        <v>0.25</v>
      </c>
      <c r="J35" s="77"/>
      <c r="K35" s="77"/>
      <c r="L35" s="77"/>
      <c r="M35" s="77"/>
      <c r="N35" s="77"/>
    </row>
    <row r="36" spans="1:14" x14ac:dyDescent="0.4">
      <c r="A36" s="121" t="s">
        <v>102</v>
      </c>
      <c r="B36" s="122" t="s">
        <v>101</v>
      </c>
      <c r="C36" s="123">
        <v>0.55000000000000004</v>
      </c>
      <c r="D36" s="123" t="s">
        <v>161</v>
      </c>
      <c r="E36" s="123">
        <v>1.56</v>
      </c>
      <c r="F36" s="124" t="s">
        <v>274</v>
      </c>
      <c r="G36" s="125">
        <v>0.53</v>
      </c>
      <c r="H36" s="123" t="s">
        <v>275</v>
      </c>
      <c r="I36" s="126">
        <v>0.25</v>
      </c>
      <c r="J36" s="77"/>
      <c r="K36" s="77"/>
      <c r="L36" s="77"/>
      <c r="M36" s="77"/>
      <c r="N36" s="77"/>
    </row>
    <row r="37" spans="1:14" x14ac:dyDescent="0.4">
      <c r="A37" s="121" t="s">
        <v>30</v>
      </c>
      <c r="B37" s="122" t="s">
        <v>104</v>
      </c>
      <c r="C37" s="123">
        <v>0.52</v>
      </c>
      <c r="D37" s="123" t="s">
        <v>161</v>
      </c>
      <c r="E37" s="123">
        <v>1.56</v>
      </c>
      <c r="F37" s="124" t="s">
        <v>274</v>
      </c>
      <c r="G37" s="125">
        <v>0.53</v>
      </c>
      <c r="H37" s="123" t="s">
        <v>275</v>
      </c>
      <c r="I37" s="126">
        <v>0.25</v>
      </c>
      <c r="J37" s="77"/>
      <c r="K37" s="77"/>
      <c r="L37" s="77"/>
      <c r="M37" s="77"/>
      <c r="N37" s="77"/>
    </row>
    <row r="38" spans="1:14" x14ac:dyDescent="0.4">
      <c r="A38" s="121" t="s">
        <v>31</v>
      </c>
      <c r="B38" s="122" t="s">
        <v>105</v>
      </c>
      <c r="C38" s="123">
        <v>0.52</v>
      </c>
      <c r="D38" s="123" t="s">
        <v>161</v>
      </c>
      <c r="E38" s="123">
        <v>1.56</v>
      </c>
      <c r="F38" s="124" t="s">
        <v>274</v>
      </c>
      <c r="G38" s="125">
        <v>0.43</v>
      </c>
      <c r="H38" s="123" t="s">
        <v>278</v>
      </c>
      <c r="I38" s="126">
        <v>0.25</v>
      </c>
      <c r="J38" s="77"/>
      <c r="K38" s="77"/>
      <c r="L38" s="77"/>
      <c r="M38" s="77"/>
      <c r="N38" s="77"/>
    </row>
    <row r="39" spans="1:14" x14ac:dyDescent="0.4">
      <c r="A39" s="121" t="s">
        <v>107</v>
      </c>
      <c r="B39" s="122" t="s">
        <v>132</v>
      </c>
      <c r="C39" s="123">
        <v>0.313</v>
      </c>
      <c r="D39" s="123" t="s">
        <v>130</v>
      </c>
      <c r="E39" s="123">
        <v>1.56</v>
      </c>
      <c r="F39" s="124" t="s">
        <v>274</v>
      </c>
      <c r="G39" s="125">
        <v>0.6</v>
      </c>
      <c r="H39" s="123" t="s">
        <v>283</v>
      </c>
      <c r="I39" s="126">
        <v>1.03</v>
      </c>
      <c r="J39" s="77"/>
      <c r="K39" s="77"/>
      <c r="L39" s="77"/>
      <c r="M39" s="77"/>
      <c r="N39" s="77"/>
    </row>
    <row r="40" spans="1:14" x14ac:dyDescent="0.4">
      <c r="A40" s="121" t="s">
        <v>108</v>
      </c>
      <c r="B40" s="122" t="s">
        <v>132</v>
      </c>
      <c r="C40" s="123">
        <v>0.35199999999999998</v>
      </c>
      <c r="D40" s="123" t="s">
        <v>130</v>
      </c>
      <c r="E40" s="123">
        <v>1.56</v>
      </c>
      <c r="F40" s="124" t="s">
        <v>274</v>
      </c>
      <c r="G40" s="125">
        <v>0.6</v>
      </c>
      <c r="H40" s="123" t="s">
        <v>283</v>
      </c>
      <c r="I40" s="126">
        <v>1.03</v>
      </c>
      <c r="J40" s="77"/>
      <c r="K40" s="77"/>
      <c r="L40" s="77"/>
      <c r="M40" s="77"/>
      <c r="N40" s="77"/>
    </row>
    <row r="41" spans="1:14" x14ac:dyDescent="0.4">
      <c r="A41" s="121" t="s">
        <v>121</v>
      </c>
      <c r="B41" s="122" t="s">
        <v>132</v>
      </c>
      <c r="C41" s="123">
        <v>0.32200000000000001</v>
      </c>
      <c r="D41" s="123" t="s">
        <v>130</v>
      </c>
      <c r="E41" s="123">
        <v>1.56</v>
      </c>
      <c r="F41" s="124" t="s">
        <v>274</v>
      </c>
      <c r="G41" s="125">
        <v>0.6</v>
      </c>
      <c r="H41" s="123" t="s">
        <v>283</v>
      </c>
      <c r="I41" s="126">
        <v>1.03</v>
      </c>
      <c r="J41" s="77"/>
      <c r="K41" s="77"/>
      <c r="L41" s="77"/>
      <c r="M41" s="77"/>
      <c r="N41" s="77"/>
    </row>
    <row r="42" spans="1:14" x14ac:dyDescent="0.4">
      <c r="A42" s="121" t="s">
        <v>122</v>
      </c>
      <c r="B42" s="122" t="s">
        <v>132</v>
      </c>
      <c r="C42" s="123">
        <v>0.311</v>
      </c>
      <c r="D42" s="123" t="s">
        <v>130</v>
      </c>
      <c r="E42" s="123">
        <v>1.56</v>
      </c>
      <c r="F42" s="124" t="s">
        <v>274</v>
      </c>
      <c r="G42" s="125">
        <v>0.6</v>
      </c>
      <c r="H42" s="123" t="s">
        <v>283</v>
      </c>
      <c r="I42" s="126">
        <v>1.03</v>
      </c>
      <c r="J42" s="77"/>
      <c r="K42" s="77"/>
      <c r="L42" s="77"/>
      <c r="M42" s="77"/>
      <c r="N42" s="77"/>
    </row>
    <row r="43" spans="1:14" x14ac:dyDescent="0.4">
      <c r="A43" s="121" t="s">
        <v>109</v>
      </c>
      <c r="B43" s="122" t="s">
        <v>132</v>
      </c>
      <c r="C43" s="123">
        <v>0.33900000000000002</v>
      </c>
      <c r="D43" s="123" t="s">
        <v>130</v>
      </c>
      <c r="E43" s="123">
        <v>1.56</v>
      </c>
      <c r="F43" s="124" t="s">
        <v>274</v>
      </c>
      <c r="G43" s="125">
        <v>0.6</v>
      </c>
      <c r="H43" s="123" t="s">
        <v>283</v>
      </c>
      <c r="I43" s="126">
        <v>1.03</v>
      </c>
      <c r="J43" s="77"/>
      <c r="K43" s="77"/>
      <c r="L43" s="77"/>
      <c r="M43" s="77"/>
      <c r="N43" s="77"/>
    </row>
    <row r="44" spans="1:14" x14ac:dyDescent="0.4">
      <c r="A44" s="121" t="s">
        <v>123</v>
      </c>
      <c r="B44" s="122" t="s">
        <v>132</v>
      </c>
      <c r="C44" s="123">
        <v>0.33600000000000002</v>
      </c>
      <c r="D44" s="123" t="s">
        <v>130</v>
      </c>
      <c r="E44" s="123">
        <v>1.56</v>
      </c>
      <c r="F44" s="124" t="s">
        <v>274</v>
      </c>
      <c r="G44" s="125">
        <v>0.6</v>
      </c>
      <c r="H44" s="123" t="s">
        <v>283</v>
      </c>
      <c r="I44" s="126">
        <v>1.03</v>
      </c>
      <c r="J44" s="77"/>
      <c r="K44" s="77"/>
      <c r="L44" s="77"/>
      <c r="M44" s="77"/>
      <c r="N44" s="77"/>
    </row>
    <row r="45" spans="1:14" x14ac:dyDescent="0.4">
      <c r="A45" s="121" t="s">
        <v>110</v>
      </c>
      <c r="B45" s="122" t="s">
        <v>132</v>
      </c>
      <c r="C45" s="123">
        <v>0.32900000000000001</v>
      </c>
      <c r="D45" s="123" t="s">
        <v>130</v>
      </c>
      <c r="E45" s="123">
        <v>1.56</v>
      </c>
      <c r="F45" s="124" t="s">
        <v>274</v>
      </c>
      <c r="G45" s="125">
        <v>0.6</v>
      </c>
      <c r="H45" s="123" t="s">
        <v>283</v>
      </c>
      <c r="I45" s="126">
        <v>1.03</v>
      </c>
      <c r="J45" s="77"/>
      <c r="K45" s="77"/>
      <c r="L45" s="77"/>
      <c r="M45" s="77"/>
      <c r="N45" s="77"/>
    </row>
    <row r="46" spans="1:14" x14ac:dyDescent="0.4">
      <c r="A46" s="121" t="s">
        <v>124</v>
      </c>
      <c r="B46" s="122" t="s">
        <v>132</v>
      </c>
      <c r="C46" s="123">
        <v>0.34300000000000003</v>
      </c>
      <c r="D46" s="123" t="s">
        <v>130</v>
      </c>
      <c r="E46" s="123">
        <v>1.56</v>
      </c>
      <c r="F46" s="124" t="s">
        <v>274</v>
      </c>
      <c r="G46" s="125">
        <v>0.6</v>
      </c>
      <c r="H46" s="123" t="s">
        <v>283</v>
      </c>
      <c r="I46" s="126">
        <v>1.03</v>
      </c>
      <c r="J46" s="77"/>
      <c r="K46" s="77"/>
      <c r="L46" s="77"/>
      <c r="M46" s="77"/>
      <c r="N46" s="77"/>
    </row>
    <row r="47" spans="1:14" x14ac:dyDescent="0.4">
      <c r="A47" s="121" t="s">
        <v>125</v>
      </c>
      <c r="B47" s="122" t="s">
        <v>132</v>
      </c>
      <c r="C47" s="123">
        <v>0.32500000000000001</v>
      </c>
      <c r="D47" s="123" t="s">
        <v>130</v>
      </c>
      <c r="E47" s="123">
        <v>1.56</v>
      </c>
      <c r="F47" s="124" t="s">
        <v>274</v>
      </c>
      <c r="G47" s="125">
        <v>0.6</v>
      </c>
      <c r="H47" s="123" t="s">
        <v>283</v>
      </c>
      <c r="I47" s="126">
        <v>1.03</v>
      </c>
      <c r="J47" s="77"/>
      <c r="K47" s="77"/>
      <c r="L47" s="77"/>
      <c r="M47" s="77"/>
      <c r="N47" s="77"/>
    </row>
    <row r="48" spans="1:14" x14ac:dyDescent="0.4">
      <c r="A48" s="121" t="s">
        <v>126</v>
      </c>
      <c r="B48" s="122" t="s">
        <v>132</v>
      </c>
      <c r="C48" s="123">
        <v>0.32</v>
      </c>
      <c r="D48" s="123" t="s">
        <v>130</v>
      </c>
      <c r="E48" s="123">
        <v>1.56</v>
      </c>
      <c r="F48" s="124" t="s">
        <v>274</v>
      </c>
      <c r="G48" s="125">
        <v>0.6</v>
      </c>
      <c r="H48" s="123" t="s">
        <v>283</v>
      </c>
      <c r="I48" s="126">
        <v>1.03</v>
      </c>
      <c r="J48" s="77"/>
      <c r="K48" s="77"/>
      <c r="L48" s="77"/>
      <c r="M48" s="77"/>
      <c r="N48" s="77"/>
    </row>
    <row r="49" spans="1:14" x14ac:dyDescent="0.4">
      <c r="A49" s="121" t="s">
        <v>111</v>
      </c>
      <c r="B49" s="122" t="s">
        <v>132</v>
      </c>
      <c r="C49" s="123">
        <v>0.28199999999999997</v>
      </c>
      <c r="D49" s="123" t="s">
        <v>130</v>
      </c>
      <c r="E49" s="123">
        <v>1.56</v>
      </c>
      <c r="F49" s="124" t="s">
        <v>274</v>
      </c>
      <c r="G49" s="125">
        <v>0.6</v>
      </c>
      <c r="H49" s="123" t="s">
        <v>283</v>
      </c>
      <c r="I49" s="126">
        <v>1.03</v>
      </c>
      <c r="J49" s="77"/>
      <c r="K49" s="77"/>
      <c r="L49" s="77"/>
      <c r="M49" s="77"/>
      <c r="N49" s="77"/>
    </row>
    <row r="50" spans="1:14" x14ac:dyDescent="0.4">
      <c r="A50" s="121" t="s">
        <v>127</v>
      </c>
      <c r="B50" s="122" t="s">
        <v>132</v>
      </c>
      <c r="C50" s="123">
        <v>0.32800000000000001</v>
      </c>
      <c r="D50" s="123" t="s">
        <v>130</v>
      </c>
      <c r="E50" s="123">
        <v>1.56</v>
      </c>
      <c r="F50" s="124" t="s">
        <v>274</v>
      </c>
      <c r="G50" s="125">
        <v>0.6</v>
      </c>
      <c r="H50" s="123" t="s">
        <v>283</v>
      </c>
      <c r="I50" s="126">
        <v>1.03</v>
      </c>
      <c r="J50" s="77"/>
      <c r="K50" s="77"/>
      <c r="L50" s="77"/>
      <c r="M50" s="77"/>
      <c r="N50" s="77"/>
    </row>
    <row r="51" spans="1:14" x14ac:dyDescent="0.4">
      <c r="A51" s="121" t="s">
        <v>112</v>
      </c>
      <c r="B51" s="122" t="s">
        <v>132</v>
      </c>
      <c r="C51" s="123">
        <v>0.32600000000000001</v>
      </c>
      <c r="D51" s="123" t="s">
        <v>130</v>
      </c>
      <c r="E51" s="123">
        <v>1.56</v>
      </c>
      <c r="F51" s="124" t="s">
        <v>274</v>
      </c>
      <c r="G51" s="125">
        <v>0.6</v>
      </c>
      <c r="H51" s="123" t="s">
        <v>283</v>
      </c>
      <c r="I51" s="126">
        <v>1.03</v>
      </c>
      <c r="J51" s="77"/>
      <c r="K51" s="77"/>
      <c r="L51" s="77"/>
      <c r="M51" s="77"/>
      <c r="N51" s="77"/>
    </row>
    <row r="52" spans="1:14" x14ac:dyDescent="0.4">
      <c r="A52" s="121" t="s">
        <v>113</v>
      </c>
      <c r="B52" s="122" t="s">
        <v>132</v>
      </c>
      <c r="C52" s="123">
        <v>0.35899999999999999</v>
      </c>
      <c r="D52" s="123" t="s">
        <v>130</v>
      </c>
      <c r="E52" s="123">
        <v>1.56</v>
      </c>
      <c r="F52" s="124" t="s">
        <v>274</v>
      </c>
      <c r="G52" s="125">
        <v>0.6</v>
      </c>
      <c r="H52" s="123" t="s">
        <v>283</v>
      </c>
      <c r="I52" s="126">
        <v>1.03</v>
      </c>
      <c r="J52" s="77"/>
      <c r="K52" s="77"/>
      <c r="L52" s="77"/>
      <c r="M52" s="77"/>
      <c r="N52" s="77"/>
    </row>
    <row r="53" spans="1:14" x14ac:dyDescent="0.4">
      <c r="A53" s="121" t="s">
        <v>114</v>
      </c>
      <c r="B53" s="122" t="s">
        <v>132</v>
      </c>
      <c r="C53" s="123">
        <v>0.34599999999999997</v>
      </c>
      <c r="D53" s="123" t="s">
        <v>130</v>
      </c>
      <c r="E53" s="123">
        <v>1.56</v>
      </c>
      <c r="F53" s="124" t="s">
        <v>274</v>
      </c>
      <c r="G53" s="125">
        <v>0.6</v>
      </c>
      <c r="H53" s="123" t="s">
        <v>283</v>
      </c>
      <c r="I53" s="126">
        <v>1.03</v>
      </c>
      <c r="J53" s="77"/>
      <c r="K53" s="77"/>
      <c r="L53" s="77"/>
      <c r="M53" s="77"/>
      <c r="N53" s="77"/>
    </row>
    <row r="54" spans="1:14" x14ac:dyDescent="0.4">
      <c r="A54" s="121" t="s">
        <v>115</v>
      </c>
      <c r="B54" s="122" t="s">
        <v>132</v>
      </c>
      <c r="C54" s="123">
        <v>0.32600000000000001</v>
      </c>
      <c r="D54" s="123" t="s">
        <v>130</v>
      </c>
      <c r="E54" s="123">
        <v>1.56</v>
      </c>
      <c r="F54" s="124" t="s">
        <v>274</v>
      </c>
      <c r="G54" s="125">
        <v>0.6</v>
      </c>
      <c r="H54" s="123" t="s">
        <v>283</v>
      </c>
      <c r="I54" s="126">
        <v>1.03</v>
      </c>
      <c r="J54" s="77"/>
      <c r="K54" s="77"/>
      <c r="L54" s="77"/>
      <c r="M54" s="77"/>
      <c r="N54" s="77"/>
    </row>
    <row r="55" spans="1:14" x14ac:dyDescent="0.4">
      <c r="A55" s="121" t="s">
        <v>116</v>
      </c>
      <c r="B55" s="122" t="s">
        <v>132</v>
      </c>
      <c r="C55" s="123">
        <v>0.30499999999999999</v>
      </c>
      <c r="D55" s="123" t="s">
        <v>130</v>
      </c>
      <c r="E55" s="123">
        <v>1.56</v>
      </c>
      <c r="F55" s="124" t="s">
        <v>274</v>
      </c>
      <c r="G55" s="125">
        <v>0.6</v>
      </c>
      <c r="H55" s="123" t="s">
        <v>283</v>
      </c>
      <c r="I55" s="126">
        <v>1.03</v>
      </c>
      <c r="J55" s="77"/>
      <c r="K55" s="77"/>
      <c r="L55" s="77"/>
      <c r="M55" s="77"/>
      <c r="N55" s="77"/>
    </row>
    <row r="56" spans="1:14" x14ac:dyDescent="0.4">
      <c r="A56" s="121" t="s">
        <v>128</v>
      </c>
      <c r="B56" s="122" t="s">
        <v>132</v>
      </c>
      <c r="C56" s="123">
        <v>0.32300000000000001</v>
      </c>
      <c r="D56" s="123" t="s">
        <v>130</v>
      </c>
      <c r="E56" s="123">
        <v>1.56</v>
      </c>
      <c r="F56" s="124" t="s">
        <v>274</v>
      </c>
      <c r="G56" s="125">
        <v>0.6</v>
      </c>
      <c r="H56" s="123" t="s">
        <v>283</v>
      </c>
      <c r="I56" s="126">
        <v>1.03</v>
      </c>
      <c r="J56" s="77"/>
      <c r="K56" s="77"/>
      <c r="L56" s="77"/>
      <c r="M56" s="77"/>
      <c r="N56" s="77"/>
    </row>
    <row r="57" spans="1:14" x14ac:dyDescent="0.4">
      <c r="A57" s="121" t="s">
        <v>129</v>
      </c>
      <c r="B57" s="122" t="s">
        <v>132</v>
      </c>
      <c r="C57" s="123">
        <v>0.36699999999999999</v>
      </c>
      <c r="D57" s="123" t="s">
        <v>130</v>
      </c>
      <c r="E57" s="123">
        <v>1.56</v>
      </c>
      <c r="F57" s="124" t="s">
        <v>274</v>
      </c>
      <c r="G57" s="125">
        <v>0.6</v>
      </c>
      <c r="H57" s="123" t="s">
        <v>283</v>
      </c>
      <c r="I57" s="126">
        <v>1.03</v>
      </c>
      <c r="J57" s="77"/>
      <c r="K57" s="77"/>
      <c r="L57" s="77"/>
      <c r="M57" s="77"/>
      <c r="N57" s="77"/>
    </row>
    <row r="58" spans="1:14" x14ac:dyDescent="0.4">
      <c r="A58" s="121" t="s">
        <v>117</v>
      </c>
      <c r="B58" s="122" t="s">
        <v>132</v>
      </c>
      <c r="C58" s="123">
        <v>0.36</v>
      </c>
      <c r="D58" s="123" t="s">
        <v>130</v>
      </c>
      <c r="E58" s="123">
        <v>1.56</v>
      </c>
      <c r="F58" s="124" t="s">
        <v>274</v>
      </c>
      <c r="G58" s="125">
        <v>0.6</v>
      </c>
      <c r="H58" s="123" t="s">
        <v>283</v>
      </c>
      <c r="I58" s="126">
        <v>1.03</v>
      </c>
      <c r="J58" s="77"/>
      <c r="K58" s="77"/>
      <c r="L58" s="77"/>
      <c r="M58" s="77"/>
      <c r="N58" s="77"/>
    </row>
    <row r="59" spans="1:14" x14ac:dyDescent="0.4">
      <c r="A59" s="121" t="s">
        <v>118</v>
      </c>
      <c r="B59" s="122" t="s">
        <v>132</v>
      </c>
      <c r="C59" s="123">
        <v>0.36799999999999999</v>
      </c>
      <c r="D59" s="123" t="s">
        <v>130</v>
      </c>
      <c r="E59" s="123">
        <v>1.56</v>
      </c>
      <c r="F59" s="124" t="s">
        <v>274</v>
      </c>
      <c r="G59" s="125">
        <v>0.6</v>
      </c>
      <c r="H59" s="123" t="s">
        <v>283</v>
      </c>
      <c r="I59" s="126">
        <v>1.03</v>
      </c>
      <c r="J59" s="77"/>
      <c r="K59" s="77"/>
      <c r="L59" s="77"/>
      <c r="M59" s="77"/>
      <c r="N59" s="77"/>
    </row>
    <row r="60" spans="1:14" x14ac:dyDescent="0.4">
      <c r="A60" s="121" t="s">
        <v>119</v>
      </c>
      <c r="B60" s="122" t="s">
        <v>132</v>
      </c>
      <c r="C60" s="123">
        <v>0.30599999999999999</v>
      </c>
      <c r="D60" s="123" t="s">
        <v>130</v>
      </c>
      <c r="E60" s="123">
        <v>1.56</v>
      </c>
      <c r="F60" s="124" t="s">
        <v>274</v>
      </c>
      <c r="G60" s="125">
        <v>0.6</v>
      </c>
      <c r="H60" s="123" t="s">
        <v>283</v>
      </c>
      <c r="I60" s="126">
        <v>1.03</v>
      </c>
      <c r="J60" s="77"/>
      <c r="K60" s="77"/>
      <c r="L60" s="77"/>
      <c r="M60" s="77"/>
      <c r="N60" s="77"/>
    </row>
    <row r="61" spans="1:14" x14ac:dyDescent="0.4">
      <c r="A61" s="121" t="s">
        <v>120</v>
      </c>
      <c r="B61" s="122" t="s">
        <v>132</v>
      </c>
      <c r="C61" s="123">
        <v>0.313</v>
      </c>
      <c r="D61" s="123" t="s">
        <v>130</v>
      </c>
      <c r="E61" s="123">
        <v>1.56</v>
      </c>
      <c r="F61" s="124" t="s">
        <v>274</v>
      </c>
      <c r="G61" s="125">
        <v>0.6</v>
      </c>
      <c r="H61" s="123" t="s">
        <v>283</v>
      </c>
      <c r="I61" s="126">
        <v>1.03</v>
      </c>
      <c r="J61" s="77"/>
      <c r="K61" s="77"/>
      <c r="L61" s="77"/>
      <c r="M61" s="77"/>
      <c r="N61" s="77"/>
    </row>
    <row r="62" spans="1:14" x14ac:dyDescent="0.4">
      <c r="A62" s="121" t="s">
        <v>32</v>
      </c>
      <c r="B62" s="122" t="s">
        <v>133</v>
      </c>
      <c r="C62" s="123">
        <v>0.37</v>
      </c>
      <c r="D62" s="123" t="s">
        <v>161</v>
      </c>
      <c r="E62" s="123">
        <v>1.56</v>
      </c>
      <c r="F62" s="124" t="s">
        <v>274</v>
      </c>
      <c r="G62" s="125">
        <v>0.6</v>
      </c>
      <c r="H62" s="123" t="s">
        <v>283</v>
      </c>
      <c r="I62" s="126">
        <v>1.03</v>
      </c>
      <c r="J62" s="77"/>
      <c r="K62" s="77"/>
      <c r="L62" s="77"/>
      <c r="M62" s="77"/>
      <c r="N62" s="77"/>
    </row>
    <row r="63" spans="1:14" x14ac:dyDescent="0.4">
      <c r="A63" s="121" t="s">
        <v>90</v>
      </c>
      <c r="B63" s="122" t="s">
        <v>83</v>
      </c>
      <c r="C63" s="123">
        <v>0.45</v>
      </c>
      <c r="D63" s="123" t="s">
        <v>161</v>
      </c>
      <c r="E63" s="123">
        <v>1.3</v>
      </c>
      <c r="F63" s="124" t="s">
        <v>274</v>
      </c>
      <c r="G63" s="125">
        <v>0.45</v>
      </c>
      <c r="H63" s="123" t="s">
        <v>276</v>
      </c>
      <c r="I63" s="126">
        <v>0.43</v>
      </c>
      <c r="J63" s="77"/>
      <c r="K63" s="77"/>
      <c r="L63" s="77"/>
      <c r="M63" s="77"/>
      <c r="N63" s="77"/>
    </row>
    <row r="64" spans="1:14" x14ac:dyDescent="0.4">
      <c r="A64" s="121" t="s">
        <v>33</v>
      </c>
      <c r="B64" s="122" t="s">
        <v>134</v>
      </c>
      <c r="C64" s="123">
        <v>0.39</v>
      </c>
      <c r="D64" s="123" t="s">
        <v>161</v>
      </c>
      <c r="E64" s="123">
        <v>1.3</v>
      </c>
      <c r="F64" s="124" t="s">
        <v>274</v>
      </c>
      <c r="G64" s="125">
        <v>0.45</v>
      </c>
      <c r="H64" s="123" t="s">
        <v>276</v>
      </c>
      <c r="I64" s="126">
        <v>0.43</v>
      </c>
      <c r="J64" s="77"/>
      <c r="K64" s="77"/>
      <c r="L64" s="77"/>
      <c r="M64" s="77"/>
      <c r="N64" s="77"/>
    </row>
    <row r="65" spans="1:14" x14ac:dyDescent="0.4">
      <c r="A65" s="121" t="s">
        <v>34</v>
      </c>
      <c r="B65" s="122" t="s">
        <v>135</v>
      </c>
      <c r="C65" s="123">
        <v>0.44</v>
      </c>
      <c r="D65" s="123" t="s">
        <v>161</v>
      </c>
      <c r="E65" s="123">
        <v>1.3</v>
      </c>
      <c r="F65" s="124" t="s">
        <v>274</v>
      </c>
      <c r="G65" s="125">
        <v>0.45</v>
      </c>
      <c r="H65" s="123" t="s">
        <v>276</v>
      </c>
      <c r="I65" s="126">
        <v>0.43</v>
      </c>
      <c r="J65" s="77"/>
      <c r="K65" s="77"/>
      <c r="L65" s="77"/>
      <c r="M65" s="77"/>
      <c r="N65" s="77"/>
    </row>
    <row r="66" spans="1:14" x14ac:dyDescent="0.4">
      <c r="A66" s="121" t="s">
        <v>35</v>
      </c>
      <c r="B66" s="122" t="s">
        <v>84</v>
      </c>
      <c r="C66" s="123">
        <v>0.46</v>
      </c>
      <c r="D66" s="123" t="s">
        <v>161</v>
      </c>
      <c r="E66" s="123">
        <v>1.3</v>
      </c>
      <c r="F66" s="124" t="s">
        <v>274</v>
      </c>
      <c r="G66" s="125">
        <v>0.45</v>
      </c>
      <c r="H66" s="123" t="s">
        <v>276</v>
      </c>
      <c r="I66" s="126">
        <v>0.43</v>
      </c>
      <c r="J66" s="77"/>
      <c r="K66" s="77"/>
      <c r="L66" s="77"/>
      <c r="M66" s="77"/>
      <c r="N66" s="77"/>
    </row>
    <row r="67" spans="1:14" x14ac:dyDescent="0.4">
      <c r="A67" s="121" t="s">
        <v>36</v>
      </c>
      <c r="B67" s="122" t="s">
        <v>85</v>
      </c>
      <c r="C67" s="123">
        <v>0.46</v>
      </c>
      <c r="D67" s="123" t="s">
        <v>161</v>
      </c>
      <c r="E67" s="123">
        <v>1.3</v>
      </c>
      <c r="F67" s="124" t="s">
        <v>274</v>
      </c>
      <c r="G67" s="125">
        <v>0.45</v>
      </c>
      <c r="H67" s="123" t="s">
        <v>152</v>
      </c>
      <c r="I67" s="126">
        <v>0.59</v>
      </c>
      <c r="J67" s="77"/>
      <c r="K67" s="77"/>
      <c r="L67" s="77"/>
      <c r="M67" s="77"/>
      <c r="N67" s="77"/>
    </row>
    <row r="68" spans="1:14" x14ac:dyDescent="0.4">
      <c r="A68" s="121" t="s">
        <v>37</v>
      </c>
      <c r="B68" s="122" t="s">
        <v>136</v>
      </c>
      <c r="C68" s="123">
        <v>0.44</v>
      </c>
      <c r="D68" s="123" t="s">
        <v>161</v>
      </c>
      <c r="E68" s="123">
        <v>1.3</v>
      </c>
      <c r="F68" s="124" t="s">
        <v>274</v>
      </c>
      <c r="G68" s="125">
        <v>0.45</v>
      </c>
      <c r="H68" s="123" t="s">
        <v>276</v>
      </c>
      <c r="I68" s="126">
        <v>0.43</v>
      </c>
      <c r="J68" s="77"/>
      <c r="K68" s="77"/>
      <c r="L68" s="77"/>
      <c r="M68" s="77"/>
      <c r="N68" s="77"/>
    </row>
    <row r="69" spans="1:14" x14ac:dyDescent="0.4">
      <c r="A69" s="121" t="s">
        <v>38</v>
      </c>
      <c r="B69" s="122" t="s">
        <v>86</v>
      </c>
      <c r="C69" s="123">
        <v>0.46</v>
      </c>
      <c r="D69" s="123" t="s">
        <v>161</v>
      </c>
      <c r="E69" s="123">
        <v>1.3</v>
      </c>
      <c r="F69" s="124" t="s">
        <v>274</v>
      </c>
      <c r="G69" s="125">
        <v>0.45</v>
      </c>
      <c r="H69" s="123" t="s">
        <v>276</v>
      </c>
      <c r="I69" s="126">
        <v>0.43</v>
      </c>
      <c r="J69" s="77"/>
      <c r="K69" s="77"/>
      <c r="L69" s="77"/>
      <c r="M69" s="77"/>
      <c r="N69" s="77"/>
    </row>
    <row r="70" spans="1:14" x14ac:dyDescent="0.4">
      <c r="A70" s="121" t="s">
        <v>39</v>
      </c>
      <c r="B70" s="122" t="s">
        <v>137</v>
      </c>
      <c r="C70" s="123">
        <v>0.48</v>
      </c>
      <c r="D70" s="123" t="s">
        <v>161</v>
      </c>
      <c r="E70" s="123">
        <v>2.4</v>
      </c>
      <c r="F70" s="123" t="s">
        <v>284</v>
      </c>
      <c r="G70" s="125">
        <v>0.45</v>
      </c>
      <c r="H70" s="123" t="s">
        <v>276</v>
      </c>
      <c r="I70" s="126">
        <v>0.43</v>
      </c>
      <c r="J70" s="77"/>
      <c r="K70" s="77"/>
      <c r="L70" s="77"/>
      <c r="M70" s="77"/>
      <c r="N70" s="77"/>
    </row>
    <row r="71" spans="1:14" x14ac:dyDescent="0.4">
      <c r="A71" s="121" t="s">
        <v>40</v>
      </c>
      <c r="B71" s="122" t="s">
        <v>87</v>
      </c>
      <c r="C71" s="123">
        <v>0.46</v>
      </c>
      <c r="D71" s="123" t="s">
        <v>150</v>
      </c>
      <c r="E71" s="123">
        <v>1.3</v>
      </c>
      <c r="F71" s="124" t="s">
        <v>274</v>
      </c>
      <c r="G71" s="125">
        <v>0.45</v>
      </c>
      <c r="H71" s="123" t="s">
        <v>276</v>
      </c>
      <c r="I71" s="126">
        <v>0.43</v>
      </c>
      <c r="J71" s="77"/>
      <c r="K71" s="77"/>
      <c r="L71" s="77"/>
      <c r="M71" s="77"/>
      <c r="N71" s="77"/>
    </row>
    <row r="72" spans="1:14" x14ac:dyDescent="0.4">
      <c r="A72" s="121" t="s">
        <v>41</v>
      </c>
      <c r="B72" s="122" t="s">
        <v>88</v>
      </c>
      <c r="C72" s="123">
        <v>0.44</v>
      </c>
      <c r="D72" s="123" t="s">
        <v>161</v>
      </c>
      <c r="E72" s="123">
        <v>1.3</v>
      </c>
      <c r="F72" s="124" t="s">
        <v>274</v>
      </c>
      <c r="G72" s="125">
        <v>0.45</v>
      </c>
      <c r="H72" s="123" t="s">
        <v>276</v>
      </c>
      <c r="I72" s="126">
        <v>0.43</v>
      </c>
      <c r="J72" s="77"/>
      <c r="K72" s="77"/>
      <c r="L72" s="77"/>
      <c r="M72" s="77"/>
      <c r="N72" s="77"/>
    </row>
    <row r="73" spans="1:14" x14ac:dyDescent="0.4">
      <c r="A73" s="121" t="s">
        <v>138</v>
      </c>
      <c r="B73" s="122" t="s">
        <v>140</v>
      </c>
      <c r="C73" s="123">
        <v>0.46</v>
      </c>
      <c r="D73" s="123" t="s">
        <v>151</v>
      </c>
      <c r="E73" s="123">
        <v>1.3</v>
      </c>
      <c r="F73" s="124" t="s">
        <v>274</v>
      </c>
      <c r="G73" s="125">
        <v>0.45</v>
      </c>
      <c r="H73" s="123" t="s">
        <v>276</v>
      </c>
      <c r="I73" s="126">
        <v>0.43</v>
      </c>
      <c r="J73" s="77"/>
      <c r="K73" s="77"/>
      <c r="L73" s="77"/>
      <c r="M73" s="77"/>
      <c r="N73" s="77"/>
    </row>
    <row r="74" spans="1:14" x14ac:dyDescent="0.4">
      <c r="A74" s="121" t="s">
        <v>42</v>
      </c>
      <c r="B74" s="122" t="s">
        <v>139</v>
      </c>
      <c r="C74" s="123">
        <v>0.34</v>
      </c>
      <c r="D74" s="123" t="s">
        <v>161</v>
      </c>
      <c r="E74" s="123">
        <v>1.3</v>
      </c>
      <c r="F74" s="124" t="s">
        <v>274</v>
      </c>
      <c r="G74" s="125">
        <v>0.45</v>
      </c>
      <c r="H74" s="123" t="s">
        <v>276</v>
      </c>
      <c r="I74" s="126">
        <v>0.43</v>
      </c>
      <c r="J74" s="77"/>
      <c r="K74" s="77"/>
      <c r="L74" s="77"/>
      <c r="M74" s="77"/>
      <c r="N74" s="77"/>
    </row>
    <row r="75" spans="1:14" x14ac:dyDescent="0.4">
      <c r="A75" s="121" t="s">
        <v>43</v>
      </c>
      <c r="B75" s="122" t="s">
        <v>162</v>
      </c>
      <c r="C75" s="123">
        <v>0.5</v>
      </c>
      <c r="D75" s="123" t="s">
        <v>161</v>
      </c>
      <c r="E75" s="123">
        <v>1.56</v>
      </c>
      <c r="F75" s="124" t="s">
        <v>274</v>
      </c>
      <c r="G75" s="125">
        <v>0.53</v>
      </c>
      <c r="H75" s="123" t="s">
        <v>275</v>
      </c>
      <c r="I75" s="126">
        <v>0.25</v>
      </c>
      <c r="J75" s="77"/>
      <c r="K75" s="77"/>
      <c r="L75" s="77"/>
      <c r="M75" s="77"/>
      <c r="N75" s="77"/>
    </row>
    <row r="76" spans="1:14" x14ac:dyDescent="0.4">
      <c r="A76" s="121" t="s">
        <v>44</v>
      </c>
      <c r="B76" s="122" t="s">
        <v>89</v>
      </c>
      <c r="C76" s="123">
        <v>0.57999999999999996</v>
      </c>
      <c r="D76" s="123" t="s">
        <v>161</v>
      </c>
      <c r="E76" s="123">
        <v>1.56</v>
      </c>
      <c r="F76" s="124" t="s">
        <v>274</v>
      </c>
      <c r="G76" s="125">
        <v>0.3</v>
      </c>
      <c r="H76" s="123" t="s">
        <v>277</v>
      </c>
      <c r="I76" s="126">
        <v>0.25</v>
      </c>
      <c r="J76" s="77"/>
      <c r="K76" s="77"/>
      <c r="L76" s="77"/>
      <c r="M76" s="77"/>
      <c r="N76" s="77"/>
    </row>
    <row r="77" spans="1:14" x14ac:dyDescent="0.4">
      <c r="A77" s="121" t="s">
        <v>47</v>
      </c>
      <c r="B77" s="122" t="s">
        <v>141</v>
      </c>
      <c r="C77" s="123">
        <v>0.37</v>
      </c>
      <c r="D77" s="123" t="s">
        <v>161</v>
      </c>
      <c r="E77" s="123">
        <v>1.3</v>
      </c>
      <c r="F77" s="124" t="s">
        <v>274</v>
      </c>
      <c r="G77" s="125">
        <v>0.55000000000000004</v>
      </c>
      <c r="H77" s="123" t="s">
        <v>152</v>
      </c>
      <c r="I77" s="126">
        <v>0.43</v>
      </c>
      <c r="J77" s="77"/>
      <c r="K77" s="77"/>
      <c r="L77" s="77"/>
      <c r="M77" s="77"/>
      <c r="N77" s="77"/>
    </row>
    <row r="78" spans="1:14" x14ac:dyDescent="0.4">
      <c r="A78" s="121" t="s">
        <v>45</v>
      </c>
      <c r="B78" s="122" t="s">
        <v>96</v>
      </c>
      <c r="C78" s="123">
        <v>0.37</v>
      </c>
      <c r="D78" s="123" t="s">
        <v>161</v>
      </c>
      <c r="E78" s="123">
        <v>1.3</v>
      </c>
      <c r="F78" s="124" t="s">
        <v>274</v>
      </c>
      <c r="G78" s="125">
        <v>0.55000000000000004</v>
      </c>
      <c r="H78" s="123" t="s">
        <v>152</v>
      </c>
      <c r="I78" s="126">
        <v>0.43</v>
      </c>
      <c r="J78" s="77"/>
      <c r="K78" s="77"/>
      <c r="L78" s="77"/>
      <c r="M78" s="77"/>
      <c r="N78" s="77"/>
    </row>
    <row r="79" spans="1:14" x14ac:dyDescent="0.4">
      <c r="A79" s="121" t="s">
        <v>46</v>
      </c>
      <c r="B79" s="122" t="s">
        <v>95</v>
      </c>
      <c r="C79" s="123">
        <v>0.38</v>
      </c>
      <c r="D79" s="123" t="s">
        <v>161</v>
      </c>
      <c r="E79" s="123">
        <v>1.3</v>
      </c>
      <c r="F79" s="124" t="s">
        <v>274</v>
      </c>
      <c r="G79" s="125">
        <v>0.55000000000000004</v>
      </c>
      <c r="H79" s="123" t="s">
        <v>153</v>
      </c>
      <c r="I79" s="126">
        <v>0.43</v>
      </c>
      <c r="J79" s="77"/>
      <c r="K79" s="77"/>
      <c r="L79" s="77"/>
      <c r="M79" s="77"/>
      <c r="N79" s="77"/>
    </row>
    <row r="80" spans="1:14" x14ac:dyDescent="0.4">
      <c r="A80" s="121" t="s">
        <v>48</v>
      </c>
      <c r="B80" s="122" t="s">
        <v>94</v>
      </c>
      <c r="C80" s="123">
        <v>0.36</v>
      </c>
      <c r="D80" s="123" t="s">
        <v>161</v>
      </c>
      <c r="E80" s="123">
        <v>1.3</v>
      </c>
      <c r="F80" s="124" t="s">
        <v>274</v>
      </c>
      <c r="G80" s="125">
        <v>0.55000000000000004</v>
      </c>
      <c r="H80" s="123" t="s">
        <v>153</v>
      </c>
      <c r="I80" s="126">
        <v>0.43</v>
      </c>
      <c r="J80" s="77"/>
      <c r="K80" s="77"/>
      <c r="L80" s="77"/>
      <c r="M80" s="77"/>
      <c r="N80" s="77"/>
    </row>
    <row r="81" spans="1:14" x14ac:dyDescent="0.4">
      <c r="A81" s="121" t="s">
        <v>49</v>
      </c>
      <c r="B81" s="122" t="s">
        <v>142</v>
      </c>
      <c r="C81" s="123">
        <v>0.37</v>
      </c>
      <c r="D81" s="123" t="s">
        <v>161</v>
      </c>
      <c r="E81" s="123">
        <v>1.56</v>
      </c>
      <c r="F81" s="124" t="s">
        <v>274</v>
      </c>
      <c r="G81" s="125">
        <v>0.43</v>
      </c>
      <c r="H81" s="123" t="s">
        <v>278</v>
      </c>
      <c r="I81" s="126">
        <v>0.25</v>
      </c>
      <c r="J81" s="77"/>
      <c r="K81" s="77"/>
      <c r="L81" s="77"/>
      <c r="M81" s="77"/>
      <c r="N81" s="77"/>
    </row>
    <row r="82" spans="1:14" x14ac:dyDescent="0.4">
      <c r="A82" s="121" t="s">
        <v>158</v>
      </c>
      <c r="B82" s="122" t="s">
        <v>159</v>
      </c>
      <c r="C82" s="123">
        <v>0.35</v>
      </c>
      <c r="D82" s="123" t="s">
        <v>160</v>
      </c>
      <c r="E82" s="123">
        <v>1.3</v>
      </c>
      <c r="F82" s="124" t="s">
        <v>274</v>
      </c>
      <c r="G82" s="125">
        <v>0.55000000000000004</v>
      </c>
      <c r="H82" s="123" t="s">
        <v>153</v>
      </c>
      <c r="I82" s="126">
        <v>0.43</v>
      </c>
      <c r="J82" s="77"/>
      <c r="K82" s="77"/>
      <c r="L82" s="77"/>
      <c r="M82" s="77"/>
      <c r="N82" s="77"/>
    </row>
    <row r="83" spans="1:14" x14ac:dyDescent="0.4">
      <c r="A83" s="121" t="s">
        <v>156</v>
      </c>
      <c r="B83" s="122" t="s">
        <v>157</v>
      </c>
      <c r="C83" s="123">
        <v>0.34</v>
      </c>
      <c r="D83" s="123" t="s">
        <v>161</v>
      </c>
      <c r="E83" s="123">
        <v>1.3</v>
      </c>
      <c r="F83" s="124" t="s">
        <v>274</v>
      </c>
      <c r="G83" s="125">
        <v>0.55000000000000004</v>
      </c>
      <c r="H83" s="123" t="s">
        <v>153</v>
      </c>
      <c r="I83" s="126">
        <v>0.43</v>
      </c>
      <c r="J83" s="77"/>
      <c r="K83" s="77"/>
      <c r="L83" s="77"/>
      <c r="M83" s="77"/>
      <c r="N83" s="77"/>
    </row>
    <row r="84" spans="1:14" x14ac:dyDescent="0.4">
      <c r="A84" s="121" t="s">
        <v>92</v>
      </c>
      <c r="B84" s="122" t="s">
        <v>93</v>
      </c>
      <c r="C84" s="123">
        <v>0.31</v>
      </c>
      <c r="D84" s="123" t="s">
        <v>161</v>
      </c>
      <c r="E84" s="123">
        <v>1.3</v>
      </c>
      <c r="F84" s="124" t="s">
        <v>274</v>
      </c>
      <c r="G84" s="125">
        <v>0.55000000000000004</v>
      </c>
      <c r="H84" s="123" t="s">
        <v>153</v>
      </c>
      <c r="I84" s="126">
        <v>0.43</v>
      </c>
      <c r="J84" s="77"/>
      <c r="K84" s="77"/>
      <c r="L84" s="77"/>
      <c r="M84" s="77"/>
      <c r="N84" s="77"/>
    </row>
    <row r="85" spans="1:14" x14ac:dyDescent="0.4">
      <c r="A85" s="121" t="s">
        <v>50</v>
      </c>
      <c r="B85" s="122" t="s">
        <v>143</v>
      </c>
      <c r="C85" s="123">
        <v>0.43</v>
      </c>
      <c r="D85" s="123" t="s">
        <v>161</v>
      </c>
      <c r="E85" s="123">
        <v>1.56</v>
      </c>
      <c r="F85" s="124" t="s">
        <v>274</v>
      </c>
      <c r="G85" s="125">
        <v>0.53</v>
      </c>
      <c r="H85" s="123" t="s">
        <v>275</v>
      </c>
      <c r="I85" s="126">
        <v>0.25</v>
      </c>
      <c r="J85" s="77"/>
      <c r="K85" s="77"/>
      <c r="L85" s="77"/>
      <c r="M85" s="77"/>
      <c r="N85" s="77"/>
    </row>
    <row r="86" spans="1:14" x14ac:dyDescent="0.4">
      <c r="A86" s="121" t="s">
        <v>51</v>
      </c>
      <c r="B86" s="122" t="s">
        <v>91</v>
      </c>
      <c r="C86" s="123">
        <v>0.38</v>
      </c>
      <c r="D86" s="123" t="s">
        <v>161</v>
      </c>
      <c r="E86" s="123">
        <v>1.56</v>
      </c>
      <c r="F86" s="124" t="s">
        <v>274</v>
      </c>
      <c r="G86" s="125">
        <v>0.6</v>
      </c>
      <c r="H86" s="123" t="s">
        <v>279</v>
      </c>
      <c r="I86" s="126">
        <v>0.25</v>
      </c>
      <c r="J86" s="77"/>
      <c r="K86" s="77"/>
      <c r="L86" s="77"/>
      <c r="M86" s="77"/>
      <c r="N86" s="77"/>
    </row>
    <row r="87" spans="1:14" x14ac:dyDescent="0.4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7"/>
      <c r="K87" s="77"/>
      <c r="L87" s="77"/>
      <c r="M87" s="77"/>
      <c r="N87" s="77"/>
    </row>
    <row r="88" spans="1:14" x14ac:dyDescent="0.4">
      <c r="A88" s="121" t="s">
        <v>148</v>
      </c>
      <c r="B88" s="129"/>
      <c r="C88" s="123">
        <v>0.42</v>
      </c>
      <c r="D88" s="123" t="s">
        <v>161</v>
      </c>
      <c r="E88" s="123">
        <v>1.3</v>
      </c>
      <c r="F88" s="124" t="s">
        <v>274</v>
      </c>
      <c r="G88" s="130"/>
      <c r="H88" s="129"/>
      <c r="I88" s="131"/>
    </row>
    <row r="89" spans="1:14" ht="15" thickBot="1" x14ac:dyDescent="0.45">
      <c r="A89" s="132" t="s">
        <v>149</v>
      </c>
      <c r="B89" s="133"/>
      <c r="C89" s="134">
        <v>0.56999999999999995</v>
      </c>
      <c r="D89" s="135" t="s">
        <v>161</v>
      </c>
      <c r="E89" s="134">
        <v>1.56</v>
      </c>
      <c r="F89" s="134" t="s">
        <v>274</v>
      </c>
      <c r="G89" s="133"/>
      <c r="H89" s="133"/>
      <c r="I89" s="136"/>
    </row>
    <row r="93" spans="1:14" x14ac:dyDescent="0.4">
      <c r="A93" s="121" t="s">
        <v>208</v>
      </c>
    </row>
    <row r="94" spans="1:14" x14ac:dyDescent="0.4">
      <c r="A94" s="121" t="s">
        <v>209</v>
      </c>
    </row>
    <row r="95" spans="1:14" x14ac:dyDescent="0.4">
      <c r="A95" s="12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zoomScale="90" zoomScaleNormal="90" workbookViewId="0">
      <selection activeCell="G19" sqref="G19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1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7" t="s">
        <v>207</v>
      </c>
      <c r="B5" s="138" t="s">
        <v>250</v>
      </c>
      <c r="C5" s="139" t="str">
        <f>Calculateur!S2</f>
        <v>ΔStock moyen de long terme (tCO₂/ha)</v>
      </c>
      <c r="D5" s="139" t="str">
        <f>Calculateur!T2</f>
        <v>Δstock CO₂ 30 ans (tCO₂/ha)</v>
      </c>
      <c r="E5" s="139" t="s">
        <v>228</v>
      </c>
      <c r="F5" s="139" t="s">
        <v>239</v>
      </c>
      <c r="G5" s="139" t="s">
        <v>240</v>
      </c>
      <c r="H5" s="140" t="s">
        <v>241</v>
      </c>
      <c r="I5" s="141" t="s">
        <v>242</v>
      </c>
      <c r="J5" s="142" t="s">
        <v>243</v>
      </c>
      <c r="K5" s="143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4" t="str">
        <f>IF('Données projet'!$B$9="","",'Données projet'!$B$9)</f>
        <v>Chêne sessile</v>
      </c>
      <c r="B6" s="145">
        <f>'Données projet'!D9</f>
        <v>0.56100000000000005</v>
      </c>
      <c r="C6" s="146">
        <f ca="1">IF(OR('Données projet'!B9="",'Données projet'!C9="",'Données projet'!C9=0%),0,Calculateur!S3)</f>
        <v>654.0179680178212</v>
      </c>
      <c r="D6" s="146">
        <f>IF(OR('Données projet'!B9="",'Données projet'!C9="",'Données projet'!C9=0%),0,Calculateur!T3)</f>
        <v>289.42065570013369</v>
      </c>
      <c r="E6" s="146">
        <f ca="1">MIN(C6,D6)</f>
        <v>289.42065570013369</v>
      </c>
      <c r="F6" s="146">
        <f ca="1">E6*B6</f>
        <v>162.36498784777501</v>
      </c>
      <c r="G6" s="146">
        <f ca="1">F6*(100%-'Données projet'!$C$24)*(100%-'Données projet'!$C$25)*(100%-'Données projet'!$C$26)*(100%-'Données projet'!$C$27)</f>
        <v>131.51564015669777</v>
      </c>
      <c r="H6" s="147">
        <f>IF(OR('Données projet'!B9="",'Données projet'!C9="",'Données projet'!C9=0%),0,AVERAGE(Calculateur!$AC$3:$AC$33)*B6)</f>
        <v>0</v>
      </c>
      <c r="I6" s="148">
        <f>H6*(100%-'Données projet'!$C$24)*(100%-'Données projet'!$C$25)*(100%-'Données projet'!$C$26)*(100%-'Données projet'!$C$27)</f>
        <v>0</v>
      </c>
      <c r="J6" s="149">
        <f>IF(OR('Données projet'!B9="",'Données projet'!C9="",'Données projet'!C9=0%),0,SUM(Calculateur!$V$3:$V$33)*VLOOKUP('Données projet'!$B$9,Paramètres!$A$1:$I$89,9,0)*B6)</f>
        <v>0</v>
      </c>
      <c r="K6" s="150">
        <f>J6*(100%-'Données projet'!$C$24)*(100%-'Données projet'!$C$25)*(100%-'Données projet'!$C$26)*(100%-'Données projet'!$C$27)</f>
        <v>0</v>
      </c>
      <c r="L6" s="151">
        <f ca="1">G6+I6+K6</f>
        <v>131.51564015669777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2" t="str">
        <f>IF('Données projet'!$B$10="","",'Données projet'!$B$10)</f>
        <v>Pin laricio</v>
      </c>
      <c r="B7" s="153">
        <f>'Données projet'!D10</f>
        <v>0.49499999999999994</v>
      </c>
      <c r="C7" s="146">
        <f ca="1">IF(OR('Données projet'!B10="",'Données projet'!C10="",'Données projet'!C10=0%),0,Calculateur!AN3)</f>
        <v>447.44638185108147</v>
      </c>
      <c r="D7" s="146">
        <f>IF(OR('Données projet'!B10="",'Données projet'!C10="",'Données projet'!C10=0%),0,Calculateur!AO3)</f>
        <v>384.84260115068605</v>
      </c>
      <c r="E7" s="146">
        <f t="shared" ref="E7:E15" ca="1" si="0">MIN(C7,D7)</f>
        <v>384.84260115068605</v>
      </c>
      <c r="F7" s="146">
        <f t="shared" ref="F7:F15" ca="1" si="1">E7*B7</f>
        <v>190.49708756958958</v>
      </c>
      <c r="G7" s="146">
        <f ca="1">F7*(100%-'Données projet'!$C$24)*(100%-'Données projet'!$C$25)*(100%-'Données projet'!$C$26)*(100%-'Données projet'!$C$27)</f>
        <v>154.30264093136756</v>
      </c>
      <c r="H7" s="154">
        <f>IF(OR('Données projet'!B10="",'Données projet'!C10="",'Données projet'!C10=0%),0,AVERAGE(Calculateur!$AX$3:$AX$33)*B7)</f>
        <v>4.4812598931418188</v>
      </c>
      <c r="I7" s="148">
        <f>H7*(100%-'Données projet'!$C$24)*(100%-'Données projet'!$C$25)*(100%-'Données projet'!$C$26)*(100%-'Données projet'!$C$27)</f>
        <v>3.6298205134448733</v>
      </c>
      <c r="J7" s="149">
        <f>IF(OR('Données projet'!B10="",'Données projet'!C10="",'Données projet'!C10=0%),0,SUM(Calculateur!$AQ$3:$AQ$33)*VLOOKUP('Données projet'!$B$10,Paramètres!$A$1:$I$89,9,0)*B7)</f>
        <v>33.709054500000001</v>
      </c>
      <c r="K7" s="150">
        <f>J7*(100%-'Données projet'!$C$24)*(100%-'Données projet'!$C$25)*(100%-'Données projet'!$C$26)*(100%-'Données projet'!$C$27)</f>
        <v>27.304334145000002</v>
      </c>
      <c r="L7" s="151">
        <f t="shared" ref="L7:L15" ca="1" si="2">G7+I7+K7</f>
        <v>185.23679558981246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2" t="str">
        <f>IF('Données projet'!$B$11="","",'Données projet'!$B$11)</f>
        <v>Chêne pubescent</v>
      </c>
      <c r="B8" s="153">
        <f>'Données projet'!D11</f>
        <v>1.089</v>
      </c>
      <c r="C8" s="146">
        <f ca="1">IF(OR('Données projet'!B11="",'Données projet'!C11="",'Données projet'!C11=0%),0,Calculateur!BI3)</f>
        <v>724.99760740673071</v>
      </c>
      <c r="D8" s="146">
        <f>IF(OR('Données projet'!B11="",'Données projet'!C11="",'Données projet'!C11=0%),0,Calculateur!BJ3)</f>
        <v>318.24184272438208</v>
      </c>
      <c r="E8" s="146">
        <f t="shared" ca="1" si="0"/>
        <v>318.24184272438208</v>
      </c>
      <c r="F8" s="146">
        <f t="shared" ca="1" si="1"/>
        <v>346.56536672685206</v>
      </c>
      <c r="G8" s="146">
        <f ca="1">F8*(100%-'Données projet'!$C$24)*(100%-'Données projet'!$C$25)*(100%-'Données projet'!$C$26)*(100%-'Données projet'!$C$27)</f>
        <v>280.7179470487502</v>
      </c>
      <c r="H8" s="154">
        <f>IF(OR('Données projet'!B11="",'Données projet'!C11="",'Données projet'!C11=0%),0,AVERAGE(Calculateur!$BS$3:$BS$33)*B8)</f>
        <v>0</v>
      </c>
      <c r="I8" s="148">
        <f>H8*(100%-'Données projet'!$C$24)*(100%-'Données projet'!$C$25)*(100%-'Données projet'!$C$26)*(100%-'Données projet'!$C$27)</f>
        <v>0</v>
      </c>
      <c r="J8" s="149">
        <f>IF(OR('Données projet'!B11="",'Données projet'!C11="",'Données projet'!C11=0%),0,SUM(Calculateur!$BL$3:$BL$33)*VLOOKUP('Données projet'!$B$11,Paramètres!$A$1:$I$89,9,0)*B8)</f>
        <v>0</v>
      </c>
      <c r="K8" s="150">
        <f>J8*(100%-'Données projet'!$C$24)*(100%-'Données projet'!$C$25)*(100%-'Données projet'!$C$26)*(100%-'Données projet'!$C$27)</f>
        <v>0</v>
      </c>
      <c r="L8" s="151">
        <f t="shared" ca="1" si="2"/>
        <v>280.7179470487502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2" t="str">
        <f>IF('Données projet'!$B$12="","",'Données projet'!$B$12)</f>
        <v>Charme</v>
      </c>
      <c r="B9" s="153">
        <f>'Données projet'!D12</f>
        <v>1.1549999999999998</v>
      </c>
      <c r="C9" s="146">
        <f ca="1">IF(OR('Données projet'!B12="",'Données projet'!C12="",'Données projet'!C12=0%),0,Calculateur!CD3)</f>
        <v>684.45757350513315</v>
      </c>
      <c r="D9" s="146">
        <f>IF(OR('Données projet'!B12="",'Données projet'!C12="",'Données projet'!C12=0%),0,Calculateur!CE3)</f>
        <v>301.78148341369194</v>
      </c>
      <c r="E9" s="146">
        <f t="shared" ca="1" si="0"/>
        <v>301.78148341369194</v>
      </c>
      <c r="F9" s="146">
        <f t="shared" ca="1" si="1"/>
        <v>348.55761334281414</v>
      </c>
      <c r="G9" s="146">
        <f ca="1">F9*(100%-'Données projet'!$C$24)*(100%-'Données projet'!$C$25)*(100%-'Données projet'!$C$26)*(100%-'Données projet'!$C$27)</f>
        <v>282.33166680767948</v>
      </c>
      <c r="H9" s="154">
        <f>IF(OR('Données projet'!B12="",'Données projet'!C12="",'Données projet'!C12=0%),0,AVERAGE(Calculateur!$CN$3:$CN$33)*B9)</f>
        <v>0</v>
      </c>
      <c r="I9" s="148">
        <f>H9*(100%-'Données projet'!$C$24)*(100%-'Données projet'!$C$25)*(100%-'Données projet'!$C$26)*(100%-'Données projet'!$C$27)</f>
        <v>0</v>
      </c>
      <c r="J9" s="149">
        <f>IF(OR('Données projet'!B12="",'Données projet'!C12="",'Données projet'!C12=0%),0,SUM(Calculateur!$CG$3:$CG$33)*VLOOKUP('Données projet'!$B$12,Paramètres!$A$1:$I$89,9,0)*B9)</f>
        <v>0</v>
      </c>
      <c r="K9" s="150">
        <f>J9*(100%-'Données projet'!$C$24)*(100%-'Données projet'!$C$25)*(100%-'Données projet'!$C$26)*(100%-'Données projet'!$C$27)</f>
        <v>0</v>
      </c>
      <c r="L9" s="151">
        <f t="shared" ca="1" si="2"/>
        <v>282.33166680767948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2" t="str">
        <f>IF('Données projet'!$B$13="","",'Données projet'!$B$13)</f>
        <v/>
      </c>
      <c r="B10" s="153">
        <f>'Données projet'!D13</f>
        <v>0</v>
      </c>
      <c r="C10" s="146">
        <f>IF(OR('Données projet'!B13="",'Données projet'!C13="",'Données projet'!C13=0%),0,Calculateur!CY3)</f>
        <v>0</v>
      </c>
      <c r="D10" s="146">
        <f>IF(OR('Données projet'!B13="",'Données projet'!C13="",'Données projet'!C13=0%),0,Calculateur!CZ3)</f>
        <v>0</v>
      </c>
      <c r="E10" s="146">
        <f t="shared" si="0"/>
        <v>0</v>
      </c>
      <c r="F10" s="146">
        <f t="shared" si="1"/>
        <v>0</v>
      </c>
      <c r="G10" s="146">
        <f>F10*(100%-'Données projet'!$C$24)*(100%-'Données projet'!$C$25)*(100%-'Données projet'!$C$26)*(100%-'Données projet'!$C$27)</f>
        <v>0</v>
      </c>
      <c r="H10" s="154">
        <f>IF(OR('Données projet'!B13="",'Données projet'!C13="",'Données projet'!C13=0%),0,AVERAGE(Calculateur!$DI$3:$DI$33)*B10)</f>
        <v>0</v>
      </c>
      <c r="I10" s="148">
        <f>H10*(100%-'Données projet'!$C$24)*(100%-'Données projet'!$C$25)*(100%-'Données projet'!$C$26)*(100%-'Données projet'!$C$27)</f>
        <v>0</v>
      </c>
      <c r="J10" s="149">
        <f>IF(OR('Données projet'!B13="",'Données projet'!C13="",'Données projet'!C13=0%),0,SUM(Calculateur!$DB$3:$DB$33)*VLOOKUP('Données projet'!$B$13,Paramètres!$A$1:$I$89,9,0)*B10)</f>
        <v>0</v>
      </c>
      <c r="K10" s="150">
        <f>J10*(100%-'Données projet'!$C$24)*(100%-'Données projet'!$C$25)*(100%-'Données projet'!$C$26)*(100%-'Données projet'!$C$27)</f>
        <v>0</v>
      </c>
      <c r="L10" s="151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2" t="str">
        <f>IF('Données projet'!$B$14="","",'Données projet'!$B$14)</f>
        <v/>
      </c>
      <c r="B11" s="153">
        <f>'Données projet'!D14</f>
        <v>0</v>
      </c>
      <c r="C11" s="146">
        <f>IF(OR('Données projet'!B14="",'Données projet'!C14="",'Données projet'!C14=0%),0,Calculateur!DT3)</f>
        <v>0</v>
      </c>
      <c r="D11" s="146">
        <f>IF(OR('Données projet'!B14="",'Données projet'!C14="",'Données projet'!C14=0%),0,Calculateur!DU3)</f>
        <v>0</v>
      </c>
      <c r="E11" s="146">
        <f t="shared" si="0"/>
        <v>0</v>
      </c>
      <c r="F11" s="146">
        <f t="shared" si="1"/>
        <v>0</v>
      </c>
      <c r="G11" s="146">
        <f>F11*(100%-'Données projet'!$C$24)*(100%-'Données projet'!$C$25)*(100%-'Données projet'!$C$26)*(100%-'Données projet'!$C$27)</f>
        <v>0</v>
      </c>
      <c r="H11" s="154">
        <f>IF(OR('Données projet'!B14="",'Données projet'!C14="",'Données projet'!C14=0%),0,AVERAGE(Calculateur!$ED$3:$ED$33)*B11)</f>
        <v>0</v>
      </c>
      <c r="I11" s="148">
        <f>H11*(100%-'Données projet'!$C$24)*(100%-'Données projet'!$C$25)*(100%-'Données projet'!$C$26)*(100%-'Données projet'!$C$27)</f>
        <v>0</v>
      </c>
      <c r="J11" s="149">
        <f>IF(OR('Données projet'!B14="",'Données projet'!C14="",'Données projet'!C14=0%),0,SUM(Calculateur!$DW$3:$DW$33)*VLOOKUP('Données projet'!$B$14,Paramètres!$A$1:$I$89,9,0)*B11)</f>
        <v>0</v>
      </c>
      <c r="K11" s="150">
        <f>J11*(100%-'Données projet'!$C$24)*(100%-'Données projet'!$C$25)*(100%-'Données projet'!$C$26)*(100%-'Données projet'!$C$27)</f>
        <v>0</v>
      </c>
      <c r="L11" s="151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2" t="str">
        <f>IF('Données projet'!$B$15="","",'Données projet'!$B$15)</f>
        <v/>
      </c>
      <c r="B12" s="153">
        <f>'Données projet'!D15</f>
        <v>0</v>
      </c>
      <c r="C12" s="146">
        <f>IF(OR('Données projet'!B15="",'Données projet'!C15="",'Données projet'!C15=0%),0,Calculateur!EO3)</f>
        <v>0</v>
      </c>
      <c r="D12" s="146">
        <f>IF(OR('Données projet'!B15="",'Données projet'!C15="",'Données projet'!C15=0%),0,Calculateur!EP3)</f>
        <v>0</v>
      </c>
      <c r="E12" s="146">
        <f t="shared" si="0"/>
        <v>0</v>
      </c>
      <c r="F12" s="146">
        <f t="shared" si="1"/>
        <v>0</v>
      </c>
      <c r="G12" s="146">
        <f>F12*(100%-'Données projet'!$C$24)*(100%-'Données projet'!$C$25)*(100%-'Données projet'!$C$26)*(100%-'Données projet'!$C$27)</f>
        <v>0</v>
      </c>
      <c r="H12" s="154">
        <f>IF(OR('Données projet'!B15="",'Données projet'!C15="",'Données projet'!C15=0%),0,AVERAGE(Calculateur!$EY$3:$EY$33)*B12)</f>
        <v>0</v>
      </c>
      <c r="I12" s="148">
        <f>H12*(100%-'Données projet'!$C$24)*(100%-'Données projet'!$C$25)*(100%-'Données projet'!$C$26)*(100%-'Données projet'!$C$27)</f>
        <v>0</v>
      </c>
      <c r="J12" s="149">
        <f>IF(OR('Données projet'!B15="",'Données projet'!C15="",'Données projet'!C15=0%),0,SUM(Calculateur!$ER$3:$ER$33)*VLOOKUP('Données projet'!$B$15,Paramètres!$A$1:$I$89,9,0)*B12)</f>
        <v>0</v>
      </c>
      <c r="K12" s="150">
        <f>J12*(100%-'Données projet'!$C$24)*(100%-'Données projet'!$C$25)*(100%-'Données projet'!$C$26)*(100%-'Données projet'!$C$27)</f>
        <v>0</v>
      </c>
      <c r="L12" s="151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2" t="str">
        <f>IF('Données projet'!$B$16="","",'Données projet'!$B$16)</f>
        <v/>
      </c>
      <c r="B13" s="153">
        <f>'Données projet'!D16</f>
        <v>0</v>
      </c>
      <c r="C13" s="146">
        <f>IF(OR('Données projet'!B16="",'Données projet'!C16="",'Données projet'!C16=0%),0,Calculateur!FJ3)</f>
        <v>0</v>
      </c>
      <c r="D13" s="146">
        <f>IF(OR('Données projet'!B16="",'Données projet'!C16="",'Données projet'!C16=0%),0,Calculateur!FK3)</f>
        <v>0</v>
      </c>
      <c r="E13" s="146">
        <f t="shared" si="0"/>
        <v>0</v>
      </c>
      <c r="F13" s="146">
        <f t="shared" si="1"/>
        <v>0</v>
      </c>
      <c r="G13" s="146">
        <f>F13*(100%-'Données projet'!$C$24)*(100%-'Données projet'!$C$25)*(100%-'Données projet'!$C$26)*(100%-'Données projet'!$C$27)</f>
        <v>0</v>
      </c>
      <c r="H13" s="154">
        <f>IF(OR('Données projet'!B16="",'Données projet'!C16="",'Données projet'!C16=0%),0,AVERAGE(Calculateur!$FT$3:$FT$33)*B13)</f>
        <v>0</v>
      </c>
      <c r="I13" s="148">
        <f>H13*(100%-'Données projet'!$C$24)*(100%-'Données projet'!$C$25)*(100%-'Données projet'!$C$26)*(100%-'Données projet'!$C$27)</f>
        <v>0</v>
      </c>
      <c r="J13" s="149">
        <f>IF(OR('Données projet'!C16="",'Données projet'!C16=0%),0,SUM(Calculateur!$FM$3:$FM$33)*VLOOKUP('Données projet'!$B$16,Paramètres!$A$1:$I$89,9,0)*B13)</f>
        <v>0</v>
      </c>
      <c r="K13" s="150">
        <f>J13*(100%-'Données projet'!$C$24)*(100%-'Données projet'!$C$25)*(100%-'Données projet'!$C$26)*(100%-'Données projet'!$C$27)</f>
        <v>0</v>
      </c>
      <c r="L13" s="151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2" t="str">
        <f>IF('Données projet'!$B$17="","",'Données projet'!$B$17)</f>
        <v/>
      </c>
      <c r="B14" s="153">
        <f>'Données projet'!D17</f>
        <v>0</v>
      </c>
      <c r="C14" s="146">
        <f>IF(OR('Données projet'!B17="",'Données projet'!C17="",'Données projet'!C17=0%),0,Calculateur!GE3)</f>
        <v>0</v>
      </c>
      <c r="D14" s="146">
        <f>IF(OR('Données projet'!B17="",'Données projet'!C17="",'Données projet'!C17=0%),0,Calculateur!GF3)</f>
        <v>0</v>
      </c>
      <c r="E14" s="146">
        <f t="shared" si="0"/>
        <v>0</v>
      </c>
      <c r="F14" s="146">
        <f t="shared" si="1"/>
        <v>0</v>
      </c>
      <c r="G14" s="146">
        <f>F14*(100%-'Données projet'!$C$24)*(100%-'Données projet'!$C$25)*(100%-'Données projet'!$C$26)*(100%-'Données projet'!$C$27)</f>
        <v>0</v>
      </c>
      <c r="H14" s="154">
        <f>IF(OR('Données projet'!B17="",'Données projet'!C17="",'Données projet'!C17=0%),0,AVERAGE(Calculateur!$GO$3:$GO$33)*B14)</f>
        <v>0</v>
      </c>
      <c r="I14" s="148">
        <f>H14*(100%-'Données projet'!$C$24)*(100%-'Données projet'!$C$25)*(100%-'Données projet'!$C$26)*(100%-'Données projet'!$C$27)</f>
        <v>0</v>
      </c>
      <c r="J14" s="149">
        <f>IF(OR('Données projet'!B17="",'Données projet'!C17="",'Données projet'!C17=0%),0,SUM(Calculateur!$GH$3:$GH$33)*VLOOKUP('Données projet'!$B$17,Paramètres!$A$1:$I$89,9,0)*B14)</f>
        <v>0</v>
      </c>
      <c r="K14" s="150">
        <f>J14*(100%-'Données projet'!$C$24)*(100%-'Données projet'!$C$25)*(100%-'Données projet'!$C$26)*(100%-'Données projet'!$C$27)</f>
        <v>0</v>
      </c>
      <c r="L14" s="151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5" t="str">
        <f>IF('Données projet'!B18="","",'Données projet'!B18)</f>
        <v/>
      </c>
      <c r="B15" s="156">
        <f>'Données projet'!D18</f>
        <v>0</v>
      </c>
      <c r="C15" s="157">
        <f>IF(OR('Données projet'!B18="",'Données projet'!C18="",'Données projet'!C18=0%),0,Calculateur!GZ3)</f>
        <v>0</v>
      </c>
      <c r="D15" s="157">
        <f>IF(OR('Données projet'!B18="",'Données projet'!C18="",'Données projet'!C18=0%),0,Calculateur!HA3)</f>
        <v>0</v>
      </c>
      <c r="E15" s="157">
        <f t="shared" si="0"/>
        <v>0</v>
      </c>
      <c r="F15" s="158">
        <f t="shared" si="1"/>
        <v>0</v>
      </c>
      <c r="G15" s="158">
        <f>F15*(100%-'Données projet'!$C$24)*(100%-'Données projet'!$C$25)*(100%-'Données projet'!$C$26)*(100%-'Données projet'!$C$27)</f>
        <v>0</v>
      </c>
      <c r="H15" s="159">
        <f>IF(OR('Données projet'!B18="",'Données projet'!C18="",'Données projet'!C18=0%),0,AVERAGE(Calculateur!$HJ$3:$HJ$33)*B15)</f>
        <v>0</v>
      </c>
      <c r="I15" s="160">
        <f>H15*(100%-'Données projet'!$C$24)*(100%-'Données projet'!$C$25)*(100%-'Données projet'!$C$26)*(100%-'Données projet'!$C$27)</f>
        <v>0</v>
      </c>
      <c r="J15" s="161">
        <f>IF(OR('Données projet'!B18="",'Données projet'!C18="",'Données projet'!C18=0%),0,SUM(Calculateur!$HC$3:$HC$33)*VLOOKUP('Données projet'!$B$18,Paramètres!$A$1:$I$89,9,0)*B15)</f>
        <v>0</v>
      </c>
      <c r="K15" s="162">
        <f>J15*(100%-'Données projet'!$C$24)*(100%-'Données projet'!$C$25)*(100%-'Données projet'!$C$26)*(100%-'Données projet'!$C$27)</f>
        <v>0</v>
      </c>
      <c r="L15" s="163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8"/>
      <c r="B16" s="212"/>
      <c r="C16" s="213"/>
      <c r="D16" s="23"/>
      <c r="E16" s="23"/>
      <c r="F16" s="164">
        <f t="shared" ref="F16:L16" ca="1" si="3">SUM(F6:F15)</f>
        <v>1047.9850554870309</v>
      </c>
      <c r="G16" s="165">
        <f t="shared" ca="1" si="3"/>
        <v>848.86789494449499</v>
      </c>
      <c r="H16" s="166">
        <f t="shared" si="3"/>
        <v>4.4812598931418188</v>
      </c>
      <c r="I16" s="166">
        <f t="shared" si="3"/>
        <v>3.6298205134448733</v>
      </c>
      <c r="J16" s="167">
        <f t="shared" si="3"/>
        <v>33.709054500000001</v>
      </c>
      <c r="K16" s="167">
        <f t="shared" si="3"/>
        <v>27.304334145000002</v>
      </c>
      <c r="L16" s="168">
        <f t="shared" ca="1" si="3"/>
        <v>879.80204960293986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8"/>
      <c r="B17" s="212"/>
      <c r="C17" s="213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8"/>
      <c r="B18" s="212"/>
      <c r="C18" s="213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69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69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69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69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69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69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69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69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69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69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6" zoomScale="80" zoomScaleNormal="80" workbookViewId="0">
      <selection activeCell="E129" sqref="E129:E133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535156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1"/>
      <c r="I6" s="171"/>
      <c r="J6" s="171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2" t="s">
        <v>311</v>
      </c>
      <c r="C9" s="23"/>
      <c r="D9" s="23"/>
      <c r="E9" s="23"/>
      <c r="F9" s="229"/>
      <c r="G9" s="92" t="s">
        <v>314</v>
      </c>
      <c r="J9" s="199"/>
      <c r="K9" s="207"/>
      <c r="O9" s="23"/>
      <c r="P9" s="23"/>
      <c r="Q9" s="233"/>
      <c r="R9" s="23"/>
      <c r="S9" s="4"/>
      <c r="T9" s="35" t="s">
        <v>262</v>
      </c>
      <c r="U9" s="175" t="s">
        <v>249</v>
      </c>
      <c r="V9" s="35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2" t="s">
        <v>317</v>
      </c>
      <c r="C10" s="23"/>
      <c r="D10" s="23"/>
      <c r="E10" s="23"/>
      <c r="F10" s="229"/>
      <c r="G10" s="92" t="s">
        <v>316</v>
      </c>
      <c r="J10" s="199"/>
      <c r="K10" s="207"/>
      <c r="O10" s="23"/>
      <c r="P10" s="23"/>
      <c r="Q10" s="233"/>
      <c r="R10" s="23"/>
      <c r="S10" s="35" t="str">
        <f>B14</f>
        <v>Chêne sessile</v>
      </c>
      <c r="T10" s="176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657.68968547477937</v>
      </c>
      <c r="U10" s="177">
        <f>'Données projet'!D9</f>
        <v>0.56100000000000005</v>
      </c>
      <c r="V10" s="176">
        <f>U10*T10</f>
        <v>368.96391355135125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2" t="s">
        <v>312</v>
      </c>
      <c r="B11" s="23"/>
      <c r="C11" s="23"/>
      <c r="D11" s="23"/>
      <c r="E11" s="23"/>
      <c r="F11" s="229"/>
      <c r="G11" s="92" t="s">
        <v>313</v>
      </c>
      <c r="J11" s="199"/>
      <c r="K11" s="207"/>
      <c r="M11" s="4"/>
      <c r="N11" s="4"/>
      <c r="O11" s="23"/>
      <c r="P11" s="23"/>
      <c r="Q11" s="233"/>
      <c r="R11" s="23"/>
      <c r="S11" s="35" t="str">
        <f>B45</f>
        <v>Pin laricio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2410.4934359182243</v>
      </c>
      <c r="U11" s="177">
        <f>'Données projet'!D10</f>
        <v>0.49499999999999994</v>
      </c>
      <c r="V11" s="176">
        <f t="shared" ref="V11" si="0">U11*T11</f>
        <v>1193.1942507795209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5" t="str">
        <f>B76</f>
        <v>Chêne pubescent</v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657.68968547477937</v>
      </c>
      <c r="U12" s="177">
        <f>'Données projet'!D11</f>
        <v>1.089</v>
      </c>
      <c r="V12" s="176">
        <f t="shared" ref="V12:V19" si="1">U12*T12</f>
        <v>716.22406748203468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29"/>
      <c r="J13" s="23"/>
      <c r="K13" s="207"/>
      <c r="L13" s="92" t="s">
        <v>257</v>
      </c>
      <c r="M13" s="23"/>
      <c r="N13" s="23"/>
      <c r="O13" s="23"/>
      <c r="P13" s="23"/>
      <c r="Q13" s="233"/>
      <c r="R13" s="23"/>
      <c r="S13" s="35" t="str">
        <f>B107</f>
        <v>Charme</v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657.68968547477937</v>
      </c>
      <c r="U13" s="177">
        <f>'Données projet'!D12</f>
        <v>1.1549999999999998</v>
      </c>
      <c r="V13" s="176">
        <f t="shared" si="1"/>
        <v>759.63158672336999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5" t="s">
        <v>165</v>
      </c>
      <c r="B14" s="173" t="str">
        <f>IF('Données projet'!$B$9="","",'Données projet'!$B$9)</f>
        <v>Chêne sessile</v>
      </c>
      <c r="C14" s="4"/>
      <c r="D14" s="4"/>
      <c r="E14" s="4"/>
      <c r="F14" s="229"/>
      <c r="G14" s="23"/>
      <c r="H14" s="35" t="s">
        <v>178</v>
      </c>
      <c r="I14" s="35" t="s">
        <v>290</v>
      </c>
      <c r="J14" s="200"/>
      <c r="K14" s="172"/>
      <c r="L14" s="201"/>
      <c r="M14" s="23"/>
      <c r="N14" s="23"/>
      <c r="O14" s="4"/>
      <c r="P14" s="4"/>
      <c r="Q14" s="234"/>
      <c r="R14" s="4"/>
      <c r="S14" s="35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7">
        <f>'Données projet'!D13</f>
        <v>0</v>
      </c>
      <c r="V14" s="176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29"/>
      <c r="G15" s="303" t="s">
        <v>318</v>
      </c>
      <c r="H15" s="189"/>
      <c r="I15" s="190"/>
      <c r="J15" s="201"/>
      <c r="K15" s="207"/>
      <c r="L15" s="201"/>
      <c r="M15" s="23"/>
      <c r="N15" s="23"/>
      <c r="O15" s="23"/>
      <c r="P15" s="23"/>
      <c r="Q15" s="233"/>
      <c r="R15" s="23"/>
      <c r="S15" s="35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7">
        <f>'Données projet'!D14</f>
        <v>0</v>
      </c>
      <c r="V15" s="176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5" t="s">
        <v>180</v>
      </c>
      <c r="B16" s="47" t="s">
        <v>256</v>
      </c>
      <c r="C16" s="47" t="s">
        <v>255</v>
      </c>
      <c r="D16" s="35" t="s">
        <v>252</v>
      </c>
      <c r="E16" s="35" t="s">
        <v>320</v>
      </c>
      <c r="F16" s="229"/>
      <c r="G16" s="303"/>
      <c r="H16" s="189"/>
      <c r="I16" s="190"/>
      <c r="J16" s="201"/>
      <c r="K16" s="207"/>
      <c r="L16" s="300" t="s">
        <v>254</v>
      </c>
      <c r="M16" s="301"/>
      <c r="N16" s="2"/>
      <c r="O16" s="23"/>
      <c r="P16" s="23"/>
      <c r="Q16" s="233"/>
      <c r="R16" s="23"/>
      <c r="S16" s="35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7">
        <f>'Données projet'!D15</f>
        <v>0</v>
      </c>
      <c r="V16" s="176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8">
        <v>0</v>
      </c>
      <c r="B17" s="198" t="s">
        <v>132</v>
      </c>
      <c r="C17" s="197" t="s">
        <v>132</v>
      </c>
      <c r="D17" s="196" t="s">
        <v>132</v>
      </c>
      <c r="E17" s="192"/>
      <c r="F17" s="229"/>
      <c r="G17" s="303"/>
      <c r="J17" s="201"/>
      <c r="K17" s="207"/>
      <c r="L17" s="260" t="s">
        <v>289</v>
      </c>
      <c r="M17" s="262"/>
      <c r="N17" s="174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5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7">
        <f>'Données projet'!D16</f>
        <v>0</v>
      </c>
      <c r="V17" s="176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8">
        <v>1</v>
      </c>
      <c r="B18" s="198" t="s">
        <v>132</v>
      </c>
      <c r="C18" s="197" t="s">
        <v>132</v>
      </c>
      <c r="D18" s="196" t="s">
        <v>132</v>
      </c>
      <c r="E18" s="192"/>
      <c r="F18" s="229"/>
      <c r="G18" s="303"/>
      <c r="J18" s="201"/>
      <c r="K18" s="207"/>
      <c r="L18" s="260" t="s">
        <v>255</v>
      </c>
      <c r="M18" s="262"/>
      <c r="N18" s="191"/>
      <c r="O18" s="23"/>
      <c r="P18" s="23"/>
      <c r="Q18" s="233"/>
      <c r="R18" s="23"/>
      <c r="S18" s="35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7">
        <f>'Données projet'!D17</f>
        <v>0</v>
      </c>
      <c r="V18" s="176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8">
        <v>2</v>
      </c>
      <c r="B19" s="198" t="s">
        <v>132</v>
      </c>
      <c r="C19" s="197" t="s">
        <v>132</v>
      </c>
      <c r="D19" s="196" t="s">
        <v>132</v>
      </c>
      <c r="E19" s="192"/>
      <c r="F19" s="229"/>
      <c r="G19" s="303"/>
      <c r="H19" s="211" t="s">
        <v>178</v>
      </c>
      <c r="I19" s="211" t="s">
        <v>287</v>
      </c>
      <c r="J19" s="92"/>
      <c r="K19" s="172"/>
      <c r="L19" s="300" t="s">
        <v>288</v>
      </c>
      <c r="M19" s="301"/>
      <c r="N19" s="178">
        <f>N17*N18</f>
        <v>0</v>
      </c>
      <c r="O19" s="23"/>
      <c r="P19" s="4"/>
      <c r="Q19" s="234"/>
      <c r="R19" s="4"/>
      <c r="S19" s="35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7">
        <f>'Données projet'!D18</f>
        <v>0</v>
      </c>
      <c r="V19" s="176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8">
        <v>3</v>
      </c>
      <c r="B20" s="198" t="s">
        <v>132</v>
      </c>
      <c r="C20" s="197" t="s">
        <v>132</v>
      </c>
      <c r="D20" s="196" t="s">
        <v>132</v>
      </c>
      <c r="E20" s="192"/>
      <c r="F20" s="229"/>
      <c r="G20" s="303"/>
      <c r="H20" s="189">
        <v>0</v>
      </c>
      <c r="I20" s="190">
        <f>20733+18733</f>
        <v>39466</v>
      </c>
      <c r="J20" s="4"/>
      <c r="K20" s="172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8">
        <v>4</v>
      </c>
      <c r="B21" s="198" t="s">
        <v>132</v>
      </c>
      <c r="C21" s="197" t="s">
        <v>132</v>
      </c>
      <c r="D21" s="196" t="s">
        <v>132</v>
      </c>
      <c r="E21" s="192"/>
      <c r="F21" s="229"/>
      <c r="H21" s="189">
        <v>1</v>
      </c>
      <c r="I21" s="190">
        <v>1940</v>
      </c>
      <c r="K21" s="172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8">
        <v>5</v>
      </c>
      <c r="B22" s="198" t="s">
        <v>132</v>
      </c>
      <c r="C22" s="197" t="s">
        <v>132</v>
      </c>
      <c r="D22" s="196" t="s">
        <v>132</v>
      </c>
      <c r="E22" s="192"/>
      <c r="F22" s="229"/>
      <c r="H22" s="189">
        <v>2</v>
      </c>
      <c r="I22" s="190">
        <v>1940</v>
      </c>
      <c r="K22" s="172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79">
        <f>'Données projet'!A36</f>
        <v>42</v>
      </c>
      <c r="B23" s="180">
        <f>'Données projet'!D36</f>
        <v>44.510000000000005</v>
      </c>
      <c r="C23" s="192">
        <v>12.5</v>
      </c>
      <c r="D23" s="181">
        <f>B23*C23</f>
        <v>556.37500000000011</v>
      </c>
      <c r="E23" s="192">
        <v>60</v>
      </c>
      <c r="F23" s="229"/>
      <c r="H23" s="189">
        <v>3</v>
      </c>
      <c r="I23" s="190">
        <v>1940</v>
      </c>
      <c r="K23" s="207"/>
      <c r="L23" s="302" t="s">
        <v>260</v>
      </c>
      <c r="M23" s="302"/>
      <c r="N23" s="302"/>
      <c r="O23" s="23"/>
      <c r="P23" s="23"/>
      <c r="Q23" s="233"/>
      <c r="R23" s="23"/>
      <c r="S23" s="35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-150167.12569960239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79">
        <f>'Données projet'!A37</f>
        <v>50</v>
      </c>
      <c r="B24" s="180">
        <f>'Données projet'!D37</f>
        <v>37.54000000000002</v>
      </c>
      <c r="C24" s="192">
        <v>12.5</v>
      </c>
      <c r="D24" s="181">
        <f t="shared" ref="D24:D42" si="2">B24*C24</f>
        <v>469.25000000000023</v>
      </c>
      <c r="E24" s="192">
        <v>60</v>
      </c>
      <c r="F24" s="232"/>
      <c r="H24" s="189">
        <v>4</v>
      </c>
      <c r="I24" s="190">
        <v>1940</v>
      </c>
      <c r="K24" s="207"/>
      <c r="O24" s="23"/>
      <c r="P24" s="23"/>
      <c r="Q24" s="233"/>
      <c r="R24" s="23"/>
      <c r="S24" s="35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11107.247495883437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79">
        <f>'Données projet'!A38</f>
        <v>58</v>
      </c>
      <c r="B25" s="180">
        <f>'Données projet'!D38</f>
        <v>47.789999999999992</v>
      </c>
      <c r="C25" s="192">
        <v>12.5</v>
      </c>
      <c r="D25" s="181">
        <f t="shared" si="2"/>
        <v>597.37499999999989</v>
      </c>
      <c r="E25" s="192">
        <v>60</v>
      </c>
      <c r="F25" s="232"/>
      <c r="H25" s="189"/>
      <c r="I25" s="190"/>
      <c r="K25" s="207"/>
      <c r="L25" s="129" t="s">
        <v>285</v>
      </c>
      <c r="M25" s="129"/>
      <c r="N25" s="129"/>
      <c r="O25" s="129"/>
      <c r="P25" s="191">
        <v>150</v>
      </c>
      <c r="Q25" s="233"/>
      <c r="R25" s="23"/>
      <c r="S25" s="185" t="s">
        <v>266</v>
      </c>
      <c r="T25" s="299">
        <f ca="1">T23-T24</f>
        <v>-161274.37319548582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79">
        <f>'Données projet'!A39</f>
        <v>66</v>
      </c>
      <c r="B26" s="180">
        <f>'Données projet'!D39</f>
        <v>53.679999999999978</v>
      </c>
      <c r="C26" s="192">
        <v>45.375</v>
      </c>
      <c r="D26" s="181">
        <f t="shared" si="2"/>
        <v>2435.7299999999991</v>
      </c>
      <c r="E26" s="192">
        <v>60</v>
      </c>
      <c r="F26" s="232"/>
      <c r="G26" s="228"/>
      <c r="H26" s="189"/>
      <c r="I26" s="190"/>
      <c r="K26" s="207"/>
      <c r="L26" s="286" t="s">
        <v>258</v>
      </c>
      <c r="M26" s="287"/>
      <c r="N26" s="287"/>
      <c r="O26" s="287"/>
      <c r="P26" s="288"/>
      <c r="Q26" s="233"/>
      <c r="R26" s="23"/>
      <c r="S26" s="185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79">
        <f>'Données projet'!A40</f>
        <v>74</v>
      </c>
      <c r="B27" s="180">
        <f>'Données projet'!D40</f>
        <v>51.339999999999975</v>
      </c>
      <c r="C27" s="192">
        <v>45.375</v>
      </c>
      <c r="D27" s="181">
        <f t="shared" si="2"/>
        <v>2329.5524999999989</v>
      </c>
      <c r="E27" s="192">
        <v>60</v>
      </c>
      <c r="F27" s="232"/>
      <c r="G27" s="228"/>
      <c r="H27" s="189"/>
      <c r="I27" s="190"/>
      <c r="K27" s="207"/>
      <c r="L27" s="289"/>
      <c r="M27" s="290"/>
      <c r="N27" s="290"/>
      <c r="O27" s="290"/>
      <c r="P27" s="291"/>
      <c r="Q27" s="233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79">
        <f>'Données projet'!A41</f>
        <v>84</v>
      </c>
      <c r="B28" s="180">
        <f>'Données projet'!D41</f>
        <v>66.69</v>
      </c>
      <c r="C28" s="192">
        <v>45.375</v>
      </c>
      <c r="D28" s="181">
        <f t="shared" si="2"/>
        <v>3026.0587499999997</v>
      </c>
      <c r="E28" s="192">
        <v>60</v>
      </c>
      <c r="F28" s="232"/>
      <c r="G28" s="204"/>
      <c r="H28" s="189"/>
      <c r="I28" s="190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79">
        <f>'Données projet'!A42</f>
        <v>94</v>
      </c>
      <c r="B29" s="180">
        <f>'Données projet'!D42</f>
        <v>67.350000000000023</v>
      </c>
      <c r="C29" s="192">
        <v>45.375</v>
      </c>
      <c r="D29" s="181">
        <f t="shared" si="2"/>
        <v>3056.0062500000008</v>
      </c>
      <c r="E29" s="192">
        <v>60</v>
      </c>
      <c r="F29" s="232"/>
      <c r="G29" s="202"/>
      <c r="H29" s="189"/>
      <c r="I29" s="190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79">
        <f>'Données projet'!A43</f>
        <v>104</v>
      </c>
      <c r="B30" s="180">
        <f>'Données projet'!D43</f>
        <v>66.089999999999975</v>
      </c>
      <c r="C30" s="192">
        <v>45.375</v>
      </c>
      <c r="D30" s="181">
        <f t="shared" si="2"/>
        <v>2998.8337499999989</v>
      </c>
      <c r="E30" s="192">
        <v>60</v>
      </c>
      <c r="F30" s="232"/>
      <c r="G30" s="202"/>
      <c r="H30" s="189"/>
      <c r="I30" s="190"/>
      <c r="K30" s="182"/>
      <c r="L30" s="35" t="s">
        <v>259</v>
      </c>
      <c r="M30" s="183">
        <f ca="1">SUM(OFFSET($P$33,0,0,MIN('Données projet'!$E$9:$E$18)+1,1))</f>
        <v>3365.8325745101329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79">
        <f>'Données projet'!A44</f>
        <v>114</v>
      </c>
      <c r="B31" s="180">
        <f>'Données projet'!D44</f>
        <v>61.860000000000014</v>
      </c>
      <c r="C31" s="192">
        <v>45.375</v>
      </c>
      <c r="D31" s="181">
        <f t="shared" si="2"/>
        <v>2806.8975000000005</v>
      </c>
      <c r="E31" s="192">
        <v>60</v>
      </c>
      <c r="F31" s="232"/>
      <c r="G31" s="202"/>
      <c r="H31" s="189"/>
      <c r="I31" s="190"/>
      <c r="K31" s="172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79">
        <f>'Données projet'!A45</f>
        <v>124</v>
      </c>
      <c r="B32" s="180">
        <f>'Données projet'!D45</f>
        <v>57.81</v>
      </c>
      <c r="C32" s="192">
        <v>45.375</v>
      </c>
      <c r="D32" s="181">
        <f t="shared" si="2"/>
        <v>2623.1287500000003</v>
      </c>
      <c r="E32" s="192">
        <v>60</v>
      </c>
      <c r="F32" s="232"/>
      <c r="G32" s="202"/>
      <c r="H32" s="189"/>
      <c r="I32" s="190"/>
      <c r="K32" s="172"/>
      <c r="N32" s="4"/>
      <c r="O32" s="84" t="s">
        <v>178</v>
      </c>
      <c r="P32" s="84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79">
        <f>'Données projet'!A46</f>
        <v>134</v>
      </c>
      <c r="B33" s="180">
        <f>'Données projet'!D46</f>
        <v>60.779999999999973</v>
      </c>
      <c r="C33" s="192">
        <v>138</v>
      </c>
      <c r="D33" s="181">
        <f t="shared" si="2"/>
        <v>8387.6399999999958</v>
      </c>
      <c r="E33" s="192">
        <v>60</v>
      </c>
      <c r="F33" s="232"/>
      <c r="G33" s="202"/>
      <c r="H33" s="189"/>
      <c r="I33" s="190"/>
      <c r="K33" s="172"/>
      <c r="L33" s="4"/>
      <c r="M33" s="4"/>
      <c r="N33" s="4"/>
      <c r="O33" s="193">
        <v>0</v>
      </c>
      <c r="P33" s="184">
        <f t="shared" ref="P33:P64" si="3">$P$25/(1+$M$4)^O33</f>
        <v>150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79">
        <f>'Données projet'!A47</f>
        <v>144</v>
      </c>
      <c r="B34" s="180">
        <f>'Données projet'!D47</f>
        <v>61.800000000000068</v>
      </c>
      <c r="C34" s="192">
        <v>138</v>
      </c>
      <c r="D34" s="181">
        <f t="shared" si="2"/>
        <v>8528.4000000000087</v>
      </c>
      <c r="E34" s="192">
        <v>60</v>
      </c>
      <c r="F34" s="232"/>
      <c r="G34" s="202"/>
      <c r="H34" s="189"/>
      <c r="I34" s="190"/>
      <c r="K34" s="172"/>
      <c r="L34" s="97"/>
      <c r="M34" s="97"/>
      <c r="N34" s="249"/>
      <c r="O34" s="193">
        <f>IF(O33+1&lt;=MIN('Données projet'!$E$9:$E$18),O33+1,"STOP")</f>
        <v>1</v>
      </c>
      <c r="P34" s="184">
        <f t="shared" si="3"/>
        <v>143.54066985645935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79">
        <f>'Données projet'!A48</f>
        <v>154</v>
      </c>
      <c r="B35" s="180">
        <f>'Données projet'!D48</f>
        <v>61.050000000000011</v>
      </c>
      <c r="C35" s="192">
        <v>138</v>
      </c>
      <c r="D35" s="181">
        <f t="shared" si="2"/>
        <v>8424.9000000000015</v>
      </c>
      <c r="E35" s="192">
        <v>60</v>
      </c>
      <c r="F35" s="232"/>
      <c r="G35" s="202"/>
      <c r="H35" s="189"/>
      <c r="I35" s="190"/>
      <c r="K35" s="172"/>
      <c r="L35" s="97"/>
      <c r="M35" s="97"/>
      <c r="N35" s="249"/>
      <c r="O35" s="193">
        <f>IF(O34+1&lt;=MIN('Données projet'!$E$9:$E$18),O34+1,"STOP")</f>
        <v>2</v>
      </c>
      <c r="P35" s="184">
        <f t="shared" si="3"/>
        <v>137.35949268560705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79">
        <f>'Données projet'!A49</f>
        <v>164</v>
      </c>
      <c r="B36" s="180">
        <f>'Données projet'!D49</f>
        <v>66.020000000000095</v>
      </c>
      <c r="C36" s="192">
        <v>138</v>
      </c>
      <c r="D36" s="181">
        <f t="shared" si="2"/>
        <v>9110.760000000013</v>
      </c>
      <c r="E36" s="192">
        <v>60</v>
      </c>
      <c r="F36" s="232"/>
      <c r="G36" s="202"/>
      <c r="H36" s="189"/>
      <c r="I36" s="190"/>
      <c r="K36" s="172"/>
      <c r="L36" s="23"/>
      <c r="M36" s="23"/>
      <c r="N36" s="23"/>
      <c r="O36" s="193">
        <f>IF(O35+1&lt;=MIN('Données projet'!$E$9:$E$18),O35+1,"STOP")</f>
        <v>3</v>
      </c>
      <c r="P36" s="184">
        <f t="shared" si="3"/>
        <v>131.44449060823641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79">
        <f>'Données projet'!A50</f>
        <v>174</v>
      </c>
      <c r="B37" s="180">
        <f>'Données projet'!D50</f>
        <v>240</v>
      </c>
      <c r="C37" s="192">
        <v>156.375</v>
      </c>
      <c r="D37" s="181">
        <f t="shared" si="2"/>
        <v>37530</v>
      </c>
      <c r="E37" s="192">
        <v>60</v>
      </c>
      <c r="F37" s="232"/>
      <c r="G37" s="202"/>
      <c r="H37" s="189"/>
      <c r="I37" s="190"/>
      <c r="K37" s="172"/>
      <c r="L37" s="23"/>
      <c r="M37" s="23"/>
      <c r="N37" s="23"/>
      <c r="O37" s="193">
        <f>IF(O36+1&lt;=MIN('Données projet'!$E$9:$E$18),O36+1,"STOP")</f>
        <v>4</v>
      </c>
      <c r="P37" s="184">
        <f t="shared" si="3"/>
        <v>125.78420153898223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79">
        <f>'Données projet'!A51</f>
        <v>177</v>
      </c>
      <c r="B38" s="180">
        <f>'Données projet'!D51</f>
        <v>128.66000000000003</v>
      </c>
      <c r="C38" s="192">
        <v>156.375</v>
      </c>
      <c r="D38" s="181">
        <f t="shared" si="2"/>
        <v>20119.207500000004</v>
      </c>
      <c r="E38" s="192">
        <v>60</v>
      </c>
      <c r="F38" s="232"/>
      <c r="G38" s="202"/>
      <c r="H38" s="189"/>
      <c r="I38" s="190"/>
      <c r="K38" s="172"/>
      <c r="L38" s="23"/>
      <c r="M38" s="23"/>
      <c r="N38" s="23"/>
      <c r="O38" s="193">
        <f>IF(O37+1&lt;=MIN('Données projet'!$E$9:$E$18),O37+1,"STOP")</f>
        <v>5</v>
      </c>
      <c r="P38" s="184">
        <f t="shared" si="3"/>
        <v>120.36765697510262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79">
        <f>'Données projet'!A52</f>
        <v>180</v>
      </c>
      <c r="B39" s="180">
        <f>'Données projet'!D52</f>
        <v>86.97</v>
      </c>
      <c r="C39" s="192">
        <v>156.375</v>
      </c>
      <c r="D39" s="181">
        <f t="shared" si="2"/>
        <v>13599.93375</v>
      </c>
      <c r="E39" s="192">
        <v>60</v>
      </c>
      <c r="F39" s="232"/>
      <c r="G39" s="202"/>
      <c r="H39" s="189"/>
      <c r="I39" s="190"/>
      <c r="K39" s="207"/>
      <c r="L39" s="23"/>
      <c r="M39" s="23"/>
      <c r="N39" s="23"/>
      <c r="O39" s="193">
        <f>IF(O38+1&lt;=MIN('Données projet'!$E$9:$E$18),O38+1,"STOP")</f>
        <v>6</v>
      </c>
      <c r="P39" s="184">
        <f t="shared" si="3"/>
        <v>115.18436074172502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79">
        <f>'Données projet'!A53</f>
        <v>183</v>
      </c>
      <c r="B40" s="180">
        <f>'Données projet'!D53</f>
        <v>191.47</v>
      </c>
      <c r="C40" s="192">
        <v>156.375</v>
      </c>
      <c r="D40" s="181">
        <f t="shared" si="2"/>
        <v>29941.12125</v>
      </c>
      <c r="E40" s="192">
        <v>60</v>
      </c>
      <c r="F40" s="232"/>
      <c r="G40" s="202"/>
      <c r="H40" s="189"/>
      <c r="I40" s="190"/>
      <c r="K40" s="207"/>
      <c r="L40" s="23"/>
      <c r="M40" s="23"/>
      <c r="N40" s="23"/>
      <c r="O40" s="193">
        <f>IF(O39+1&lt;=MIN('Données projet'!$E$9:$E$18),O39+1,"STOP")</f>
        <v>7</v>
      </c>
      <c r="P40" s="184">
        <f t="shared" si="3"/>
        <v>110.22426865236844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79">
        <f>'Données projet'!A54</f>
        <v>0</v>
      </c>
      <c r="B41" s="180">
        <f>'Données projet'!D54</f>
        <v>0</v>
      </c>
      <c r="C41" s="192"/>
      <c r="D41" s="181">
        <f t="shared" si="2"/>
        <v>0</v>
      </c>
      <c r="E41" s="192"/>
      <c r="F41" s="232"/>
      <c r="G41" s="202"/>
      <c r="H41" s="189"/>
      <c r="I41" s="190"/>
      <c r="K41" s="207"/>
      <c r="L41" s="23"/>
      <c r="M41" s="23"/>
      <c r="N41" s="23"/>
      <c r="O41" s="193">
        <f>IF(O40+1&lt;=MIN('Données projet'!$E$9:$E$18),O40+1,"STOP")</f>
        <v>8</v>
      </c>
      <c r="P41" s="184">
        <f t="shared" si="3"/>
        <v>105.47776904532867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79">
        <f>'Données projet'!A55</f>
        <v>0</v>
      </c>
      <c r="B42" s="180">
        <f>'Données projet'!D55</f>
        <v>0</v>
      </c>
      <c r="C42" s="192"/>
      <c r="D42" s="181">
        <f t="shared" si="2"/>
        <v>0</v>
      </c>
      <c r="E42" s="192"/>
      <c r="F42" s="232"/>
      <c r="G42" s="202"/>
      <c r="H42" s="189"/>
      <c r="I42" s="190"/>
      <c r="K42" s="207"/>
      <c r="L42" s="23"/>
      <c r="M42" s="23"/>
      <c r="N42" s="23"/>
      <c r="O42" s="193">
        <f>IF(O41+1&lt;=MIN('Données projet'!$E$9:$E$18),O41+1,"STOP")</f>
        <v>9</v>
      </c>
      <c r="P42" s="184">
        <f t="shared" si="3"/>
        <v>100.93566415820926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6"/>
      <c r="B43" s="186"/>
      <c r="C43" s="186"/>
      <c r="D43" s="226"/>
      <c r="E43" s="226"/>
      <c r="F43" s="237"/>
      <c r="G43" s="202"/>
      <c r="H43" s="189"/>
      <c r="I43" s="190"/>
      <c r="K43" s="207"/>
      <c r="L43" s="23"/>
      <c r="M43" s="23"/>
      <c r="N43" s="23"/>
      <c r="O43" s="193">
        <f>IF(O42+1&lt;=MIN('Données projet'!$E$9:$E$18),O42+1,"STOP")</f>
        <v>10</v>
      </c>
      <c r="P43" s="184">
        <f t="shared" si="3"/>
        <v>96.589152304506499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29"/>
      <c r="G44" s="202"/>
      <c r="H44" s="189"/>
      <c r="I44" s="190"/>
      <c r="K44" s="207"/>
      <c r="L44" s="23"/>
      <c r="M44" s="23"/>
      <c r="N44" s="23"/>
      <c r="O44" s="193">
        <f>IF(O43+1&lt;=MIN('Données projet'!$E$9:$E$18),O43+1,"STOP")</f>
        <v>11</v>
      </c>
      <c r="P44" s="184">
        <f t="shared" si="3"/>
        <v>92.429810817709566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5" t="s">
        <v>166</v>
      </c>
      <c r="B45" s="173" t="str">
        <f>IF('Données projet'!$B$10="","",'Données projet'!$B$10)</f>
        <v>Pin laricio</v>
      </c>
      <c r="C45" s="4"/>
      <c r="D45" s="4"/>
      <c r="E45" s="4"/>
      <c r="F45" s="229"/>
      <c r="G45" s="202"/>
      <c r="H45" s="189"/>
      <c r="I45" s="190"/>
      <c r="J45" s="23"/>
      <c r="K45" s="207"/>
      <c r="L45" s="23"/>
      <c r="M45" s="23"/>
      <c r="N45" s="23"/>
      <c r="O45" s="193">
        <f>IF(O44+1&lt;=MIN('Données projet'!$E$9:$E$18),O44+1,"STOP")</f>
        <v>12</v>
      </c>
      <c r="P45" s="184">
        <f t="shared" si="3"/>
        <v>88.449579729865633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29"/>
      <c r="G46" s="202"/>
      <c r="H46" s="189"/>
      <c r="I46" s="190"/>
      <c r="J46" s="23"/>
      <c r="K46" s="207"/>
      <c r="L46" s="203"/>
      <c r="M46" s="203"/>
      <c r="N46" s="203"/>
      <c r="O46" s="193">
        <f>IF(O45+1&lt;=MIN('Données projet'!$E$9:$E$18),O45+1,"STOP")</f>
        <v>13</v>
      </c>
      <c r="P46" s="187">
        <f t="shared" si="3"/>
        <v>84.640746152981464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5" t="s">
        <v>180</v>
      </c>
      <c r="B47" s="47" t="s">
        <v>256</v>
      </c>
      <c r="C47" s="47" t="s">
        <v>255</v>
      </c>
      <c r="D47" s="35" t="s">
        <v>252</v>
      </c>
      <c r="E47" s="35" t="s">
        <v>320</v>
      </c>
      <c r="F47" s="230"/>
      <c r="G47" s="202"/>
      <c r="H47" s="189"/>
      <c r="I47" s="190"/>
      <c r="J47" s="23"/>
      <c r="K47" s="207"/>
      <c r="L47" s="4"/>
      <c r="M47" s="4"/>
      <c r="N47" s="4"/>
      <c r="O47" s="193">
        <f>IF(O46+1&lt;=MIN('Données projet'!$E$9:$E$18),O46+1,"STOP")</f>
        <v>14</v>
      </c>
      <c r="P47" s="184">
        <f t="shared" si="3"/>
        <v>80.995929332996624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8">
        <v>0</v>
      </c>
      <c r="B48" s="198" t="s">
        <v>132</v>
      </c>
      <c r="C48" s="197" t="s">
        <v>132</v>
      </c>
      <c r="D48" s="196" t="s">
        <v>132</v>
      </c>
      <c r="E48" s="192"/>
      <c r="F48" s="230"/>
      <c r="G48" s="202"/>
      <c r="H48" s="189"/>
      <c r="I48" s="190"/>
      <c r="J48" s="23"/>
      <c r="K48" s="207"/>
      <c r="L48" s="4"/>
      <c r="M48" s="4"/>
      <c r="N48" s="4"/>
      <c r="O48" s="193">
        <f>IF(O47+1&lt;=MIN('Données projet'!$E$9:$E$18),O47+1,"STOP")</f>
        <v>15</v>
      </c>
      <c r="P48" s="184">
        <f t="shared" si="3"/>
        <v>77.508066347365187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4" customFormat="1" ht="17.25" customHeight="1" x14ac:dyDescent="0.4">
      <c r="A49" s="48">
        <v>1</v>
      </c>
      <c r="B49" s="198" t="s">
        <v>132</v>
      </c>
      <c r="C49" s="197" t="s">
        <v>132</v>
      </c>
      <c r="D49" s="196" t="s">
        <v>132</v>
      </c>
      <c r="E49" s="192"/>
      <c r="F49" s="230"/>
      <c r="G49" s="203"/>
      <c r="H49" s="189"/>
      <c r="I49" s="190"/>
      <c r="J49" s="203"/>
      <c r="K49" s="209"/>
      <c r="L49" s="4"/>
      <c r="M49" s="4"/>
      <c r="N49" s="4"/>
      <c r="O49" s="193">
        <f>IF(O48+1&lt;=MIN('Données projet'!$E$9:$E$18),O48+1,"STOP")</f>
        <v>16</v>
      </c>
      <c r="P49" s="184">
        <f t="shared" si="3"/>
        <v>74.170398418531306</v>
      </c>
      <c r="Q49" s="235"/>
      <c r="R49" s="186"/>
      <c r="S49" s="186"/>
      <c r="T49" s="186"/>
      <c r="U49" s="186"/>
      <c r="V49" s="186"/>
      <c r="W49" s="186"/>
      <c r="X49" s="186"/>
      <c r="Y49" s="186"/>
      <c r="Z49" s="186"/>
      <c r="AA49" s="186"/>
      <c r="AB49" s="186"/>
      <c r="AC49" s="186"/>
      <c r="AD49" s="186"/>
      <c r="AE49" s="186"/>
      <c r="AF49" s="186"/>
      <c r="AG49" s="186"/>
      <c r="AH49" s="186"/>
      <c r="AI49" s="186"/>
      <c r="AJ49" s="186"/>
      <c r="AK49" s="186"/>
      <c r="AL49" s="186"/>
      <c r="AM49" s="186"/>
      <c r="AN49" s="186"/>
      <c r="AO49" s="186"/>
      <c r="AP49" s="186"/>
      <c r="AQ49" s="186"/>
      <c r="AR49" s="186"/>
      <c r="AS49" s="186"/>
      <c r="AT49" s="186"/>
      <c r="AU49" s="186"/>
      <c r="AV49" s="186"/>
      <c r="AW49" s="186"/>
      <c r="AX49" s="186"/>
      <c r="AY49" s="186"/>
      <c r="AZ49" s="186"/>
      <c r="BA49" s="186"/>
      <c r="BB49" s="186"/>
      <c r="BC49" s="186"/>
      <c r="BD49" s="186"/>
    </row>
    <row r="50" spans="1:56" x14ac:dyDescent="0.4">
      <c r="A50" s="48">
        <v>2</v>
      </c>
      <c r="B50" s="198" t="s">
        <v>132</v>
      </c>
      <c r="C50" s="197" t="s">
        <v>132</v>
      </c>
      <c r="D50" s="196" t="s">
        <v>132</v>
      </c>
      <c r="E50" s="192"/>
      <c r="F50" s="230"/>
      <c r="G50" s="23"/>
      <c r="H50" s="189"/>
      <c r="I50" s="190"/>
      <c r="J50" s="23"/>
      <c r="K50" s="172"/>
      <c r="L50" s="4"/>
      <c r="M50" s="4"/>
      <c r="N50" s="4"/>
      <c r="O50" s="193">
        <f>IF(O49+1&lt;=MIN('Données projet'!$E$9:$E$18),O49+1,"STOP")</f>
        <v>17</v>
      </c>
      <c r="P50" s="184">
        <f t="shared" si="3"/>
        <v>70.976457816776374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8">
        <v>3</v>
      </c>
      <c r="B51" s="198" t="s">
        <v>132</v>
      </c>
      <c r="C51" s="197" t="s">
        <v>132</v>
      </c>
      <c r="D51" s="196" t="s">
        <v>132</v>
      </c>
      <c r="E51" s="192"/>
      <c r="F51" s="230"/>
      <c r="G51" s="23"/>
      <c r="H51" s="189"/>
      <c r="I51" s="190"/>
      <c r="J51" s="23"/>
      <c r="K51" s="172"/>
      <c r="L51" s="4"/>
      <c r="M51" s="4"/>
      <c r="N51" s="4"/>
      <c r="O51" s="193">
        <f>IF(O50+1&lt;=MIN('Données projet'!$E$9:$E$18),O50+1,"STOP")</f>
        <v>18</v>
      </c>
      <c r="P51" s="184">
        <f t="shared" si="3"/>
        <v>67.920055327058748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8">
        <v>4</v>
      </c>
      <c r="B52" s="198" t="s">
        <v>132</v>
      </c>
      <c r="C52" s="197" t="s">
        <v>132</v>
      </c>
      <c r="D52" s="196" t="s">
        <v>132</v>
      </c>
      <c r="E52" s="192"/>
      <c r="F52" s="230"/>
      <c r="G52" s="23"/>
      <c r="H52" s="189"/>
      <c r="I52" s="190"/>
      <c r="J52" s="23"/>
      <c r="K52" s="172"/>
      <c r="L52" s="4"/>
      <c r="M52" s="4"/>
      <c r="N52" s="4"/>
      <c r="O52" s="193">
        <f>IF(O51+1&lt;=MIN('Données projet'!$E$9:$E$18),O51+1,"STOP")</f>
        <v>19</v>
      </c>
      <c r="P52" s="184">
        <f t="shared" si="3"/>
        <v>64.995268255558614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8">
        <v>5</v>
      </c>
      <c r="B53" s="198" t="s">
        <v>132</v>
      </c>
      <c r="C53" s="197" t="s">
        <v>132</v>
      </c>
      <c r="D53" s="196" t="s">
        <v>132</v>
      </c>
      <c r="E53" s="192"/>
      <c r="F53" s="230"/>
      <c r="G53" s="204"/>
      <c r="H53" s="189"/>
      <c r="I53" s="190"/>
      <c r="J53" s="23"/>
      <c r="K53" s="172"/>
      <c r="L53" s="4"/>
      <c r="M53" s="4"/>
      <c r="N53" s="4"/>
      <c r="O53" s="193">
        <f>IF(O52+1&lt;=MIN('Données projet'!$E$9:$E$18),O52+1,"STOP")</f>
        <v>20</v>
      </c>
      <c r="P53" s="184">
        <f t="shared" si="3"/>
        <v>62.196428952687683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79">
        <f>'Données projet'!A62</f>
        <v>19</v>
      </c>
      <c r="B54" s="180">
        <f>'Données projet'!D62</f>
        <v>46.44</v>
      </c>
      <c r="C54" s="190">
        <v>10.9375</v>
      </c>
      <c r="D54" s="178">
        <f>B54*C54</f>
        <v>507.9375</v>
      </c>
      <c r="E54" s="192">
        <v>60</v>
      </c>
      <c r="F54" s="231"/>
      <c r="G54" s="204"/>
      <c r="H54" s="189"/>
      <c r="I54" s="190"/>
      <c r="J54" s="23"/>
      <c r="K54" s="172"/>
      <c r="L54" s="4"/>
      <c r="M54" s="4"/>
      <c r="N54" s="4"/>
      <c r="O54" s="193">
        <f>IF(O53+1&lt;=MIN('Données projet'!$E$9:$E$18),O53+1,"STOP")</f>
        <v>21</v>
      </c>
      <c r="P54" s="184">
        <f t="shared" si="3"/>
        <v>59.518113830323131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79">
        <f>'Données projet'!A63</f>
        <v>24</v>
      </c>
      <c r="B55" s="180">
        <f>'Données projet'!D63</f>
        <v>44.889999999999986</v>
      </c>
      <c r="C55" s="190">
        <v>26.25</v>
      </c>
      <c r="D55" s="178">
        <f t="shared" ref="D55:D73" si="4">B55*C55</f>
        <v>1178.3624999999997</v>
      </c>
      <c r="E55" s="192">
        <v>60</v>
      </c>
      <c r="F55" s="231"/>
      <c r="G55" s="204"/>
      <c r="H55" s="189"/>
      <c r="I55" s="190"/>
      <c r="J55" s="23"/>
      <c r="K55" s="172"/>
      <c r="L55" s="4"/>
      <c r="M55" s="4"/>
      <c r="N55" s="4"/>
      <c r="O55" s="193">
        <f>IF(O54+1&lt;=MIN('Données projet'!$E$9:$E$18),O54+1,"STOP")</f>
        <v>22</v>
      </c>
      <c r="P55" s="184">
        <f t="shared" si="3"/>
        <v>56.955132851983883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79">
        <f>'Données projet'!A64</f>
        <v>30</v>
      </c>
      <c r="B56" s="180">
        <f>'Données projet'!D64</f>
        <v>67.04000000000002</v>
      </c>
      <c r="C56" s="190">
        <v>26.25</v>
      </c>
      <c r="D56" s="178">
        <f t="shared" si="4"/>
        <v>1759.8000000000006</v>
      </c>
      <c r="E56" s="192">
        <v>60</v>
      </c>
      <c r="F56" s="231"/>
      <c r="G56" s="204"/>
      <c r="H56" s="189"/>
      <c r="I56" s="190"/>
      <c r="J56" s="23"/>
      <c r="K56" s="172"/>
      <c r="L56" s="4"/>
      <c r="M56" s="4"/>
      <c r="N56" s="4"/>
      <c r="O56" s="193">
        <f>IF(O55+1&lt;=MIN('Données projet'!$E$9:$E$18),O55+1,"STOP")</f>
        <v>23</v>
      </c>
      <c r="P56" s="184">
        <f t="shared" si="3"/>
        <v>54.502519475582659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79">
        <f>'Données projet'!A65</f>
        <v>37</v>
      </c>
      <c r="B57" s="180">
        <f>'Données projet'!D65</f>
        <v>54.640000000000043</v>
      </c>
      <c r="C57" s="190">
        <v>26.25</v>
      </c>
      <c r="D57" s="178">
        <f t="shared" si="4"/>
        <v>1434.3000000000011</v>
      </c>
      <c r="E57" s="192">
        <v>60</v>
      </c>
      <c r="F57" s="231"/>
      <c r="G57" s="204"/>
      <c r="H57" s="189"/>
      <c r="I57" s="190"/>
      <c r="J57" s="23"/>
      <c r="K57" s="172"/>
      <c r="L57" s="4"/>
      <c r="M57" s="4"/>
      <c r="N57" s="4"/>
      <c r="O57" s="193">
        <f>IF(O56+1&lt;=MIN('Données projet'!$E$9:$E$18),O56+1,"STOP")</f>
        <v>24</v>
      </c>
      <c r="P57" s="184">
        <f t="shared" si="3"/>
        <v>52.155521029265714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79">
        <f>'Données projet'!A66</f>
        <v>46</v>
      </c>
      <c r="B58" s="180">
        <f>'Données projet'!D66</f>
        <v>93.13</v>
      </c>
      <c r="C58" s="190">
        <v>31.5</v>
      </c>
      <c r="D58" s="178">
        <f t="shared" si="4"/>
        <v>2933.5949999999998</v>
      </c>
      <c r="E58" s="192">
        <v>60</v>
      </c>
      <c r="F58" s="231"/>
      <c r="G58" s="204"/>
      <c r="H58" s="189"/>
      <c r="I58" s="190"/>
      <c r="J58" s="23"/>
      <c r="K58" s="172"/>
      <c r="L58" s="4"/>
      <c r="M58" s="4"/>
      <c r="N58" s="4"/>
      <c r="O58" s="193">
        <f>IF(O57+1&lt;=MIN('Données projet'!$E$9:$E$18),O57+1,"STOP")</f>
        <v>25</v>
      </c>
      <c r="P58" s="184">
        <f t="shared" si="3"/>
        <v>49.90958950168968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79">
        <f>'Données projet'!A67</f>
        <v>56</v>
      </c>
      <c r="B59" s="180">
        <f>'Données projet'!D67</f>
        <v>77.36000000000007</v>
      </c>
      <c r="C59" s="190">
        <v>31.5</v>
      </c>
      <c r="D59" s="178">
        <f t="shared" si="4"/>
        <v>2436.8400000000024</v>
      </c>
      <c r="E59" s="192">
        <v>60</v>
      </c>
      <c r="F59" s="231"/>
      <c r="G59" s="204"/>
      <c r="H59" s="189"/>
      <c r="I59" s="190"/>
      <c r="J59" s="23"/>
      <c r="K59" s="172"/>
      <c r="L59" s="4"/>
      <c r="M59" s="4"/>
      <c r="N59" s="4"/>
      <c r="O59" s="193">
        <f>IF(O58+1&lt;=MIN('Données projet'!$E$9:$E$18),O58+1,"STOP")</f>
        <v>26</v>
      </c>
      <c r="P59" s="184">
        <f t="shared" si="3"/>
        <v>47.760372728889656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79">
        <f>'Données projet'!A68</f>
        <v>66</v>
      </c>
      <c r="B60" s="180">
        <f>'Données projet'!D68</f>
        <v>87.850000000000023</v>
      </c>
      <c r="C60" s="190">
        <v>32</v>
      </c>
      <c r="D60" s="178">
        <f t="shared" si="4"/>
        <v>2811.2000000000007</v>
      </c>
      <c r="E60" s="192"/>
      <c r="F60" s="231"/>
      <c r="G60" s="205"/>
      <c r="H60" s="189"/>
      <c r="I60" s="190"/>
      <c r="J60" s="23"/>
      <c r="K60" s="172"/>
      <c r="L60" s="4"/>
      <c r="M60" s="4"/>
      <c r="N60" s="4"/>
      <c r="O60" s="193">
        <f>IF(O59+1&lt;=MIN('Données projet'!$E$9:$E$18),O59+1,"STOP")</f>
        <v>27</v>
      </c>
      <c r="P60" s="184">
        <f t="shared" si="3"/>
        <v>45.70370596065996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79">
        <f>'Données projet'!A69</f>
        <v>76</v>
      </c>
      <c r="B61" s="180">
        <f>'Données projet'!D69</f>
        <v>671.61</v>
      </c>
      <c r="C61" s="190">
        <v>32</v>
      </c>
      <c r="D61" s="178">
        <f t="shared" si="4"/>
        <v>21491.52</v>
      </c>
      <c r="E61" s="192"/>
      <c r="F61" s="231"/>
      <c r="G61" s="205"/>
      <c r="H61" s="189"/>
      <c r="I61" s="190"/>
      <c r="J61" s="23"/>
      <c r="K61" s="172"/>
      <c r="L61" s="4"/>
      <c r="M61" s="4"/>
      <c r="N61" s="4"/>
      <c r="O61" s="193">
        <f>IF(O60+1&lt;=MIN('Données projet'!$E$9:$E$18),O60+1,"STOP")</f>
        <v>28</v>
      </c>
      <c r="P61" s="184">
        <f t="shared" si="3"/>
        <v>43.735603790105237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79">
        <f>'Données projet'!A70</f>
        <v>0</v>
      </c>
      <c r="B62" s="180">
        <f>'Données projet'!D70</f>
        <v>0</v>
      </c>
      <c r="C62" s="190"/>
      <c r="D62" s="178">
        <f t="shared" si="4"/>
        <v>0</v>
      </c>
      <c r="E62" s="192"/>
      <c r="F62" s="231"/>
      <c r="G62" s="205"/>
      <c r="H62" s="189"/>
      <c r="I62" s="190"/>
      <c r="J62" s="23"/>
      <c r="K62" s="172"/>
      <c r="L62" s="4"/>
      <c r="M62" s="4"/>
      <c r="N62" s="4"/>
      <c r="O62" s="193">
        <f>IF(O61+1&lt;=MIN('Données projet'!$E$9:$E$18),O61+1,"STOP")</f>
        <v>29</v>
      </c>
      <c r="P62" s="184">
        <f t="shared" si="3"/>
        <v>41.852252430722707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79">
        <f>'Données projet'!A71</f>
        <v>0</v>
      </c>
      <c r="B63" s="180">
        <f>'Données projet'!D71</f>
        <v>0</v>
      </c>
      <c r="C63" s="190"/>
      <c r="D63" s="178">
        <f t="shared" si="4"/>
        <v>0</v>
      </c>
      <c r="E63" s="192"/>
      <c r="F63" s="231"/>
      <c r="G63" s="205"/>
      <c r="H63" s="189"/>
      <c r="I63" s="190"/>
      <c r="J63" s="23"/>
      <c r="K63" s="172"/>
      <c r="L63" s="4"/>
      <c r="M63" s="4"/>
      <c r="N63" s="4"/>
      <c r="O63" s="193">
        <f>IF(O62+1&lt;=MIN('Données projet'!$E$9:$E$18),O62+1,"STOP")</f>
        <v>30</v>
      </c>
      <c r="P63" s="184">
        <f t="shared" si="3"/>
        <v>40.050002326050453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79">
        <f>'Données projet'!A72</f>
        <v>0</v>
      </c>
      <c r="B64" s="180">
        <f>'Données projet'!D72</f>
        <v>0</v>
      </c>
      <c r="C64" s="190"/>
      <c r="D64" s="178">
        <f t="shared" si="4"/>
        <v>0</v>
      </c>
      <c r="E64" s="192"/>
      <c r="F64" s="231"/>
      <c r="G64" s="205"/>
      <c r="H64" s="189"/>
      <c r="I64" s="190"/>
      <c r="J64" s="206"/>
      <c r="K64" s="172"/>
      <c r="L64" s="4"/>
      <c r="M64" s="4"/>
      <c r="N64" s="4"/>
      <c r="O64" s="193">
        <f>IF(O63+1&lt;=MIN('Données projet'!$E$9:$E$18),O63+1,"STOP")</f>
        <v>31</v>
      </c>
      <c r="P64" s="184">
        <f t="shared" si="3"/>
        <v>38.325361077560231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79">
        <f>'Données projet'!A73</f>
        <v>0</v>
      </c>
      <c r="B65" s="180">
        <f>'Données projet'!D73</f>
        <v>0</v>
      </c>
      <c r="C65" s="190"/>
      <c r="D65" s="178">
        <f t="shared" si="4"/>
        <v>0</v>
      </c>
      <c r="E65" s="192"/>
      <c r="F65" s="231"/>
      <c r="G65" s="205"/>
      <c r="H65" s="189"/>
      <c r="I65" s="190"/>
      <c r="J65" s="188"/>
      <c r="K65" s="172"/>
      <c r="L65" s="4"/>
      <c r="M65" s="4"/>
      <c r="N65" s="4"/>
      <c r="O65" s="193">
        <f>IF(O64+1&lt;=MIN('Données projet'!$E$9:$E$18),O64+1,"STOP")</f>
        <v>32</v>
      </c>
      <c r="P65" s="184">
        <f t="shared" ref="P65:P96" si="5">$P$25/(1+$M$4)^O65</f>
        <v>36.674986677091148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79">
        <f>'Données projet'!A74</f>
        <v>0</v>
      </c>
      <c r="B66" s="180">
        <f>'Données projet'!D74</f>
        <v>0</v>
      </c>
      <c r="C66" s="190"/>
      <c r="D66" s="178">
        <f t="shared" si="4"/>
        <v>0</v>
      </c>
      <c r="E66" s="192"/>
      <c r="F66" s="231"/>
      <c r="G66" s="205"/>
      <c r="H66" s="189"/>
      <c r="I66" s="190"/>
      <c r="J66" s="188"/>
      <c r="K66" s="172"/>
      <c r="L66" s="4"/>
      <c r="M66" s="4"/>
      <c r="N66" s="4"/>
      <c r="O66" s="193">
        <f>IF(O65+1&lt;=MIN('Données projet'!$E$9:$E$18),O65+1,"STOP")</f>
        <v>33</v>
      </c>
      <c r="P66" s="184">
        <f t="shared" si="5"/>
        <v>35.095681030709244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79">
        <f>'Données projet'!A75</f>
        <v>0</v>
      </c>
      <c r="B67" s="180">
        <f>'Données projet'!D75</f>
        <v>0</v>
      </c>
      <c r="C67" s="190"/>
      <c r="D67" s="178">
        <f t="shared" si="4"/>
        <v>0</v>
      </c>
      <c r="E67" s="192"/>
      <c r="F67" s="231"/>
      <c r="G67" s="205"/>
      <c r="H67" s="189"/>
      <c r="I67" s="190"/>
      <c r="J67" s="188"/>
      <c r="K67" s="172"/>
      <c r="L67" s="4"/>
      <c r="M67" s="4"/>
      <c r="N67" s="4"/>
      <c r="O67" s="193">
        <f>IF(O66+1&lt;=MIN('Données projet'!$E$9:$E$18),O66+1,"STOP")</f>
        <v>34</v>
      </c>
      <c r="P67" s="184">
        <f t="shared" si="5"/>
        <v>33.584383761444251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79">
        <f>'Données projet'!A76</f>
        <v>0</v>
      </c>
      <c r="B68" s="180">
        <f>'Données projet'!D76</f>
        <v>0</v>
      </c>
      <c r="C68" s="190"/>
      <c r="D68" s="178">
        <f t="shared" si="4"/>
        <v>0</v>
      </c>
      <c r="E68" s="192"/>
      <c r="F68" s="231"/>
      <c r="G68" s="205"/>
      <c r="H68" s="189"/>
      <c r="I68" s="190"/>
      <c r="J68" s="188"/>
      <c r="K68" s="172"/>
      <c r="L68" s="4"/>
      <c r="M68" s="4"/>
      <c r="N68" s="4"/>
      <c r="O68" s="193">
        <f>IF(O67+1&lt;=MIN('Données projet'!$E$9:$E$18),O67+1,"STOP")</f>
        <v>35</v>
      </c>
      <c r="P68" s="184">
        <f t="shared" si="5"/>
        <v>32.138166278894019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79">
        <f>'Données projet'!A77</f>
        <v>0</v>
      </c>
      <c r="B69" s="180">
        <f>'Données projet'!D77</f>
        <v>0</v>
      </c>
      <c r="C69" s="190"/>
      <c r="D69" s="178">
        <f t="shared" si="4"/>
        <v>0</v>
      </c>
      <c r="E69" s="192"/>
      <c r="F69" s="231"/>
      <c r="G69" s="205"/>
      <c r="H69" s="189"/>
      <c r="I69" s="190"/>
      <c r="J69" s="188"/>
      <c r="K69" s="172"/>
      <c r="L69" s="4"/>
      <c r="M69" s="4"/>
      <c r="N69" s="4"/>
      <c r="O69" s="193">
        <f>IF(O68+1&lt;=MIN('Données projet'!$E$9:$E$18),O68+1,"STOP")</f>
        <v>36</v>
      </c>
      <c r="P69" s="184">
        <f t="shared" si="5"/>
        <v>30.754226104204811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79">
        <f>'Données projet'!A78</f>
        <v>0</v>
      </c>
      <c r="B70" s="180">
        <f>'Données projet'!D78</f>
        <v>0</v>
      </c>
      <c r="C70" s="190"/>
      <c r="D70" s="178">
        <f t="shared" si="4"/>
        <v>0</v>
      </c>
      <c r="E70" s="192"/>
      <c r="F70" s="231"/>
      <c r="G70" s="205"/>
      <c r="H70" s="189"/>
      <c r="I70" s="190"/>
      <c r="J70" s="188"/>
      <c r="K70" s="172"/>
      <c r="L70" s="4"/>
      <c r="M70" s="4"/>
      <c r="N70" s="4"/>
      <c r="O70" s="193">
        <f>IF(O69+1&lt;=MIN('Données projet'!$E$9:$E$18),O69+1,"STOP")</f>
        <v>37</v>
      </c>
      <c r="P70" s="184">
        <f t="shared" si="5"/>
        <v>29.429881439430442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79">
        <f>'Données projet'!A79</f>
        <v>0</v>
      </c>
      <c r="B71" s="180">
        <f>'Données projet'!D79</f>
        <v>0</v>
      </c>
      <c r="C71" s="190"/>
      <c r="D71" s="178">
        <f t="shared" si="4"/>
        <v>0</v>
      </c>
      <c r="E71" s="192"/>
      <c r="F71" s="231"/>
      <c r="G71" s="205"/>
      <c r="H71" s="189"/>
      <c r="I71" s="190"/>
      <c r="J71" s="188"/>
      <c r="K71" s="172"/>
      <c r="L71" s="4"/>
      <c r="M71" s="4"/>
      <c r="N71" s="4"/>
      <c r="O71" s="193">
        <f>IF(O70+1&lt;=MIN('Données projet'!$E$9:$E$18),O70+1,"STOP")</f>
        <v>38</v>
      </c>
      <c r="P71" s="184">
        <f t="shared" si="5"/>
        <v>28.16256597074684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79">
        <f>'Données projet'!A80</f>
        <v>0</v>
      </c>
      <c r="B72" s="180">
        <f>'Données projet'!D80</f>
        <v>0</v>
      </c>
      <c r="C72" s="190"/>
      <c r="D72" s="178">
        <f t="shared" si="4"/>
        <v>0</v>
      </c>
      <c r="E72" s="192"/>
      <c r="F72" s="231"/>
      <c r="G72" s="205"/>
      <c r="H72" s="189"/>
      <c r="I72" s="190"/>
      <c r="J72" s="4"/>
      <c r="K72" s="172"/>
      <c r="L72" s="4"/>
      <c r="M72" s="4"/>
      <c r="N72" s="4"/>
      <c r="O72" s="193">
        <f>IF(O71+1&lt;=MIN('Données projet'!$E$9:$E$18),O71+1,"STOP")</f>
        <v>39</v>
      </c>
      <c r="P72" s="184">
        <f t="shared" si="5"/>
        <v>26.949823895451523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79">
        <f>'Données projet'!A81</f>
        <v>0</v>
      </c>
      <c r="B73" s="180">
        <f>'Données projet'!D81</f>
        <v>0</v>
      </c>
      <c r="C73" s="190"/>
      <c r="D73" s="178">
        <f t="shared" si="4"/>
        <v>0</v>
      </c>
      <c r="E73" s="192"/>
      <c r="F73" s="231"/>
      <c r="G73" s="205"/>
      <c r="H73" s="189"/>
      <c r="I73" s="190"/>
      <c r="J73" s="4"/>
      <c r="K73" s="172"/>
      <c r="L73" s="4"/>
      <c r="M73" s="4"/>
      <c r="N73" s="4"/>
      <c r="O73" s="193">
        <f>IF(O72+1&lt;=MIN('Données projet'!$E$9:$E$18),O72+1,"STOP")</f>
        <v>40</v>
      </c>
      <c r="P73" s="184">
        <f t="shared" si="5"/>
        <v>25.789305163111511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29"/>
      <c r="G74" s="205"/>
      <c r="H74" s="189"/>
      <c r="I74" s="190"/>
      <c r="J74" s="4"/>
      <c r="K74" s="172"/>
      <c r="L74" s="4"/>
      <c r="M74" s="4"/>
      <c r="N74" s="4"/>
      <c r="O74" s="193">
        <f>IF(O73+1&lt;=MIN('Données projet'!$E$9:$E$18),O73+1,"STOP")</f>
        <v>41</v>
      </c>
      <c r="P74" s="184">
        <f t="shared" si="5"/>
        <v>24.678760921637814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29"/>
      <c r="G75" s="205"/>
      <c r="H75" s="189"/>
      <c r="I75" s="190"/>
      <c r="J75" s="4"/>
      <c r="K75" s="172"/>
      <c r="L75" s="4"/>
      <c r="M75" s="4"/>
      <c r="N75" s="4"/>
      <c r="O75" s="193">
        <f>IF(O74+1&lt;=MIN('Données projet'!$E$9:$E$18),O74+1,"STOP")</f>
        <v>42</v>
      </c>
      <c r="P75" s="184">
        <f t="shared" si="5"/>
        <v>23.616039159462026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5" t="s">
        <v>167</v>
      </c>
      <c r="B76" s="173" t="str">
        <f>IF('Données projet'!B11="","",'Données projet'!B11)</f>
        <v>Chêne pubescent</v>
      </c>
      <c r="C76" s="4"/>
      <c r="D76" s="4"/>
      <c r="E76" s="4"/>
      <c r="F76" s="229"/>
      <c r="G76" s="205"/>
      <c r="H76" s="189"/>
      <c r="I76" s="190"/>
      <c r="J76" s="4"/>
      <c r="K76" s="172"/>
      <c r="L76" s="4"/>
      <c r="M76" s="4"/>
      <c r="N76" s="4"/>
      <c r="O76" s="193">
        <f>IF(O75+1&lt;=MIN('Données projet'!$E$9:$E$18),O75+1,"STOP")</f>
        <v>43</v>
      </c>
      <c r="P76" s="184">
        <f t="shared" si="5"/>
        <v>22.599080535370359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29"/>
      <c r="G77" s="205"/>
      <c r="H77" s="189"/>
      <c r="I77" s="190"/>
      <c r="J77" s="4"/>
      <c r="K77" s="172"/>
      <c r="L77" s="4"/>
      <c r="M77" s="4"/>
      <c r="N77" s="4"/>
      <c r="O77" s="193">
        <f>IF(O76+1&lt;=MIN('Données projet'!$E$9:$E$18),O76+1,"STOP")</f>
        <v>44</v>
      </c>
      <c r="P77" s="184">
        <f t="shared" si="5"/>
        <v>21.625914387914221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5" t="s">
        <v>180</v>
      </c>
      <c r="B78" s="47" t="s">
        <v>256</v>
      </c>
      <c r="C78" s="47" t="s">
        <v>255</v>
      </c>
      <c r="D78" s="35" t="s">
        <v>252</v>
      </c>
      <c r="E78" s="35" t="s">
        <v>320</v>
      </c>
      <c r="F78" s="230"/>
      <c r="G78" s="205"/>
      <c r="H78" s="189"/>
      <c r="I78" s="190"/>
      <c r="J78" s="4"/>
      <c r="K78" s="172"/>
      <c r="L78" s="4"/>
      <c r="M78" s="4"/>
      <c r="N78" s="4"/>
      <c r="O78" s="193">
        <f>IF(O77+1&lt;=MIN('Données projet'!$E$9:$E$18),O77+1,"STOP")</f>
        <v>45</v>
      </c>
      <c r="P78" s="184">
        <f t="shared" si="5"/>
        <v>20.694654916664327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8">
        <v>0</v>
      </c>
      <c r="B79" s="198" t="s">
        <v>132</v>
      </c>
      <c r="C79" s="197" t="s">
        <v>132</v>
      </c>
      <c r="D79" s="196" t="s">
        <v>132</v>
      </c>
      <c r="E79" s="192"/>
      <c r="F79" s="230"/>
      <c r="G79" s="205"/>
      <c r="H79" s="189"/>
      <c r="I79" s="190"/>
      <c r="J79" s="4"/>
      <c r="K79" s="172"/>
      <c r="L79" s="4"/>
      <c r="M79" s="4"/>
      <c r="N79" s="4"/>
      <c r="O79" s="193">
        <f>IF(O78+1&lt;=MIN('Données projet'!$E$9:$E$18),O78+1,"STOP")</f>
        <v>46</v>
      </c>
      <c r="P79" s="184">
        <f t="shared" si="5"/>
        <v>19.803497527908451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8">
        <v>1</v>
      </c>
      <c r="B80" s="198" t="s">
        <v>132</v>
      </c>
      <c r="C80" s="197" t="s">
        <v>132</v>
      </c>
      <c r="D80" s="196" t="s">
        <v>132</v>
      </c>
      <c r="E80" s="192"/>
      <c r="F80" s="230"/>
      <c r="G80" s="23"/>
      <c r="H80" s="189"/>
      <c r="I80" s="190"/>
      <c r="J80" s="4"/>
      <c r="K80" s="172"/>
      <c r="L80" s="4"/>
      <c r="M80" s="4"/>
      <c r="N80" s="4"/>
      <c r="O80" s="193">
        <f>IF(O79+1&lt;=MIN('Données projet'!$E$9:$E$18),O79+1,"STOP")</f>
        <v>47</v>
      </c>
      <c r="P80" s="184">
        <f t="shared" si="5"/>
        <v>18.950715337711436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8">
        <v>2</v>
      </c>
      <c r="B81" s="198" t="s">
        <v>132</v>
      </c>
      <c r="C81" s="197" t="s">
        <v>132</v>
      </c>
      <c r="D81" s="196" t="s">
        <v>132</v>
      </c>
      <c r="E81" s="192"/>
      <c r="F81" s="230"/>
      <c r="G81" s="23"/>
      <c r="H81" s="189"/>
      <c r="I81" s="190"/>
      <c r="J81" s="4"/>
      <c r="K81" s="172"/>
      <c r="L81" s="4"/>
      <c r="M81" s="4"/>
      <c r="N81" s="4"/>
      <c r="O81" s="193">
        <f>IF(O80+1&lt;=MIN('Données projet'!$E$9:$E$18),O80+1,"STOP")</f>
        <v>48</v>
      </c>
      <c r="P81" s="184">
        <f t="shared" si="5"/>
        <v>18.13465582556119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8">
        <v>3</v>
      </c>
      <c r="B82" s="198" t="s">
        <v>132</v>
      </c>
      <c r="C82" s="197" t="s">
        <v>132</v>
      </c>
      <c r="D82" s="196" t="s">
        <v>132</v>
      </c>
      <c r="E82" s="192"/>
      <c r="F82" s="230"/>
      <c r="G82" s="23"/>
      <c r="H82" s="189"/>
      <c r="I82" s="190"/>
      <c r="J82" s="4"/>
      <c r="K82" s="172"/>
      <c r="L82" s="4"/>
      <c r="M82" s="4"/>
      <c r="N82" s="4"/>
      <c r="O82" s="193">
        <f>IF(O81+1&lt;=MIN('Données projet'!$E$9:$E$18),O81+1,"STOP")</f>
        <v>49</v>
      </c>
      <c r="P82" s="184">
        <f t="shared" si="5"/>
        <v>17.353737632115969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8">
        <v>4</v>
      </c>
      <c r="B83" s="198" t="s">
        <v>132</v>
      </c>
      <c r="C83" s="197" t="s">
        <v>132</v>
      </c>
      <c r="D83" s="196" t="s">
        <v>132</v>
      </c>
      <c r="E83" s="192"/>
      <c r="F83" s="230"/>
      <c r="G83" s="23"/>
      <c r="H83" s="189"/>
      <c r="I83" s="190"/>
      <c r="J83" s="4"/>
      <c r="K83" s="172"/>
      <c r="L83" s="4"/>
      <c r="M83" s="4"/>
      <c r="N83" s="4"/>
      <c r="O83" s="193">
        <f>IF(O82+1&lt;=MIN('Données projet'!$E$9:$E$18),O82+1,"STOP")</f>
        <v>50</v>
      </c>
      <c r="P83" s="184">
        <f t="shared" si="5"/>
        <v>16.606447494847824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8">
        <v>5</v>
      </c>
      <c r="B84" s="198" t="s">
        <v>132</v>
      </c>
      <c r="C84" s="197" t="s">
        <v>132</v>
      </c>
      <c r="D84" s="196" t="s">
        <v>132</v>
      </c>
      <c r="E84" s="192"/>
      <c r="F84" s="230"/>
      <c r="G84" s="204"/>
      <c r="H84" s="189"/>
      <c r="I84" s="190"/>
      <c r="J84" s="4"/>
      <c r="K84" s="172"/>
      <c r="L84" s="4"/>
      <c r="M84" s="4"/>
      <c r="N84" s="4"/>
      <c r="O84" s="193">
        <f>IF(O83+1&lt;=MIN('Données projet'!$E$9:$E$18),O83+1,"STOP")</f>
        <v>51</v>
      </c>
      <c r="P84" s="184">
        <f t="shared" si="5"/>
        <v>15.891337315643849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79">
        <f>'Données projet'!A88</f>
        <v>42</v>
      </c>
      <c r="B85" s="180">
        <f>'Données projet'!D88</f>
        <v>44.510000000000005</v>
      </c>
      <c r="C85" s="190">
        <v>12.5</v>
      </c>
      <c r="D85" s="178">
        <f>B85*C85</f>
        <v>556.37500000000011</v>
      </c>
      <c r="E85" s="192">
        <v>60</v>
      </c>
      <c r="F85" s="231"/>
      <c r="G85" s="204"/>
      <c r="H85" s="189"/>
      <c r="I85" s="190"/>
      <c r="J85" s="4"/>
      <c r="K85" s="172"/>
      <c r="L85" s="4"/>
      <c r="M85" s="4"/>
      <c r="N85" s="4"/>
      <c r="O85" s="193">
        <f>IF(O84+1&lt;=MIN('Données projet'!$E$9:$E$18),O84+1,"STOP")</f>
        <v>52</v>
      </c>
      <c r="P85" s="184">
        <f t="shared" si="5"/>
        <v>15.207021354683112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79">
        <f>'Données projet'!A89</f>
        <v>50</v>
      </c>
      <c r="B86" s="180">
        <f>'Données projet'!D89</f>
        <v>37.54000000000002</v>
      </c>
      <c r="C86" s="190">
        <v>12.5</v>
      </c>
      <c r="D86" s="178">
        <f t="shared" ref="D86:D104" si="6">B86*C86</f>
        <v>469.25000000000023</v>
      </c>
      <c r="E86" s="192">
        <v>60</v>
      </c>
      <c r="F86" s="231"/>
      <c r="G86" s="204"/>
      <c r="H86" s="189"/>
      <c r="I86" s="190"/>
      <c r="J86" s="4"/>
      <c r="K86" s="172"/>
      <c r="L86" s="4"/>
      <c r="M86" s="4"/>
      <c r="N86" s="4"/>
      <c r="O86" s="193">
        <f>IF(O85+1&lt;=MIN('Données projet'!$E$9:$E$18),O85+1,"STOP")</f>
        <v>53</v>
      </c>
      <c r="P86" s="184">
        <f t="shared" si="5"/>
        <v>14.552173545151303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79">
        <f>'Données projet'!A90</f>
        <v>58</v>
      </c>
      <c r="B87" s="180">
        <f>'Données projet'!D90</f>
        <v>47.789999999999992</v>
      </c>
      <c r="C87" s="190">
        <v>12.5</v>
      </c>
      <c r="D87" s="178">
        <f t="shared" si="6"/>
        <v>597.37499999999989</v>
      </c>
      <c r="E87" s="192">
        <v>60</v>
      </c>
      <c r="F87" s="231"/>
      <c r="G87" s="204"/>
      <c r="H87" s="189"/>
      <c r="I87" s="190"/>
      <c r="J87" s="4"/>
      <c r="K87" s="172"/>
      <c r="L87" s="4"/>
      <c r="M87" s="4"/>
      <c r="N87" s="4"/>
      <c r="O87" s="193">
        <f>IF(O86+1&lt;=MIN('Données projet'!$E$9:$E$18),O86+1,"STOP")</f>
        <v>54</v>
      </c>
      <c r="P87" s="184">
        <f t="shared" si="5"/>
        <v>13.925524923589769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79">
        <f>'Données projet'!A91</f>
        <v>66</v>
      </c>
      <c r="B88" s="180">
        <f>'Données projet'!D91</f>
        <v>53.679999999999978</v>
      </c>
      <c r="C88" s="190">
        <v>45.375</v>
      </c>
      <c r="D88" s="178">
        <f t="shared" si="6"/>
        <v>2435.7299999999991</v>
      </c>
      <c r="E88" s="192">
        <v>60</v>
      </c>
      <c r="F88" s="231"/>
      <c r="G88" s="204"/>
      <c r="H88" s="189"/>
      <c r="I88" s="190"/>
      <c r="J88" s="4"/>
      <c r="K88" s="172"/>
      <c r="L88" s="4"/>
      <c r="M88" s="4"/>
      <c r="N88" s="4"/>
      <c r="O88" s="193">
        <f>IF(O87+1&lt;=MIN('Données projet'!$E$9:$E$18),O87+1,"STOP")</f>
        <v>55</v>
      </c>
      <c r="P88" s="184">
        <f t="shared" si="5"/>
        <v>13.3258611708993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79">
        <f>'Données projet'!A92</f>
        <v>74</v>
      </c>
      <c r="B89" s="180">
        <f>'Données projet'!D92</f>
        <v>51.339999999999975</v>
      </c>
      <c r="C89" s="190">
        <v>45.375</v>
      </c>
      <c r="D89" s="178">
        <f t="shared" si="6"/>
        <v>2329.5524999999989</v>
      </c>
      <c r="E89" s="192">
        <v>60</v>
      </c>
      <c r="F89" s="231"/>
      <c r="G89" s="204"/>
      <c r="H89" s="189"/>
      <c r="I89" s="190"/>
      <c r="J89" s="4"/>
      <c r="K89" s="172"/>
      <c r="L89" s="4"/>
      <c r="M89" s="4"/>
      <c r="N89" s="4"/>
      <c r="O89" s="193">
        <f>IF(O88+1&lt;=MIN('Données projet'!$E$9:$E$18),O88+1,"STOP")</f>
        <v>56</v>
      </c>
      <c r="P89" s="184">
        <f t="shared" si="5"/>
        <v>12.752020259233783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79">
        <f>'Données projet'!A93</f>
        <v>84</v>
      </c>
      <c r="B90" s="180">
        <f>'Données projet'!D93</f>
        <v>66.69</v>
      </c>
      <c r="C90" s="190">
        <v>45.375</v>
      </c>
      <c r="D90" s="178">
        <f t="shared" si="6"/>
        <v>3026.0587499999997</v>
      </c>
      <c r="E90" s="192">
        <v>60</v>
      </c>
      <c r="F90" s="231"/>
      <c r="G90" s="204"/>
      <c r="H90" s="189"/>
      <c r="I90" s="190"/>
      <c r="J90" s="4"/>
      <c r="K90" s="172"/>
      <c r="L90" s="4"/>
      <c r="M90" s="4"/>
      <c r="N90" s="4"/>
      <c r="O90" s="193">
        <f>IF(O89+1&lt;=MIN('Données projet'!$E$9:$E$18),O89+1,"STOP")</f>
        <v>57</v>
      </c>
      <c r="P90" s="184">
        <f t="shared" si="5"/>
        <v>12.202890200223717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79">
        <f>'Données projet'!A94</f>
        <v>94</v>
      </c>
      <c r="B91" s="180">
        <f>'Données projet'!D94</f>
        <v>67.350000000000023</v>
      </c>
      <c r="C91" s="190">
        <v>45.375</v>
      </c>
      <c r="D91" s="178">
        <f t="shared" si="6"/>
        <v>3056.0062500000008</v>
      </c>
      <c r="E91" s="192">
        <v>60</v>
      </c>
      <c r="F91" s="231"/>
      <c r="G91" s="205"/>
      <c r="H91" s="189"/>
      <c r="I91" s="190"/>
      <c r="J91" s="4"/>
      <c r="K91" s="172"/>
      <c r="L91" s="4"/>
      <c r="M91" s="4"/>
      <c r="N91" s="4"/>
      <c r="O91" s="193">
        <f>IF(O90+1&lt;=MIN('Données projet'!$E$9:$E$18),O90+1,"STOP")</f>
        <v>58</v>
      </c>
      <c r="P91" s="184">
        <f t="shared" si="5"/>
        <v>11.677406890166239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79">
        <f>'Données projet'!A95</f>
        <v>104</v>
      </c>
      <c r="B92" s="180">
        <f>'Données projet'!D95</f>
        <v>66.089999999999975</v>
      </c>
      <c r="C92" s="190">
        <v>45.375</v>
      </c>
      <c r="D92" s="178">
        <f t="shared" si="6"/>
        <v>2998.8337499999989</v>
      </c>
      <c r="E92" s="192">
        <v>60</v>
      </c>
      <c r="F92" s="231"/>
      <c r="G92" s="205"/>
      <c r="H92" s="189"/>
      <c r="I92" s="190"/>
      <c r="J92" s="4"/>
      <c r="K92" s="172"/>
      <c r="L92" s="4"/>
      <c r="M92" s="4"/>
      <c r="N92" s="4"/>
      <c r="O92" s="193">
        <f>IF(O91+1&lt;=MIN('Données projet'!$E$9:$E$18),O91+1,"STOP")</f>
        <v>59</v>
      </c>
      <c r="P92" s="184">
        <f t="shared" si="5"/>
        <v>11.174552048005971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79">
        <f>'Données projet'!A96</f>
        <v>114</v>
      </c>
      <c r="B93" s="180">
        <f>'Données projet'!D96</f>
        <v>61.860000000000014</v>
      </c>
      <c r="C93" s="190">
        <v>45.375</v>
      </c>
      <c r="D93" s="178">
        <f t="shared" si="6"/>
        <v>2806.8975000000005</v>
      </c>
      <c r="E93" s="192">
        <v>60</v>
      </c>
      <c r="F93" s="231"/>
      <c r="G93" s="205"/>
      <c r="H93" s="189"/>
      <c r="I93" s="190"/>
      <c r="J93" s="4"/>
      <c r="K93" s="172"/>
      <c r="L93" s="4"/>
      <c r="M93" s="4"/>
      <c r="N93" s="4"/>
      <c r="O93" s="193">
        <f>IF(O92+1&lt;=MIN('Données projet'!$E$9:$E$18),O92+1,"STOP")</f>
        <v>60</v>
      </c>
      <c r="P93" s="184">
        <f t="shared" si="5"/>
        <v>10.693351242110978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79">
        <f>'Données projet'!A97</f>
        <v>124</v>
      </c>
      <c r="B94" s="180">
        <f>'Données projet'!D97</f>
        <v>57.81</v>
      </c>
      <c r="C94" s="190">
        <v>45.375</v>
      </c>
      <c r="D94" s="178">
        <f t="shared" si="6"/>
        <v>2623.1287500000003</v>
      </c>
      <c r="E94" s="192">
        <v>60</v>
      </c>
      <c r="F94" s="231"/>
      <c r="G94" s="205"/>
      <c r="H94" s="189"/>
      <c r="I94" s="190"/>
      <c r="J94" s="4"/>
      <c r="K94" s="172"/>
      <c r="L94" s="4"/>
      <c r="M94" s="4"/>
      <c r="N94" s="4"/>
      <c r="O94" s="193">
        <f>IF(O93+1&lt;=MIN('Données projet'!$E$9:$E$18),O93+1,"STOP")</f>
        <v>61</v>
      </c>
      <c r="P94" s="184">
        <f t="shared" si="5"/>
        <v>10.232872002020073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79">
        <f>'Données projet'!A98</f>
        <v>134</v>
      </c>
      <c r="B95" s="180">
        <f>'Données projet'!D98</f>
        <v>60.779999999999973</v>
      </c>
      <c r="C95" s="190">
        <v>138</v>
      </c>
      <c r="D95" s="178">
        <f t="shared" si="6"/>
        <v>8387.6399999999958</v>
      </c>
      <c r="E95" s="192">
        <v>60</v>
      </c>
      <c r="F95" s="231"/>
      <c r="G95" s="205"/>
      <c r="H95" s="189"/>
      <c r="I95" s="190"/>
      <c r="J95" s="4"/>
      <c r="K95" s="172"/>
      <c r="L95" s="4"/>
      <c r="M95" s="4"/>
      <c r="N95" s="4"/>
      <c r="O95" s="193">
        <f>IF(O94+1&lt;=MIN('Données projet'!$E$9:$E$18),O94+1,"STOP")</f>
        <v>62</v>
      </c>
      <c r="P95" s="184">
        <f t="shared" si="5"/>
        <v>9.7922220115024654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79">
        <f>'Données projet'!A99</f>
        <v>144</v>
      </c>
      <c r="B96" s="180">
        <f>'Données projet'!D99</f>
        <v>61.800000000000068</v>
      </c>
      <c r="C96" s="190">
        <v>138</v>
      </c>
      <c r="D96" s="178">
        <f t="shared" si="6"/>
        <v>8528.4000000000087</v>
      </c>
      <c r="E96" s="192">
        <v>60</v>
      </c>
      <c r="F96" s="231"/>
      <c r="G96" s="205"/>
      <c r="H96" s="189"/>
      <c r="I96" s="190"/>
      <c r="J96" s="4"/>
      <c r="K96" s="172"/>
      <c r="L96" s="4"/>
      <c r="M96" s="4"/>
      <c r="N96" s="4"/>
      <c r="O96" s="193">
        <f>IF(O95+1&lt;=MIN('Données projet'!$E$9:$E$18),O95+1,"STOP")</f>
        <v>63</v>
      </c>
      <c r="P96" s="184">
        <f t="shared" si="5"/>
        <v>9.3705473794281957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79">
        <f>'Données projet'!A100</f>
        <v>154</v>
      </c>
      <c r="B97" s="180">
        <f>'Données projet'!D100</f>
        <v>61.050000000000011</v>
      </c>
      <c r="C97" s="190">
        <v>138</v>
      </c>
      <c r="D97" s="178">
        <f t="shared" si="6"/>
        <v>8424.9000000000015</v>
      </c>
      <c r="E97" s="192">
        <v>60</v>
      </c>
      <c r="F97" s="231"/>
      <c r="G97" s="205"/>
      <c r="H97" s="189"/>
      <c r="I97" s="190"/>
      <c r="J97" s="4"/>
      <c r="K97" s="172"/>
      <c r="L97" s="4"/>
      <c r="M97" s="4"/>
      <c r="N97" s="4"/>
      <c r="O97" s="193">
        <f>IF(O96+1&lt;=MIN('Données projet'!$E$9:$E$18),O96+1,"STOP")</f>
        <v>64</v>
      </c>
      <c r="P97" s="184">
        <f t="shared" ref="P97:P128" si="7">$P$25/(1+$M$4)^O97</f>
        <v>8.9670309850987575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79">
        <f>'Données projet'!A101</f>
        <v>164</v>
      </c>
      <c r="B98" s="180">
        <f>'Données projet'!D101</f>
        <v>66.020000000000095</v>
      </c>
      <c r="C98" s="190">
        <v>138</v>
      </c>
      <c r="D98" s="178">
        <f t="shared" si="6"/>
        <v>9110.760000000013</v>
      </c>
      <c r="E98" s="192">
        <v>60</v>
      </c>
      <c r="F98" s="231"/>
      <c r="G98" s="205"/>
      <c r="H98" s="189"/>
      <c r="I98" s="190"/>
      <c r="J98" s="4"/>
      <c r="K98" s="172"/>
      <c r="L98" s="4"/>
      <c r="M98" s="4"/>
      <c r="N98" s="4"/>
      <c r="O98" s="193">
        <f>IF(O97+1&lt;=MIN('Données projet'!$E$9:$E$18),O97+1,"STOP")</f>
        <v>65</v>
      </c>
      <c r="P98" s="184">
        <f t="shared" si="7"/>
        <v>8.5808908948313452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79">
        <f>'Données projet'!A102</f>
        <v>174</v>
      </c>
      <c r="B99" s="180">
        <f>'Données projet'!D102</f>
        <v>240</v>
      </c>
      <c r="C99" s="190">
        <v>156.375</v>
      </c>
      <c r="D99" s="178">
        <f t="shared" si="6"/>
        <v>37530</v>
      </c>
      <c r="E99" s="192">
        <v>60</v>
      </c>
      <c r="F99" s="231"/>
      <c r="G99" s="205"/>
      <c r="H99" s="189"/>
      <c r="I99" s="190"/>
      <c r="J99" s="4"/>
      <c r="K99" s="172"/>
      <c r="L99" s="4"/>
      <c r="M99" s="4"/>
      <c r="N99" s="4"/>
      <c r="O99" s="193">
        <f>IF(O98+1&lt;=MIN('Données projet'!$E$9:$E$18),O98+1,"STOP")</f>
        <v>66</v>
      </c>
      <c r="P99" s="184">
        <f t="shared" si="7"/>
        <v>8.2113788467285627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79">
        <f>'Données projet'!A103</f>
        <v>177</v>
      </c>
      <c r="B100" s="180">
        <f>'Données projet'!D103</f>
        <v>128.66000000000003</v>
      </c>
      <c r="C100" s="190">
        <v>156.375</v>
      </c>
      <c r="D100" s="178">
        <f t="shared" si="6"/>
        <v>20119.207500000004</v>
      </c>
      <c r="E100" s="192">
        <v>60</v>
      </c>
      <c r="F100" s="231"/>
      <c r="G100" s="205"/>
      <c r="H100" s="189"/>
      <c r="I100" s="190"/>
      <c r="J100" s="4"/>
      <c r="K100" s="172"/>
      <c r="L100" s="4"/>
      <c r="M100" s="4"/>
      <c r="N100" s="4"/>
      <c r="O100" s="193">
        <f>IF(O99+1&lt;=MIN('Données projet'!$E$9:$E$18),O99+1,"STOP")</f>
        <v>67</v>
      </c>
      <c r="P100" s="184">
        <f t="shared" si="7"/>
        <v>7.8577788006971891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79">
        <f>'Données projet'!A104</f>
        <v>180</v>
      </c>
      <c r="B101" s="180">
        <f>'Données projet'!D104</f>
        <v>86.97</v>
      </c>
      <c r="C101" s="190">
        <v>156.375</v>
      </c>
      <c r="D101" s="178">
        <f t="shared" si="6"/>
        <v>13599.93375</v>
      </c>
      <c r="E101" s="192">
        <v>60</v>
      </c>
      <c r="F101" s="231"/>
      <c r="G101" s="205"/>
      <c r="H101" s="189"/>
      <c r="I101" s="190"/>
      <c r="J101" s="4"/>
      <c r="K101" s="172"/>
      <c r="L101" s="4"/>
      <c r="M101" s="4"/>
      <c r="N101" s="4"/>
      <c r="O101" s="193">
        <f>IF(O100+1&lt;=MIN('Données projet'!$E$9:$E$18),O100+1,"STOP")</f>
        <v>68</v>
      </c>
      <c r="P101" s="184">
        <f t="shared" si="7"/>
        <v>7.5194055509064022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79">
        <f>'Données projet'!A105</f>
        <v>183</v>
      </c>
      <c r="B102" s="180">
        <f>'Données projet'!D105</f>
        <v>191.47</v>
      </c>
      <c r="C102" s="190">
        <v>156.375</v>
      </c>
      <c r="D102" s="178">
        <f t="shared" si="6"/>
        <v>29941.12125</v>
      </c>
      <c r="E102" s="192">
        <v>60</v>
      </c>
      <c r="F102" s="231"/>
      <c r="G102" s="205"/>
      <c r="H102" s="189"/>
      <c r="I102" s="190"/>
      <c r="J102" s="4"/>
      <c r="K102" s="172"/>
      <c r="L102" s="4"/>
      <c r="M102" s="4"/>
      <c r="N102" s="4"/>
      <c r="O102" s="193">
        <f>IF(O101+1&lt;=MIN('Données projet'!$E$9:$E$18),O101+1,"STOP")</f>
        <v>69</v>
      </c>
      <c r="P102" s="184">
        <f t="shared" si="7"/>
        <v>7.1956033979965577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79">
        <f>'Données projet'!A106</f>
        <v>0</v>
      </c>
      <c r="B103" s="180">
        <f>'Données projet'!D106</f>
        <v>0</v>
      </c>
      <c r="C103" s="190"/>
      <c r="D103" s="178">
        <f t="shared" si="6"/>
        <v>0</v>
      </c>
      <c r="E103" s="192"/>
      <c r="F103" s="231"/>
      <c r="G103" s="205"/>
      <c r="H103" s="189"/>
      <c r="I103" s="190"/>
      <c r="J103" s="4"/>
      <c r="K103" s="172"/>
      <c r="L103" s="4"/>
      <c r="M103" s="4"/>
      <c r="N103" s="4"/>
      <c r="O103" s="193">
        <f>IF(O102+1&lt;=MIN('Données projet'!$E$9:$E$18),O102+1,"STOP")</f>
        <v>70</v>
      </c>
      <c r="P103" s="184">
        <f t="shared" si="7"/>
        <v>6.8857448784656068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79">
        <f>'Données projet'!A107</f>
        <v>0</v>
      </c>
      <c r="B104" s="180">
        <f>'Données projet'!D107</f>
        <v>0</v>
      </c>
      <c r="C104" s="190"/>
      <c r="D104" s="178">
        <f t="shared" si="6"/>
        <v>0</v>
      </c>
      <c r="E104" s="192"/>
      <c r="F104" s="231"/>
      <c r="G104" s="205"/>
      <c r="H104" s="189"/>
      <c r="I104" s="190"/>
      <c r="J104" s="4"/>
      <c r="K104" s="172"/>
      <c r="L104" s="4"/>
      <c r="M104" s="4"/>
      <c r="N104" s="4"/>
      <c r="O104" s="193">
        <f>IF(O103+1&lt;=MIN('Données projet'!$E$9:$E$18),O103+1,"STOP")</f>
        <v>71</v>
      </c>
      <c r="P104" s="184">
        <f t="shared" si="7"/>
        <v>6.5892295487709163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29"/>
      <c r="G105" s="205"/>
      <c r="H105" s="189"/>
      <c r="I105" s="190"/>
      <c r="J105" s="4"/>
      <c r="K105" s="172"/>
      <c r="L105" s="4"/>
      <c r="M105" s="4"/>
      <c r="N105" s="4"/>
      <c r="O105" s="193">
        <f>IF(O104+1&lt;=MIN('Données projet'!$E$9:$E$18),O104+1,"STOP")</f>
        <v>72</v>
      </c>
      <c r="P105" s="184">
        <f t="shared" si="7"/>
        <v>6.3054828217903518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29"/>
      <c r="G106" s="205"/>
      <c r="H106" s="189"/>
      <c r="I106" s="190"/>
      <c r="J106" s="4"/>
      <c r="K106" s="172"/>
      <c r="L106" s="4"/>
      <c r="M106" s="4"/>
      <c r="N106" s="4"/>
      <c r="O106" s="193">
        <f>IF(O105+1&lt;=MIN('Données projet'!$E$9:$E$18),O105+1,"STOP")</f>
        <v>73</v>
      </c>
      <c r="P106" s="184">
        <f t="shared" si="7"/>
        <v>6.0339548533878968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5" t="s">
        <v>168</v>
      </c>
      <c r="B107" s="173" t="str">
        <f>IF('Données projet'!B12="","",'Données projet'!B12)</f>
        <v>Charme</v>
      </c>
      <c r="C107" s="4"/>
      <c r="D107" s="4"/>
      <c r="E107" s="4"/>
      <c r="F107" s="229"/>
      <c r="G107" s="205"/>
      <c r="H107" s="189"/>
      <c r="I107" s="190"/>
      <c r="J107" s="4"/>
      <c r="K107" s="172"/>
      <c r="L107" s="4"/>
      <c r="M107" s="4"/>
      <c r="N107" s="4"/>
      <c r="O107" s="193">
        <f>IF(O106+1&lt;=MIN('Données projet'!$E$9:$E$18),O106+1,"STOP")</f>
        <v>74</v>
      </c>
      <c r="P107" s="184">
        <f t="shared" si="7"/>
        <v>5.7741194769262174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29"/>
      <c r="G108" s="205"/>
      <c r="H108" s="189"/>
      <c r="I108" s="190"/>
      <c r="J108" s="4"/>
      <c r="K108" s="172"/>
      <c r="L108" s="4"/>
      <c r="M108" s="4"/>
      <c r="N108" s="4"/>
      <c r="O108" s="193">
        <f>IF(O107+1&lt;=MIN('Données projet'!$E$9:$E$18),O107+1,"STOP")</f>
        <v>75</v>
      </c>
      <c r="P108" s="184">
        <f t="shared" si="7"/>
        <v>5.5254731836614521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5" t="s">
        <v>180</v>
      </c>
      <c r="B109" s="47" t="s">
        <v>256</v>
      </c>
      <c r="C109" s="47" t="s">
        <v>255</v>
      </c>
      <c r="D109" s="35" t="s">
        <v>252</v>
      </c>
      <c r="E109" s="35" t="s">
        <v>320</v>
      </c>
      <c r="F109" s="230"/>
      <c r="G109" s="205"/>
      <c r="H109" s="189"/>
      <c r="I109" s="190"/>
      <c r="J109" s="4"/>
      <c r="K109" s="172"/>
      <c r="L109" s="4"/>
      <c r="M109" s="4"/>
      <c r="N109" s="4"/>
      <c r="O109" s="193">
        <f>IF(O108+1&lt;=MIN('Données projet'!$E$9:$E$18),O108+1,"STOP")</f>
        <v>76</v>
      </c>
      <c r="P109" s="184">
        <f t="shared" si="7"/>
        <v>5.287534147044453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8">
        <v>0</v>
      </c>
      <c r="B110" s="198" t="s">
        <v>132</v>
      </c>
      <c r="C110" s="197" t="s">
        <v>132</v>
      </c>
      <c r="D110" s="196" t="s">
        <v>132</v>
      </c>
      <c r="E110" s="192"/>
      <c r="F110" s="230"/>
      <c r="G110" s="205"/>
      <c r="H110" s="189"/>
      <c r="I110" s="190"/>
      <c r="J110" s="4"/>
      <c r="K110" s="172"/>
      <c r="L110" s="4"/>
      <c r="M110" s="4"/>
      <c r="N110" s="4"/>
      <c r="O110" s="193" t="str">
        <f>IF(O109+1&lt;=MIN('Données projet'!$E$9:$E$18),O109+1,"STOP")</f>
        <v>STOP</v>
      </c>
      <c r="P110" s="184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8">
        <v>1</v>
      </c>
      <c r="B111" s="198" t="s">
        <v>132</v>
      </c>
      <c r="C111" s="197" t="s">
        <v>132</v>
      </c>
      <c r="D111" s="196" t="s">
        <v>132</v>
      </c>
      <c r="E111" s="192"/>
      <c r="F111" s="230"/>
      <c r="G111" s="23"/>
      <c r="H111" s="189"/>
      <c r="I111" s="190"/>
      <c r="J111" s="4"/>
      <c r="K111" s="172"/>
      <c r="L111" s="4"/>
      <c r="M111" s="4"/>
      <c r="N111" s="4"/>
      <c r="O111" s="193" t="e">
        <f>IF(O110+1&lt;=MIN('Données projet'!$E$9:$E$18),O110+1,"STOP")</f>
        <v>#VALUE!</v>
      </c>
      <c r="P111" s="184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8">
        <v>2</v>
      </c>
      <c r="B112" s="198" t="s">
        <v>132</v>
      </c>
      <c r="C112" s="197" t="s">
        <v>132</v>
      </c>
      <c r="D112" s="196" t="s">
        <v>132</v>
      </c>
      <c r="E112" s="192"/>
      <c r="F112" s="230"/>
      <c r="G112" s="23"/>
      <c r="H112" s="189"/>
      <c r="I112" s="190"/>
      <c r="J112" s="4"/>
      <c r="K112" s="172"/>
      <c r="L112" s="4"/>
      <c r="M112" s="4"/>
      <c r="N112" s="4"/>
      <c r="O112" s="193" t="e">
        <f>IF(O111+1&lt;=MIN('Données projet'!$E$9:$E$18),O111+1,"STOP")</f>
        <v>#VALUE!</v>
      </c>
      <c r="P112" s="184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8">
        <v>3</v>
      </c>
      <c r="B113" s="198" t="s">
        <v>132</v>
      </c>
      <c r="C113" s="197" t="s">
        <v>132</v>
      </c>
      <c r="D113" s="196" t="s">
        <v>132</v>
      </c>
      <c r="E113" s="192"/>
      <c r="F113" s="230"/>
      <c r="G113" s="23"/>
      <c r="H113" s="189"/>
      <c r="I113" s="190"/>
      <c r="J113" s="4"/>
      <c r="K113" s="172"/>
      <c r="L113" s="4"/>
      <c r="M113" s="4"/>
      <c r="N113" s="4"/>
      <c r="O113" s="193" t="e">
        <f>IF(O112+1&lt;=MIN('Données projet'!$E$9:$E$18),O112+1,"STOP")</f>
        <v>#VALUE!</v>
      </c>
      <c r="P113" s="184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8">
        <v>4</v>
      </c>
      <c r="B114" s="198" t="s">
        <v>132</v>
      </c>
      <c r="C114" s="197" t="s">
        <v>132</v>
      </c>
      <c r="D114" s="196" t="s">
        <v>132</v>
      </c>
      <c r="E114" s="192"/>
      <c r="F114" s="230"/>
      <c r="G114" s="23"/>
      <c r="H114" s="189"/>
      <c r="I114" s="190"/>
      <c r="J114" s="4"/>
      <c r="K114" s="172"/>
      <c r="L114" s="4"/>
      <c r="M114" s="4"/>
      <c r="N114" s="4"/>
      <c r="O114" s="193" t="e">
        <f>IF(O113+1&lt;=MIN('Données projet'!$E$9:$E$18),O113+1,"STOP")</f>
        <v>#VALUE!</v>
      </c>
      <c r="P114" s="184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8">
        <v>5</v>
      </c>
      <c r="B115" s="198" t="s">
        <v>132</v>
      </c>
      <c r="C115" s="197" t="s">
        <v>132</v>
      </c>
      <c r="D115" s="196" t="s">
        <v>132</v>
      </c>
      <c r="E115" s="192"/>
      <c r="F115" s="230"/>
      <c r="G115" s="204"/>
      <c r="H115" s="189"/>
      <c r="I115" s="190"/>
      <c r="J115" s="4"/>
      <c r="K115" s="172"/>
      <c r="L115" s="4"/>
      <c r="M115" s="4"/>
      <c r="N115" s="4"/>
      <c r="O115" s="193" t="e">
        <f>IF(O114+1&lt;=MIN('Données projet'!$E$9:$E$18),O114+1,"STOP")</f>
        <v>#VALUE!</v>
      </c>
      <c r="P115" s="184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79">
        <f>'Données projet'!A114</f>
        <v>42</v>
      </c>
      <c r="B116" s="180">
        <f>'Données projet'!D114</f>
        <v>44.510000000000005</v>
      </c>
      <c r="C116" s="190">
        <v>12.5</v>
      </c>
      <c r="D116" s="178">
        <f>B116*C116</f>
        <v>556.37500000000011</v>
      </c>
      <c r="E116" s="192">
        <v>60</v>
      </c>
      <c r="F116" s="231"/>
      <c r="G116" s="204"/>
      <c r="H116" s="189"/>
      <c r="I116" s="190"/>
      <c r="J116" s="4"/>
      <c r="K116" s="172"/>
      <c r="L116" s="4"/>
      <c r="M116" s="4"/>
      <c r="N116" s="4"/>
      <c r="O116" s="193" t="e">
        <f>IF(O115+1&lt;=MIN('Données projet'!$E$9:$E$18),O115+1,"STOP")</f>
        <v>#VALUE!</v>
      </c>
      <c r="P116" s="184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79">
        <f>'Données projet'!A115</f>
        <v>50</v>
      </c>
      <c r="B117" s="180">
        <f>'Données projet'!D115</f>
        <v>37.54000000000002</v>
      </c>
      <c r="C117" s="190">
        <v>12.5</v>
      </c>
      <c r="D117" s="178">
        <f t="shared" ref="D117:D135" si="8">B117*C117</f>
        <v>469.25000000000023</v>
      </c>
      <c r="E117" s="192">
        <v>60</v>
      </c>
      <c r="F117" s="231"/>
      <c r="G117" s="204"/>
      <c r="H117" s="189"/>
      <c r="I117" s="190"/>
      <c r="J117" s="4"/>
      <c r="K117" s="172"/>
      <c r="L117" s="4"/>
      <c r="M117" s="4"/>
      <c r="N117" s="4"/>
      <c r="O117" s="193" t="e">
        <f>IF(O116+1&lt;=MIN('Données projet'!$E$9:$E$18),O116+1,"STOP")</f>
        <v>#VALUE!</v>
      </c>
      <c r="P117" s="184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79">
        <f>'Données projet'!A116</f>
        <v>58</v>
      </c>
      <c r="B118" s="180">
        <f>'Données projet'!D116</f>
        <v>47.789999999999992</v>
      </c>
      <c r="C118" s="190">
        <v>12.5</v>
      </c>
      <c r="D118" s="178">
        <f t="shared" si="8"/>
        <v>597.37499999999989</v>
      </c>
      <c r="E118" s="192">
        <v>60</v>
      </c>
      <c r="F118" s="231"/>
      <c r="G118" s="204"/>
      <c r="H118" s="189"/>
      <c r="I118" s="190"/>
      <c r="J118" s="4"/>
      <c r="K118" s="172"/>
      <c r="L118" s="4"/>
      <c r="M118" s="4"/>
      <c r="N118" s="4"/>
      <c r="O118" s="193" t="e">
        <f>IF(O117+1&lt;=MIN('Données projet'!$E$9:$E$18),O117+1,"STOP")</f>
        <v>#VALUE!</v>
      </c>
      <c r="P118" s="184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79">
        <f>'Données projet'!A117</f>
        <v>66</v>
      </c>
      <c r="B119" s="180">
        <f>'Données projet'!D117</f>
        <v>53.679999999999978</v>
      </c>
      <c r="C119" s="190">
        <v>45.375</v>
      </c>
      <c r="D119" s="178">
        <f t="shared" si="8"/>
        <v>2435.7299999999991</v>
      </c>
      <c r="E119" s="192">
        <v>60</v>
      </c>
      <c r="F119" s="231"/>
      <c r="G119" s="204"/>
      <c r="H119" s="189"/>
      <c r="I119" s="190"/>
      <c r="J119" s="4"/>
      <c r="K119" s="172"/>
      <c r="L119" s="4"/>
      <c r="M119" s="4"/>
      <c r="N119" s="4"/>
      <c r="O119" s="193" t="e">
        <f>IF(O118+1&lt;=MIN('Données projet'!$E$9:$E$18),O118+1,"STOP")</f>
        <v>#VALUE!</v>
      </c>
      <c r="P119" s="184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79">
        <f>'Données projet'!A118</f>
        <v>74</v>
      </c>
      <c r="B120" s="180">
        <f>'Données projet'!D118</f>
        <v>51.339999999999975</v>
      </c>
      <c r="C120" s="190">
        <v>45.375</v>
      </c>
      <c r="D120" s="178">
        <f t="shared" si="8"/>
        <v>2329.5524999999989</v>
      </c>
      <c r="E120" s="192">
        <v>60</v>
      </c>
      <c r="F120" s="231"/>
      <c r="G120" s="204"/>
      <c r="H120" s="189"/>
      <c r="I120" s="190"/>
      <c r="J120" s="4"/>
      <c r="K120" s="172"/>
      <c r="L120" s="4"/>
      <c r="M120" s="4"/>
      <c r="N120" s="4"/>
      <c r="O120" s="193" t="e">
        <f>IF(O119+1&lt;=MIN('Données projet'!$E$9:$E$18),O119+1,"STOP")</f>
        <v>#VALUE!</v>
      </c>
      <c r="P120" s="184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79">
        <f>'Données projet'!A119</f>
        <v>84</v>
      </c>
      <c r="B121" s="180">
        <f>'Données projet'!D119</f>
        <v>66.69</v>
      </c>
      <c r="C121" s="190">
        <v>45.375</v>
      </c>
      <c r="D121" s="178">
        <f t="shared" si="8"/>
        <v>3026.0587499999997</v>
      </c>
      <c r="E121" s="192">
        <v>60</v>
      </c>
      <c r="F121" s="231"/>
      <c r="G121" s="204"/>
      <c r="H121" s="189"/>
      <c r="I121" s="190"/>
      <c r="J121" s="4"/>
      <c r="K121" s="172"/>
      <c r="L121" s="4"/>
      <c r="M121" s="4"/>
      <c r="N121" s="4"/>
      <c r="O121" s="193" t="e">
        <f>IF(O120+1&lt;=MIN('Données projet'!$E$9:$E$18),O120+1,"STOP")</f>
        <v>#VALUE!</v>
      </c>
      <c r="P121" s="184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79">
        <f>'Données projet'!A120</f>
        <v>94</v>
      </c>
      <c r="B122" s="180">
        <f>'Données projet'!D120</f>
        <v>67.350000000000023</v>
      </c>
      <c r="C122" s="190">
        <v>45.375</v>
      </c>
      <c r="D122" s="178">
        <f t="shared" si="8"/>
        <v>3056.0062500000008</v>
      </c>
      <c r="E122" s="192">
        <v>60</v>
      </c>
      <c r="F122" s="231"/>
      <c r="G122" s="205"/>
      <c r="H122" s="189"/>
      <c r="I122" s="190"/>
      <c r="J122" s="4"/>
      <c r="K122" s="172"/>
      <c r="L122" s="4"/>
      <c r="M122" s="4"/>
      <c r="N122" s="4"/>
      <c r="O122" s="193" t="e">
        <f>IF(O121+1&lt;=MIN('Données projet'!$E$9:$E$18),O121+1,"STOP")</f>
        <v>#VALUE!</v>
      </c>
      <c r="P122" s="184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79">
        <f>'Données projet'!A121</f>
        <v>104</v>
      </c>
      <c r="B123" s="180">
        <f>'Données projet'!D121</f>
        <v>66.089999999999975</v>
      </c>
      <c r="C123" s="190">
        <v>45.375</v>
      </c>
      <c r="D123" s="178">
        <f t="shared" si="8"/>
        <v>2998.8337499999989</v>
      </c>
      <c r="E123" s="192">
        <v>60</v>
      </c>
      <c r="F123" s="231"/>
      <c r="G123" s="205"/>
      <c r="H123" s="189"/>
      <c r="I123" s="190"/>
      <c r="J123" s="4"/>
      <c r="K123" s="172"/>
      <c r="L123" s="4"/>
      <c r="M123" s="4"/>
      <c r="N123" s="4"/>
      <c r="O123" s="193" t="e">
        <f>IF(O122+1&lt;=MIN('Données projet'!$E$9:$E$18),O122+1,"STOP")</f>
        <v>#VALUE!</v>
      </c>
      <c r="P123" s="184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79">
        <f>'Données projet'!A122</f>
        <v>114</v>
      </c>
      <c r="B124" s="180">
        <f>'Données projet'!D122</f>
        <v>61.860000000000014</v>
      </c>
      <c r="C124" s="190">
        <v>45.375</v>
      </c>
      <c r="D124" s="178">
        <f t="shared" si="8"/>
        <v>2806.8975000000005</v>
      </c>
      <c r="E124" s="192">
        <v>60</v>
      </c>
      <c r="F124" s="231"/>
      <c r="G124" s="205"/>
      <c r="H124" s="189"/>
      <c r="I124" s="190"/>
      <c r="J124" s="4"/>
      <c r="K124" s="172"/>
      <c r="L124" s="4"/>
      <c r="M124" s="4"/>
      <c r="N124" s="4"/>
      <c r="O124" s="193" t="e">
        <f>IF(O123+1&lt;=MIN('Données projet'!$E$9:$E$18),O123+1,"STOP")</f>
        <v>#VALUE!</v>
      </c>
      <c r="P124" s="184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79">
        <f>'Données projet'!A123</f>
        <v>124</v>
      </c>
      <c r="B125" s="180">
        <f>'Données projet'!D123</f>
        <v>57.81</v>
      </c>
      <c r="C125" s="190">
        <v>45.375</v>
      </c>
      <c r="D125" s="178">
        <f t="shared" si="8"/>
        <v>2623.1287500000003</v>
      </c>
      <c r="E125" s="192">
        <v>60</v>
      </c>
      <c r="F125" s="231"/>
      <c r="G125" s="205"/>
      <c r="H125" s="189"/>
      <c r="I125" s="190"/>
      <c r="J125" s="4"/>
      <c r="K125" s="172"/>
      <c r="L125" s="4"/>
      <c r="M125" s="4"/>
      <c r="N125" s="4"/>
      <c r="O125" s="193" t="e">
        <f>IF(O124+1&lt;=MIN('Données projet'!$E$9:$E$18),O124+1,"STOP")</f>
        <v>#VALUE!</v>
      </c>
      <c r="P125" s="184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79">
        <f>'Données projet'!A124</f>
        <v>134</v>
      </c>
      <c r="B126" s="180">
        <f>'Données projet'!D124</f>
        <v>60.779999999999973</v>
      </c>
      <c r="C126" s="190">
        <v>138</v>
      </c>
      <c r="D126" s="178">
        <f t="shared" si="8"/>
        <v>8387.6399999999958</v>
      </c>
      <c r="E126" s="192">
        <v>60</v>
      </c>
      <c r="F126" s="231"/>
      <c r="G126" s="205"/>
      <c r="H126" s="189"/>
      <c r="I126" s="190"/>
      <c r="J126" s="4"/>
      <c r="K126" s="172"/>
      <c r="L126" s="4"/>
      <c r="M126" s="4"/>
      <c r="N126" s="4"/>
      <c r="O126" s="193" t="e">
        <f>IF(O125+1&lt;=MIN('Données projet'!$E$9:$E$18),O125+1,"STOP")</f>
        <v>#VALUE!</v>
      </c>
      <c r="P126" s="184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79">
        <f>'Données projet'!A125</f>
        <v>144</v>
      </c>
      <c r="B127" s="180">
        <f>'Données projet'!D125</f>
        <v>61.800000000000068</v>
      </c>
      <c r="C127" s="190">
        <v>138</v>
      </c>
      <c r="D127" s="178">
        <f t="shared" si="8"/>
        <v>8528.4000000000087</v>
      </c>
      <c r="E127" s="192">
        <v>60</v>
      </c>
      <c r="F127" s="231"/>
      <c r="G127" s="205"/>
      <c r="H127" s="189"/>
      <c r="I127" s="190"/>
      <c r="J127" s="4"/>
      <c r="K127" s="172"/>
      <c r="L127" s="4"/>
      <c r="M127" s="4"/>
      <c r="N127" s="4"/>
      <c r="O127" s="193" t="e">
        <f>IF(O126+1&lt;=MIN('Données projet'!$E$9:$E$18),O126+1,"STOP")</f>
        <v>#VALUE!</v>
      </c>
      <c r="P127" s="184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79">
        <f>'Données projet'!A126</f>
        <v>154</v>
      </c>
      <c r="B128" s="180">
        <f>'Données projet'!D126</f>
        <v>61.050000000000011</v>
      </c>
      <c r="C128" s="190">
        <v>138</v>
      </c>
      <c r="D128" s="178">
        <f t="shared" si="8"/>
        <v>8424.9000000000015</v>
      </c>
      <c r="E128" s="192">
        <v>60</v>
      </c>
      <c r="F128" s="231"/>
      <c r="G128" s="205"/>
      <c r="H128" s="189"/>
      <c r="I128" s="190"/>
      <c r="J128" s="4"/>
      <c r="K128" s="172"/>
      <c r="L128" s="4"/>
      <c r="M128" s="4"/>
      <c r="N128" s="4"/>
      <c r="O128" s="193" t="e">
        <f>IF(O127+1&lt;=MIN('Données projet'!$E$9:$E$18),O127+1,"STOP")</f>
        <v>#VALUE!</v>
      </c>
      <c r="P128" s="184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79">
        <f>'Données projet'!A127</f>
        <v>164</v>
      </c>
      <c r="B129" s="180">
        <f>'Données projet'!D127</f>
        <v>66.020000000000095</v>
      </c>
      <c r="C129" s="190">
        <v>138</v>
      </c>
      <c r="D129" s="178">
        <f t="shared" si="8"/>
        <v>9110.760000000013</v>
      </c>
      <c r="E129" s="192">
        <v>60</v>
      </c>
      <c r="F129" s="231"/>
      <c r="G129" s="205"/>
      <c r="H129" s="189"/>
      <c r="I129" s="190"/>
      <c r="J129" s="4"/>
      <c r="K129" s="172"/>
      <c r="L129" s="4"/>
      <c r="M129" s="4"/>
      <c r="N129" s="4"/>
      <c r="O129" s="193" t="e">
        <f>IF(O128+1&lt;=MIN('Données projet'!$E$9:$E$18),O128+1,"STOP")</f>
        <v>#VALUE!</v>
      </c>
      <c r="P129" s="184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79">
        <f>'Données projet'!A128</f>
        <v>174</v>
      </c>
      <c r="B130" s="180">
        <f>'Données projet'!D128</f>
        <v>240</v>
      </c>
      <c r="C130" s="190">
        <v>156.375</v>
      </c>
      <c r="D130" s="178">
        <f t="shared" si="8"/>
        <v>37530</v>
      </c>
      <c r="E130" s="192">
        <v>60</v>
      </c>
      <c r="F130" s="231"/>
      <c r="G130" s="205"/>
      <c r="H130" s="189"/>
      <c r="I130" s="190"/>
      <c r="J130" s="4"/>
      <c r="K130" s="172"/>
      <c r="L130" s="4"/>
      <c r="M130" s="4"/>
      <c r="N130" s="4"/>
      <c r="O130" s="193" t="e">
        <f>IF(O129+1&lt;=MIN('Données projet'!$E$9:$E$18),O129+1,"STOP")</f>
        <v>#VALUE!</v>
      </c>
      <c r="P130" s="184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79">
        <f>'Données projet'!A129</f>
        <v>177</v>
      </c>
      <c r="B131" s="180">
        <f>'Données projet'!D129</f>
        <v>128.66000000000003</v>
      </c>
      <c r="C131" s="190">
        <v>156.375</v>
      </c>
      <c r="D131" s="178">
        <f t="shared" si="8"/>
        <v>20119.207500000004</v>
      </c>
      <c r="E131" s="192">
        <v>60</v>
      </c>
      <c r="F131" s="231"/>
      <c r="G131" s="205"/>
      <c r="H131" s="189"/>
      <c r="I131" s="190"/>
      <c r="J131" s="4"/>
      <c r="K131" s="172"/>
      <c r="L131" s="4"/>
      <c r="M131" s="4"/>
      <c r="N131" s="4"/>
      <c r="O131" s="193" t="e">
        <f>IF(O130+1&lt;=MIN('Données projet'!$E$9:$E$18),O130+1,"STOP")</f>
        <v>#VALUE!</v>
      </c>
      <c r="P131" s="184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79">
        <f>'Données projet'!A130</f>
        <v>180</v>
      </c>
      <c r="B132" s="180">
        <f>'Données projet'!D130</f>
        <v>86.97</v>
      </c>
      <c r="C132" s="190">
        <v>156.375</v>
      </c>
      <c r="D132" s="178">
        <f t="shared" si="8"/>
        <v>13599.93375</v>
      </c>
      <c r="E132" s="192">
        <v>60</v>
      </c>
      <c r="F132" s="231"/>
      <c r="G132" s="205"/>
      <c r="H132" s="189"/>
      <c r="I132" s="190"/>
      <c r="J132" s="4"/>
      <c r="K132" s="172"/>
      <c r="L132" s="4"/>
      <c r="M132" s="4"/>
      <c r="N132" s="4"/>
      <c r="O132" s="193" t="e">
        <f>IF(O131+1&lt;=MIN('Données projet'!$E$9:$E$18),O131+1,"STOP")</f>
        <v>#VALUE!</v>
      </c>
      <c r="P132" s="184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79">
        <f>'Données projet'!A131</f>
        <v>183</v>
      </c>
      <c r="B133" s="180">
        <f>'Données projet'!D131</f>
        <v>191.47</v>
      </c>
      <c r="C133" s="190">
        <v>156.375</v>
      </c>
      <c r="D133" s="178">
        <f t="shared" si="8"/>
        <v>29941.12125</v>
      </c>
      <c r="E133" s="192">
        <v>60</v>
      </c>
      <c r="F133" s="231"/>
      <c r="G133" s="205"/>
      <c r="H133" s="189"/>
      <c r="I133" s="190"/>
      <c r="J133" s="4"/>
      <c r="K133" s="172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79">
        <f>'Données projet'!A132</f>
        <v>0</v>
      </c>
      <c r="B134" s="180">
        <f>'Données projet'!D132</f>
        <v>0</v>
      </c>
      <c r="C134" s="190"/>
      <c r="D134" s="178">
        <f t="shared" si="8"/>
        <v>0</v>
      </c>
      <c r="E134" s="192"/>
      <c r="F134" s="231"/>
      <c r="G134" s="205"/>
      <c r="H134" s="189"/>
      <c r="I134" s="190"/>
      <c r="J134" s="4"/>
      <c r="K134" s="172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79">
        <f>'Données projet'!A133</f>
        <v>0</v>
      </c>
      <c r="B135" s="180">
        <f>'Données projet'!D133</f>
        <v>0</v>
      </c>
      <c r="C135" s="190"/>
      <c r="D135" s="178">
        <f t="shared" si="8"/>
        <v>0</v>
      </c>
      <c r="E135" s="192"/>
      <c r="F135" s="231"/>
      <c r="G135" s="205"/>
      <c r="H135" s="189"/>
      <c r="I135" s="190"/>
      <c r="J135" s="4"/>
      <c r="K135" s="172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29"/>
      <c r="G136" s="205"/>
      <c r="H136" s="189"/>
      <c r="I136" s="190"/>
      <c r="J136" s="4"/>
      <c r="K136" s="172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29"/>
      <c r="G137" s="205"/>
      <c r="H137" s="189"/>
      <c r="I137" s="190"/>
      <c r="J137" s="4"/>
      <c r="K137" s="172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5" t="s">
        <v>169</v>
      </c>
      <c r="B138" s="173" t="str">
        <f>IF('Données projet'!B13="","",'Données projet'!B13)</f>
        <v/>
      </c>
      <c r="C138" s="4"/>
      <c r="D138" s="4"/>
      <c r="E138" s="4"/>
      <c r="F138" s="229"/>
      <c r="G138" s="205"/>
      <c r="H138" s="189"/>
      <c r="I138" s="190"/>
      <c r="J138" s="4"/>
      <c r="K138" s="172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29"/>
      <c r="G139" s="205"/>
      <c r="H139" s="189"/>
      <c r="I139" s="190"/>
      <c r="J139" s="4"/>
      <c r="K139" s="172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5" t="s">
        <v>180</v>
      </c>
      <c r="B140" s="47" t="s">
        <v>256</v>
      </c>
      <c r="C140" s="47" t="s">
        <v>255</v>
      </c>
      <c r="D140" s="35" t="s">
        <v>252</v>
      </c>
      <c r="E140" s="35" t="s">
        <v>320</v>
      </c>
      <c r="F140" s="230"/>
      <c r="G140" s="205"/>
      <c r="H140" s="189"/>
      <c r="I140" s="190"/>
      <c r="J140" s="4"/>
      <c r="K140" s="172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8">
        <v>0</v>
      </c>
      <c r="B141" s="198" t="s">
        <v>132</v>
      </c>
      <c r="C141" s="197" t="s">
        <v>132</v>
      </c>
      <c r="D141" s="196" t="s">
        <v>132</v>
      </c>
      <c r="E141" s="192"/>
      <c r="F141" s="230"/>
      <c r="G141" s="205"/>
      <c r="H141" s="189"/>
      <c r="I141" s="190"/>
      <c r="J141" s="4"/>
      <c r="K141" s="172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8">
        <v>1</v>
      </c>
      <c r="B142" s="198" t="s">
        <v>132</v>
      </c>
      <c r="C142" s="197" t="s">
        <v>132</v>
      </c>
      <c r="D142" s="196" t="s">
        <v>132</v>
      </c>
      <c r="E142" s="192"/>
      <c r="F142" s="230"/>
      <c r="G142" s="23"/>
      <c r="H142" s="189"/>
      <c r="I142" s="190"/>
      <c r="J142" s="4"/>
      <c r="K142" s="172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8">
        <v>2</v>
      </c>
      <c r="B143" s="198" t="s">
        <v>132</v>
      </c>
      <c r="C143" s="197" t="s">
        <v>132</v>
      </c>
      <c r="D143" s="196" t="s">
        <v>132</v>
      </c>
      <c r="E143" s="192"/>
      <c r="F143" s="230"/>
      <c r="G143" s="23"/>
      <c r="H143" s="189"/>
      <c r="I143" s="190"/>
      <c r="J143" s="4"/>
      <c r="K143" s="172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8">
        <v>3</v>
      </c>
      <c r="B144" s="198" t="s">
        <v>132</v>
      </c>
      <c r="C144" s="197" t="s">
        <v>132</v>
      </c>
      <c r="D144" s="196" t="s">
        <v>132</v>
      </c>
      <c r="E144" s="192"/>
      <c r="F144" s="230"/>
      <c r="G144" s="23"/>
      <c r="H144" s="189"/>
      <c r="I144" s="190"/>
      <c r="J144" s="4"/>
      <c r="K144" s="172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8">
        <v>4</v>
      </c>
      <c r="B145" s="198" t="s">
        <v>132</v>
      </c>
      <c r="C145" s="197" t="s">
        <v>132</v>
      </c>
      <c r="D145" s="196" t="s">
        <v>132</v>
      </c>
      <c r="E145" s="192"/>
      <c r="F145" s="230"/>
      <c r="G145" s="23"/>
      <c r="H145" s="189"/>
      <c r="I145" s="190"/>
      <c r="J145" s="4"/>
      <c r="K145" s="172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8">
        <v>5</v>
      </c>
      <c r="B146" s="198" t="s">
        <v>132</v>
      </c>
      <c r="C146" s="197" t="s">
        <v>132</v>
      </c>
      <c r="D146" s="196" t="s">
        <v>132</v>
      </c>
      <c r="E146" s="192"/>
      <c r="F146" s="230"/>
      <c r="G146" s="204"/>
      <c r="H146" s="189"/>
      <c r="I146" s="190"/>
      <c r="J146" s="4"/>
      <c r="K146" s="172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1">
        <f>'Données projet'!A140</f>
        <v>0</v>
      </c>
      <c r="B147" s="174">
        <f>'Données projet'!D140</f>
        <v>0</v>
      </c>
      <c r="C147" s="190"/>
      <c r="D147" s="181">
        <f>B147*C147</f>
        <v>0</v>
      </c>
      <c r="E147" s="192"/>
      <c r="F147" s="232"/>
      <c r="G147" s="204"/>
      <c r="H147" s="189"/>
      <c r="I147" s="190"/>
      <c r="J147" s="4"/>
      <c r="K147" s="172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1">
        <f>'Données projet'!A141</f>
        <v>0</v>
      </c>
      <c r="B148" s="174">
        <f>'Données projet'!D141</f>
        <v>0</v>
      </c>
      <c r="C148" s="190"/>
      <c r="D148" s="181">
        <f t="shared" ref="D148:D166" si="10">B148*C148</f>
        <v>0</v>
      </c>
      <c r="E148" s="192"/>
      <c r="F148" s="232"/>
      <c r="G148" s="204"/>
      <c r="H148" s="189"/>
      <c r="I148" s="190"/>
      <c r="J148" s="4"/>
      <c r="K148" s="172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1">
        <f>'Données projet'!A142</f>
        <v>0</v>
      </c>
      <c r="B149" s="174">
        <f>'Données projet'!D142</f>
        <v>0</v>
      </c>
      <c r="C149" s="190"/>
      <c r="D149" s="181">
        <f t="shared" si="10"/>
        <v>0</v>
      </c>
      <c r="E149" s="192"/>
      <c r="F149" s="232"/>
      <c r="G149" s="204"/>
      <c r="H149" s="189"/>
      <c r="I149" s="190"/>
      <c r="J149" s="4"/>
      <c r="K149" s="172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1">
        <f>'Données projet'!A143</f>
        <v>0</v>
      </c>
      <c r="B150" s="174">
        <f>'Données projet'!D143</f>
        <v>0</v>
      </c>
      <c r="C150" s="190"/>
      <c r="D150" s="181">
        <f t="shared" si="10"/>
        <v>0</v>
      </c>
      <c r="E150" s="192"/>
      <c r="F150" s="232"/>
      <c r="G150" s="204"/>
      <c r="H150" s="189"/>
      <c r="I150" s="190"/>
      <c r="J150" s="4"/>
      <c r="K150" s="172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1">
        <f>'Données projet'!A144</f>
        <v>0</v>
      </c>
      <c r="B151" s="174">
        <f>'Données projet'!D144</f>
        <v>0</v>
      </c>
      <c r="C151" s="190"/>
      <c r="D151" s="181">
        <f t="shared" si="10"/>
        <v>0</v>
      </c>
      <c r="E151" s="192"/>
      <c r="F151" s="232"/>
      <c r="G151" s="204"/>
      <c r="H151" s="189"/>
      <c r="I151" s="190"/>
      <c r="J151" s="4"/>
      <c r="K151" s="172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1">
        <f>'Données projet'!A145</f>
        <v>0</v>
      </c>
      <c r="B152" s="174">
        <f>'Données projet'!D145</f>
        <v>0</v>
      </c>
      <c r="C152" s="190"/>
      <c r="D152" s="181">
        <f t="shared" si="10"/>
        <v>0</v>
      </c>
      <c r="E152" s="192"/>
      <c r="F152" s="232"/>
      <c r="G152" s="204"/>
      <c r="H152" s="189"/>
      <c r="I152" s="190"/>
      <c r="J152" s="4"/>
      <c r="K152" s="172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1">
        <f>'Données projet'!A146</f>
        <v>0</v>
      </c>
      <c r="B153" s="174">
        <f>'Données projet'!D146</f>
        <v>0</v>
      </c>
      <c r="C153" s="190"/>
      <c r="D153" s="181">
        <f t="shared" si="10"/>
        <v>0</v>
      </c>
      <c r="E153" s="192"/>
      <c r="F153" s="232"/>
      <c r="G153" s="202"/>
      <c r="H153" s="189"/>
      <c r="I153" s="190"/>
      <c r="J153" s="4"/>
      <c r="K153" s="172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1">
        <f>'Données projet'!A147</f>
        <v>0</v>
      </c>
      <c r="B154" s="174">
        <f>'Données projet'!D147</f>
        <v>0</v>
      </c>
      <c r="C154" s="190"/>
      <c r="D154" s="181">
        <f t="shared" si="10"/>
        <v>0</v>
      </c>
      <c r="E154" s="192"/>
      <c r="F154" s="232"/>
      <c r="G154" s="202"/>
      <c r="H154" s="189"/>
      <c r="I154" s="190"/>
      <c r="J154" s="4"/>
      <c r="K154" s="172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1">
        <f>'Données projet'!A148</f>
        <v>0</v>
      </c>
      <c r="B155" s="174">
        <f>'Données projet'!D148</f>
        <v>0</v>
      </c>
      <c r="C155" s="190"/>
      <c r="D155" s="181">
        <f t="shared" si="10"/>
        <v>0</v>
      </c>
      <c r="E155" s="192"/>
      <c r="F155" s="232"/>
      <c r="G155" s="202"/>
      <c r="H155" s="189"/>
      <c r="I155" s="190"/>
      <c r="J155" s="4"/>
      <c r="K155" s="172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1">
        <f>'Données projet'!A149</f>
        <v>0</v>
      </c>
      <c r="B156" s="174">
        <f>'Données projet'!D149</f>
        <v>0</v>
      </c>
      <c r="C156" s="190"/>
      <c r="D156" s="181">
        <f t="shared" si="10"/>
        <v>0</v>
      </c>
      <c r="E156" s="192"/>
      <c r="F156" s="232"/>
      <c r="G156" s="202"/>
      <c r="H156" s="189"/>
      <c r="I156" s="190"/>
      <c r="J156" s="4"/>
      <c r="K156" s="172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1">
        <f>'Données projet'!A150</f>
        <v>0</v>
      </c>
      <c r="B157" s="174">
        <f>'Données projet'!D150</f>
        <v>0</v>
      </c>
      <c r="C157" s="190"/>
      <c r="D157" s="181">
        <f t="shared" si="10"/>
        <v>0</v>
      </c>
      <c r="E157" s="192"/>
      <c r="F157" s="232"/>
      <c r="G157" s="202"/>
      <c r="H157" s="189"/>
      <c r="I157" s="190"/>
      <c r="J157" s="4"/>
      <c r="K157" s="172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1">
        <f>'Données projet'!A151</f>
        <v>0</v>
      </c>
      <c r="B158" s="174">
        <f>'Données projet'!D151</f>
        <v>0</v>
      </c>
      <c r="C158" s="190"/>
      <c r="D158" s="181">
        <f t="shared" si="10"/>
        <v>0</v>
      </c>
      <c r="E158" s="192"/>
      <c r="F158" s="232"/>
      <c r="G158" s="202"/>
      <c r="H158" s="189"/>
      <c r="I158" s="190"/>
      <c r="J158" s="4"/>
      <c r="K158" s="172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1">
        <f>'Données projet'!A152</f>
        <v>0</v>
      </c>
      <c r="B159" s="174">
        <f>'Données projet'!D152</f>
        <v>0</v>
      </c>
      <c r="C159" s="190"/>
      <c r="D159" s="181">
        <f t="shared" si="10"/>
        <v>0</v>
      </c>
      <c r="E159" s="192"/>
      <c r="F159" s="232"/>
      <c r="G159" s="202"/>
      <c r="H159" s="189"/>
      <c r="I159" s="190"/>
      <c r="J159" s="4"/>
      <c r="K159" s="172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1">
        <f>'Données projet'!A153</f>
        <v>0</v>
      </c>
      <c r="B160" s="174">
        <f>'Données projet'!D153</f>
        <v>0</v>
      </c>
      <c r="C160" s="190"/>
      <c r="D160" s="181">
        <f t="shared" si="10"/>
        <v>0</v>
      </c>
      <c r="E160" s="192"/>
      <c r="F160" s="232"/>
      <c r="G160" s="202"/>
      <c r="H160" s="189"/>
      <c r="I160" s="190"/>
      <c r="J160" s="4"/>
      <c r="K160" s="17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1">
        <f>'Données projet'!A154</f>
        <v>0</v>
      </c>
      <c r="B161" s="174">
        <f>'Données projet'!D154</f>
        <v>0</v>
      </c>
      <c r="C161" s="190"/>
      <c r="D161" s="181">
        <f t="shared" si="10"/>
        <v>0</v>
      </c>
      <c r="E161" s="192"/>
      <c r="F161" s="232"/>
      <c r="G161" s="202"/>
      <c r="H161" s="189"/>
      <c r="I161" s="190"/>
      <c r="J161" s="4"/>
      <c r="K161" s="17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1">
        <f>'Données projet'!A155</f>
        <v>0</v>
      </c>
      <c r="B162" s="174">
        <f>'Données projet'!D155</f>
        <v>0</v>
      </c>
      <c r="C162" s="190"/>
      <c r="D162" s="181">
        <f t="shared" si="10"/>
        <v>0</v>
      </c>
      <c r="E162" s="192"/>
      <c r="F162" s="232"/>
      <c r="G162" s="202"/>
      <c r="H162" s="189"/>
      <c r="I162" s="190"/>
      <c r="J162" s="4"/>
      <c r="K162" s="17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1">
        <f>'Données projet'!A156</f>
        <v>0</v>
      </c>
      <c r="B163" s="174">
        <f>'Données projet'!D156</f>
        <v>0</v>
      </c>
      <c r="C163" s="190"/>
      <c r="D163" s="181">
        <f t="shared" si="10"/>
        <v>0</v>
      </c>
      <c r="E163" s="192"/>
      <c r="F163" s="232"/>
      <c r="G163" s="202"/>
      <c r="H163" s="189"/>
      <c r="I163" s="190"/>
      <c r="J163" s="4"/>
      <c r="K163" s="17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1">
        <f>'Données projet'!A157</f>
        <v>0</v>
      </c>
      <c r="B164" s="174">
        <f>'Données projet'!D157</f>
        <v>0</v>
      </c>
      <c r="C164" s="190"/>
      <c r="D164" s="181">
        <f t="shared" si="10"/>
        <v>0</v>
      </c>
      <c r="E164" s="192"/>
      <c r="F164" s="232"/>
      <c r="G164" s="202"/>
      <c r="H164" s="189"/>
      <c r="I164" s="190"/>
      <c r="J164" s="4"/>
      <c r="K164" s="17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1">
        <f>'Données projet'!A158</f>
        <v>0</v>
      </c>
      <c r="B165" s="174">
        <f>'Données projet'!D158</f>
        <v>0</v>
      </c>
      <c r="C165" s="190"/>
      <c r="D165" s="181">
        <f t="shared" si="10"/>
        <v>0</v>
      </c>
      <c r="E165" s="192"/>
      <c r="F165" s="232"/>
      <c r="G165" s="202"/>
      <c r="H165" s="189"/>
      <c r="I165" s="190"/>
      <c r="J165" s="4"/>
      <c r="K165" s="17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1">
        <f>'Données projet'!A159</f>
        <v>0</v>
      </c>
      <c r="B166" s="174">
        <f>'Données projet'!D159</f>
        <v>0</v>
      </c>
      <c r="C166" s="190"/>
      <c r="D166" s="181">
        <f t="shared" si="10"/>
        <v>0</v>
      </c>
      <c r="E166" s="192"/>
      <c r="F166" s="232"/>
      <c r="G166" s="202"/>
      <c r="H166" s="189"/>
      <c r="I166" s="190"/>
      <c r="J166" s="4"/>
      <c r="K166" s="17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29"/>
      <c r="G167" s="202"/>
      <c r="H167" s="189"/>
      <c r="I167" s="190"/>
      <c r="J167" s="4"/>
      <c r="K167" s="17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29"/>
      <c r="G168" s="202"/>
      <c r="H168" s="189"/>
      <c r="I168" s="190"/>
      <c r="J168" s="4"/>
      <c r="K168" s="17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5" t="s">
        <v>170</v>
      </c>
      <c r="B169" s="173" t="str">
        <f>IF('Données projet'!B14="","",'Données projet'!B14)</f>
        <v/>
      </c>
      <c r="C169" s="4"/>
      <c r="D169" s="4"/>
      <c r="E169" s="4"/>
      <c r="F169" s="229"/>
      <c r="G169" s="202"/>
      <c r="H169" s="189"/>
      <c r="I169" s="190"/>
      <c r="J169" s="4"/>
      <c r="K169" s="17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29"/>
      <c r="G170" s="202"/>
      <c r="H170" s="189"/>
      <c r="I170" s="190"/>
      <c r="J170" s="4"/>
      <c r="K170" s="17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5" t="s">
        <v>180</v>
      </c>
      <c r="B171" s="47" t="s">
        <v>256</v>
      </c>
      <c r="C171" s="47" t="s">
        <v>255</v>
      </c>
      <c r="D171" s="35" t="s">
        <v>252</v>
      </c>
      <c r="E171" s="35" t="s">
        <v>320</v>
      </c>
      <c r="F171" s="230"/>
      <c r="G171" s="202"/>
      <c r="H171" s="189"/>
      <c r="I171" s="190"/>
      <c r="J171" s="4"/>
      <c r="K171" s="17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8">
        <v>0</v>
      </c>
      <c r="B172" s="198" t="s">
        <v>132</v>
      </c>
      <c r="C172" s="197" t="s">
        <v>132</v>
      </c>
      <c r="D172" s="196" t="s">
        <v>132</v>
      </c>
      <c r="E172" s="192"/>
      <c r="F172" s="230"/>
      <c r="G172" s="202"/>
      <c r="H172" s="189"/>
      <c r="I172" s="190"/>
      <c r="J172" s="4"/>
      <c r="K172" s="17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8">
        <v>1</v>
      </c>
      <c r="B173" s="198" t="s">
        <v>132</v>
      </c>
      <c r="C173" s="197" t="s">
        <v>132</v>
      </c>
      <c r="D173" s="196" t="s">
        <v>132</v>
      </c>
      <c r="E173" s="192"/>
      <c r="F173" s="230"/>
      <c r="G173" s="23"/>
      <c r="H173" s="189"/>
      <c r="I173" s="190"/>
      <c r="J173" s="4"/>
      <c r="K173" s="17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8">
        <v>2</v>
      </c>
      <c r="B174" s="198" t="s">
        <v>132</v>
      </c>
      <c r="C174" s="197" t="s">
        <v>132</v>
      </c>
      <c r="D174" s="196" t="s">
        <v>132</v>
      </c>
      <c r="E174" s="192"/>
      <c r="F174" s="230"/>
      <c r="G174" s="23"/>
      <c r="H174" s="189"/>
      <c r="I174" s="190"/>
      <c r="J174" s="4"/>
      <c r="K174" s="17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8">
        <v>3</v>
      </c>
      <c r="B175" s="198" t="s">
        <v>132</v>
      </c>
      <c r="C175" s="197" t="s">
        <v>132</v>
      </c>
      <c r="D175" s="196" t="s">
        <v>132</v>
      </c>
      <c r="E175" s="192"/>
      <c r="F175" s="230"/>
      <c r="G175" s="23"/>
      <c r="H175" s="189"/>
      <c r="I175" s="190"/>
      <c r="J175" s="4"/>
      <c r="K175" s="17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8">
        <v>4</v>
      </c>
      <c r="B176" s="198" t="s">
        <v>132</v>
      </c>
      <c r="C176" s="197" t="s">
        <v>132</v>
      </c>
      <c r="D176" s="196" t="s">
        <v>132</v>
      </c>
      <c r="E176" s="192"/>
      <c r="F176" s="230"/>
      <c r="G176" s="23"/>
      <c r="H176" s="189"/>
      <c r="I176" s="190"/>
      <c r="J176" s="4"/>
      <c r="K176" s="17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8">
        <v>5</v>
      </c>
      <c r="B177" s="198" t="s">
        <v>132</v>
      </c>
      <c r="C177" s="197" t="s">
        <v>132</v>
      </c>
      <c r="D177" s="196" t="s">
        <v>132</v>
      </c>
      <c r="E177" s="192"/>
      <c r="F177" s="230"/>
      <c r="G177" s="204"/>
      <c r="H177" s="189"/>
      <c r="I177" s="190"/>
      <c r="J177" s="4"/>
      <c r="K177" s="17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79">
        <f>'Données projet'!A166</f>
        <v>0</v>
      </c>
      <c r="B178" s="180">
        <f>'Données projet'!D166</f>
        <v>0</v>
      </c>
      <c r="C178" s="192"/>
      <c r="D178" s="178">
        <f>B178*C178</f>
        <v>0</v>
      </c>
      <c r="E178" s="192"/>
      <c r="F178" s="231"/>
      <c r="G178" s="204"/>
      <c r="H178" s="189"/>
      <c r="I178" s="190"/>
      <c r="J178" s="4"/>
      <c r="K178" s="17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79">
        <f>'Données projet'!A167</f>
        <v>0</v>
      </c>
      <c r="B179" s="180">
        <f>'Données projet'!D167</f>
        <v>0</v>
      </c>
      <c r="C179" s="192"/>
      <c r="D179" s="178">
        <f t="shared" ref="D179:D197" si="11">B179*C179</f>
        <v>0</v>
      </c>
      <c r="E179" s="192"/>
      <c r="F179" s="231"/>
      <c r="G179" s="204"/>
      <c r="H179" s="189"/>
      <c r="I179" s="190"/>
      <c r="J179" s="4"/>
      <c r="K179" s="17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79">
        <f>'Données projet'!A168</f>
        <v>0</v>
      </c>
      <c r="B180" s="180">
        <f>'Données projet'!D168</f>
        <v>0</v>
      </c>
      <c r="C180" s="192"/>
      <c r="D180" s="178">
        <f t="shared" si="11"/>
        <v>0</v>
      </c>
      <c r="E180" s="192"/>
      <c r="F180" s="231"/>
      <c r="G180" s="204"/>
      <c r="H180" s="189"/>
      <c r="I180" s="190"/>
      <c r="J180" s="4"/>
      <c r="K180" s="17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79">
        <f>'Données projet'!A169</f>
        <v>0</v>
      </c>
      <c r="B181" s="180">
        <f>'Données projet'!D169</f>
        <v>0</v>
      </c>
      <c r="C181" s="192"/>
      <c r="D181" s="178">
        <f t="shared" si="11"/>
        <v>0</v>
      </c>
      <c r="E181" s="192"/>
      <c r="F181" s="231"/>
      <c r="G181" s="204"/>
      <c r="H181" s="189"/>
      <c r="I181" s="190"/>
      <c r="J181" s="4"/>
      <c r="K181" s="17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79">
        <f>'Données projet'!A170</f>
        <v>0</v>
      </c>
      <c r="B182" s="180">
        <f>'Données projet'!D170</f>
        <v>0</v>
      </c>
      <c r="C182" s="192"/>
      <c r="D182" s="178">
        <f t="shared" si="11"/>
        <v>0</v>
      </c>
      <c r="E182" s="192"/>
      <c r="F182" s="231"/>
      <c r="G182" s="204"/>
      <c r="H182" s="189"/>
      <c r="I182" s="190"/>
      <c r="J182" s="4"/>
      <c r="K182" s="17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79">
        <f>'Données projet'!A171</f>
        <v>0</v>
      </c>
      <c r="B183" s="180">
        <f>'Données projet'!D171</f>
        <v>0</v>
      </c>
      <c r="C183" s="192"/>
      <c r="D183" s="178">
        <f t="shared" si="11"/>
        <v>0</v>
      </c>
      <c r="E183" s="192"/>
      <c r="F183" s="231"/>
      <c r="G183" s="204"/>
      <c r="H183" s="189"/>
      <c r="I183" s="190"/>
      <c r="J183" s="4"/>
      <c r="K183" s="17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79">
        <f>'Données projet'!A172</f>
        <v>0</v>
      </c>
      <c r="B184" s="180">
        <f>'Données projet'!D172</f>
        <v>0</v>
      </c>
      <c r="C184" s="192"/>
      <c r="D184" s="178">
        <f t="shared" si="11"/>
        <v>0</v>
      </c>
      <c r="E184" s="192"/>
      <c r="F184" s="231"/>
      <c r="G184" s="205"/>
      <c r="H184" s="189"/>
      <c r="I184" s="190"/>
      <c r="J184" s="4"/>
      <c r="K184" s="17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79">
        <f>'Données projet'!A173</f>
        <v>0</v>
      </c>
      <c r="B185" s="180">
        <f>'Données projet'!D173</f>
        <v>0</v>
      </c>
      <c r="C185" s="192"/>
      <c r="D185" s="178">
        <f t="shared" si="11"/>
        <v>0</v>
      </c>
      <c r="E185" s="192"/>
      <c r="F185" s="231"/>
      <c r="G185" s="205"/>
      <c r="H185" s="189"/>
      <c r="I185" s="190"/>
      <c r="J185" s="4"/>
      <c r="K185" s="17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79">
        <f>'Données projet'!A174</f>
        <v>0</v>
      </c>
      <c r="B186" s="180">
        <f>'Données projet'!D174</f>
        <v>0</v>
      </c>
      <c r="C186" s="192"/>
      <c r="D186" s="178">
        <f t="shared" si="11"/>
        <v>0</v>
      </c>
      <c r="E186" s="192"/>
      <c r="F186" s="231"/>
      <c r="G186" s="205"/>
      <c r="H186" s="189"/>
      <c r="I186" s="190"/>
      <c r="J186" s="4"/>
      <c r="K186" s="17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79">
        <f>'Données projet'!A175</f>
        <v>0</v>
      </c>
      <c r="B187" s="180">
        <f>'Données projet'!D175</f>
        <v>0</v>
      </c>
      <c r="C187" s="192"/>
      <c r="D187" s="178">
        <f t="shared" si="11"/>
        <v>0</v>
      </c>
      <c r="E187" s="192"/>
      <c r="F187" s="231"/>
      <c r="G187" s="205"/>
      <c r="H187" s="189"/>
      <c r="I187" s="190"/>
      <c r="J187" s="4"/>
      <c r="K187" s="17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79">
        <f>'Données projet'!A176</f>
        <v>0</v>
      </c>
      <c r="B188" s="180">
        <f>'Données projet'!D176</f>
        <v>0</v>
      </c>
      <c r="C188" s="192"/>
      <c r="D188" s="178">
        <f t="shared" si="11"/>
        <v>0</v>
      </c>
      <c r="E188" s="192"/>
      <c r="F188" s="231"/>
      <c r="G188" s="205"/>
      <c r="H188" s="189"/>
      <c r="I188" s="190"/>
      <c r="J188" s="4"/>
      <c r="K188" s="17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79">
        <f>'Données projet'!A177</f>
        <v>0</v>
      </c>
      <c r="B189" s="180">
        <f>'Données projet'!D177</f>
        <v>0</v>
      </c>
      <c r="C189" s="192"/>
      <c r="D189" s="178">
        <f t="shared" si="11"/>
        <v>0</v>
      </c>
      <c r="E189" s="192"/>
      <c r="F189" s="231"/>
      <c r="G189" s="205"/>
      <c r="H189" s="189"/>
      <c r="I189" s="190"/>
      <c r="J189" s="4"/>
      <c r="K189" s="17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79">
        <f>'Données projet'!A178</f>
        <v>0</v>
      </c>
      <c r="B190" s="180">
        <f>'Données projet'!D178</f>
        <v>0</v>
      </c>
      <c r="C190" s="192"/>
      <c r="D190" s="178">
        <f t="shared" si="11"/>
        <v>0</v>
      </c>
      <c r="E190" s="192"/>
      <c r="F190" s="231"/>
      <c r="G190" s="205"/>
      <c r="H190" s="189"/>
      <c r="I190" s="190"/>
      <c r="J190" s="4"/>
      <c r="K190" s="17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79">
        <f>'Données projet'!A179</f>
        <v>0</v>
      </c>
      <c r="B191" s="180">
        <f>'Données projet'!D179</f>
        <v>0</v>
      </c>
      <c r="C191" s="192"/>
      <c r="D191" s="178">
        <f t="shared" si="11"/>
        <v>0</v>
      </c>
      <c r="E191" s="192"/>
      <c r="F191" s="231"/>
      <c r="G191" s="205"/>
      <c r="H191" s="189"/>
      <c r="I191" s="190"/>
      <c r="J191" s="4"/>
      <c r="K191" s="17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79">
        <f>'Données projet'!A180</f>
        <v>0</v>
      </c>
      <c r="B192" s="180">
        <f>'Données projet'!D180</f>
        <v>0</v>
      </c>
      <c r="C192" s="192"/>
      <c r="D192" s="178">
        <f t="shared" si="11"/>
        <v>0</v>
      </c>
      <c r="E192" s="192"/>
      <c r="F192" s="231"/>
      <c r="G192" s="205"/>
      <c r="H192" s="189"/>
      <c r="I192" s="190"/>
      <c r="J192" s="4"/>
      <c r="K192" s="17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79">
        <f>'Données projet'!A181</f>
        <v>0</v>
      </c>
      <c r="B193" s="180">
        <f>'Données projet'!D181</f>
        <v>0</v>
      </c>
      <c r="C193" s="192"/>
      <c r="D193" s="178">
        <f t="shared" si="11"/>
        <v>0</v>
      </c>
      <c r="E193" s="192"/>
      <c r="F193" s="231"/>
      <c r="G193" s="205"/>
      <c r="H193" s="189"/>
      <c r="I193" s="190"/>
      <c r="J193" s="4"/>
      <c r="K193" s="17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79">
        <f>'Données projet'!A182</f>
        <v>0</v>
      </c>
      <c r="B194" s="180">
        <f>'Données projet'!D182</f>
        <v>0</v>
      </c>
      <c r="C194" s="192"/>
      <c r="D194" s="178">
        <f t="shared" si="11"/>
        <v>0</v>
      </c>
      <c r="E194" s="192"/>
      <c r="F194" s="231"/>
      <c r="G194" s="205"/>
      <c r="H194" s="189"/>
      <c r="I194" s="190"/>
      <c r="J194" s="4"/>
      <c r="K194" s="17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79">
        <f>'Données projet'!A183</f>
        <v>0</v>
      </c>
      <c r="B195" s="180">
        <f>'Données projet'!D183</f>
        <v>0</v>
      </c>
      <c r="C195" s="192"/>
      <c r="D195" s="178">
        <f t="shared" si="11"/>
        <v>0</v>
      </c>
      <c r="E195" s="192"/>
      <c r="F195" s="231"/>
      <c r="G195" s="205"/>
      <c r="H195" s="189"/>
      <c r="I195" s="190"/>
      <c r="J195" s="4"/>
      <c r="K195" s="17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79">
        <f>'Données projet'!A184</f>
        <v>0</v>
      </c>
      <c r="B196" s="180">
        <f>'Données projet'!D184</f>
        <v>0</v>
      </c>
      <c r="C196" s="192"/>
      <c r="D196" s="178">
        <f t="shared" si="11"/>
        <v>0</v>
      </c>
      <c r="E196" s="192"/>
      <c r="F196" s="231"/>
      <c r="G196" s="205"/>
      <c r="H196" s="189"/>
      <c r="I196" s="190"/>
      <c r="J196" s="4"/>
      <c r="K196" s="17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79">
        <f>'Données projet'!A185</f>
        <v>0</v>
      </c>
      <c r="B197" s="180">
        <f>'Données projet'!D185</f>
        <v>0</v>
      </c>
      <c r="C197" s="192"/>
      <c r="D197" s="178">
        <f t="shared" si="11"/>
        <v>0</v>
      </c>
      <c r="E197" s="192"/>
      <c r="F197" s="231"/>
      <c r="G197" s="205"/>
      <c r="H197" s="189"/>
      <c r="I197" s="190"/>
      <c r="J197" s="4"/>
      <c r="K197" s="17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29"/>
      <c r="G198" s="205"/>
      <c r="H198" s="189"/>
      <c r="I198" s="190"/>
      <c r="J198" s="4"/>
      <c r="K198" s="17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29"/>
      <c r="G199" s="205"/>
      <c r="H199" s="189"/>
      <c r="I199" s="190"/>
      <c r="J199" s="4"/>
      <c r="K199" s="17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5" t="s">
        <v>171</v>
      </c>
      <c r="B200" s="173" t="str">
        <f>IF('Données projet'!$B$15="","",'Données projet'!$B$15)</f>
        <v/>
      </c>
      <c r="C200" s="4"/>
      <c r="D200" s="4"/>
      <c r="E200" s="4"/>
      <c r="F200" s="229"/>
      <c r="G200" s="205"/>
      <c r="H200" s="189"/>
      <c r="I200" s="190"/>
      <c r="J200" s="4"/>
      <c r="K200" s="17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5"/>
      <c r="B201" s="4"/>
      <c r="C201" s="4"/>
      <c r="D201" s="4"/>
      <c r="E201" s="4"/>
      <c r="F201" s="229"/>
      <c r="G201" s="205"/>
      <c r="H201" s="189"/>
      <c r="I201" s="190"/>
      <c r="J201" s="4"/>
      <c r="K201" s="17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5" t="s">
        <v>180</v>
      </c>
      <c r="B202" s="47" t="s">
        <v>256</v>
      </c>
      <c r="C202" s="47" t="s">
        <v>255</v>
      </c>
      <c r="D202" s="35" t="s">
        <v>252</v>
      </c>
      <c r="E202" s="35" t="s">
        <v>320</v>
      </c>
      <c r="F202" s="230"/>
      <c r="G202" s="205"/>
      <c r="H202" s="189"/>
      <c r="I202" s="190"/>
      <c r="J202" s="4"/>
      <c r="K202" s="17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8">
        <v>0</v>
      </c>
      <c r="B203" s="198" t="s">
        <v>132</v>
      </c>
      <c r="C203" s="197" t="s">
        <v>132</v>
      </c>
      <c r="D203" s="196" t="s">
        <v>132</v>
      </c>
      <c r="E203" s="192"/>
      <c r="F203" s="230"/>
      <c r="G203" s="205"/>
      <c r="H203" s="189"/>
      <c r="I203" s="190"/>
      <c r="J203" s="4"/>
      <c r="K203" s="17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8">
        <v>1</v>
      </c>
      <c r="B204" s="198" t="s">
        <v>132</v>
      </c>
      <c r="C204" s="197" t="s">
        <v>132</v>
      </c>
      <c r="D204" s="196" t="s">
        <v>132</v>
      </c>
      <c r="E204" s="192"/>
      <c r="F204" s="230"/>
      <c r="G204" s="23"/>
      <c r="H204" s="189"/>
      <c r="I204" s="190"/>
      <c r="J204" s="4"/>
      <c r="K204" s="17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8">
        <v>2</v>
      </c>
      <c r="B205" s="198" t="s">
        <v>132</v>
      </c>
      <c r="C205" s="197" t="s">
        <v>132</v>
      </c>
      <c r="D205" s="196" t="s">
        <v>132</v>
      </c>
      <c r="E205" s="192"/>
      <c r="F205" s="230"/>
      <c r="G205" s="23"/>
      <c r="H205" s="189"/>
      <c r="I205" s="190"/>
      <c r="J205" s="4"/>
      <c r="K205" s="17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8">
        <v>3</v>
      </c>
      <c r="B206" s="198" t="s">
        <v>132</v>
      </c>
      <c r="C206" s="197" t="s">
        <v>132</v>
      </c>
      <c r="D206" s="196" t="s">
        <v>132</v>
      </c>
      <c r="E206" s="192"/>
      <c r="F206" s="230"/>
      <c r="G206" s="23"/>
      <c r="H206" s="189"/>
      <c r="I206" s="190"/>
      <c r="J206" s="4"/>
      <c r="K206" s="17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8">
        <v>4</v>
      </c>
      <c r="B207" s="198" t="s">
        <v>132</v>
      </c>
      <c r="C207" s="197" t="s">
        <v>132</v>
      </c>
      <c r="D207" s="196" t="s">
        <v>132</v>
      </c>
      <c r="E207" s="192"/>
      <c r="F207" s="230"/>
      <c r="G207" s="23"/>
      <c r="H207" s="189"/>
      <c r="I207" s="190"/>
      <c r="J207" s="4"/>
      <c r="K207" s="17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8">
        <v>5</v>
      </c>
      <c r="B208" s="198" t="s">
        <v>132</v>
      </c>
      <c r="C208" s="197" t="s">
        <v>132</v>
      </c>
      <c r="D208" s="196" t="s">
        <v>132</v>
      </c>
      <c r="E208" s="192"/>
      <c r="F208" s="230"/>
      <c r="G208" s="204"/>
      <c r="H208" s="189"/>
      <c r="I208" s="190"/>
      <c r="J208" s="4"/>
      <c r="K208" s="17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79">
        <f>'Données projet'!A192</f>
        <v>0</v>
      </c>
      <c r="B209" s="180">
        <f>'Données projet'!D192</f>
        <v>0</v>
      </c>
      <c r="C209" s="192"/>
      <c r="D209" s="178">
        <f>B209*C209</f>
        <v>0</v>
      </c>
      <c r="E209" s="192"/>
      <c r="F209" s="231"/>
      <c r="G209" s="204"/>
      <c r="H209" s="189"/>
      <c r="I209" s="190"/>
      <c r="J209" s="4"/>
      <c r="K209" s="17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79">
        <f>'Données projet'!A193</f>
        <v>0</v>
      </c>
      <c r="B210" s="180">
        <f>'Données projet'!D193</f>
        <v>0</v>
      </c>
      <c r="C210" s="192"/>
      <c r="D210" s="178">
        <f t="shared" ref="D210:D228" si="12">B210*C210</f>
        <v>0</v>
      </c>
      <c r="E210" s="192"/>
      <c r="F210" s="231"/>
      <c r="G210" s="204"/>
      <c r="H210" s="189"/>
      <c r="I210" s="190"/>
      <c r="J210" s="4"/>
      <c r="K210" s="17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79">
        <f>'Données projet'!A194</f>
        <v>0</v>
      </c>
      <c r="B211" s="180">
        <f>'Données projet'!D194</f>
        <v>0</v>
      </c>
      <c r="C211" s="192"/>
      <c r="D211" s="178">
        <f t="shared" si="12"/>
        <v>0</v>
      </c>
      <c r="E211" s="192"/>
      <c r="F211" s="231"/>
      <c r="G211" s="204"/>
      <c r="H211" s="189"/>
      <c r="I211" s="190"/>
      <c r="J211" s="4"/>
      <c r="K211" s="17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79">
        <f>'Données projet'!A195</f>
        <v>0</v>
      </c>
      <c r="B212" s="180">
        <f>'Données projet'!D195</f>
        <v>0</v>
      </c>
      <c r="C212" s="192"/>
      <c r="D212" s="178">
        <f t="shared" si="12"/>
        <v>0</v>
      </c>
      <c r="E212" s="192"/>
      <c r="F212" s="231"/>
      <c r="G212" s="204"/>
      <c r="H212" s="189"/>
      <c r="I212" s="190"/>
      <c r="J212" s="4"/>
      <c r="K212" s="17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79">
        <f>'Données projet'!A196</f>
        <v>0</v>
      </c>
      <c r="B213" s="180">
        <f>'Données projet'!D196</f>
        <v>0</v>
      </c>
      <c r="C213" s="192"/>
      <c r="D213" s="178">
        <f t="shared" si="12"/>
        <v>0</v>
      </c>
      <c r="E213" s="192"/>
      <c r="F213" s="231"/>
      <c r="G213" s="204"/>
      <c r="H213" s="189"/>
      <c r="I213" s="190"/>
      <c r="J213" s="4"/>
      <c r="K213" s="17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79">
        <f>'Données projet'!A197</f>
        <v>0</v>
      </c>
      <c r="B214" s="180">
        <f>'Données projet'!D197</f>
        <v>0</v>
      </c>
      <c r="C214" s="192"/>
      <c r="D214" s="178">
        <f t="shared" si="12"/>
        <v>0</v>
      </c>
      <c r="E214" s="192"/>
      <c r="F214" s="231"/>
      <c r="G214" s="204"/>
      <c r="H214" s="189"/>
      <c r="I214" s="190"/>
      <c r="J214" s="4"/>
      <c r="K214" s="17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79">
        <f>'Données projet'!A198</f>
        <v>0</v>
      </c>
      <c r="B215" s="180">
        <f>'Données projet'!D198</f>
        <v>0</v>
      </c>
      <c r="C215" s="192"/>
      <c r="D215" s="178">
        <f t="shared" si="12"/>
        <v>0</v>
      </c>
      <c r="E215" s="192"/>
      <c r="F215" s="231"/>
      <c r="G215" s="205"/>
      <c r="H215" s="189"/>
      <c r="I215" s="190"/>
      <c r="J215" s="4"/>
      <c r="K215" s="17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79">
        <f>'Données projet'!A199</f>
        <v>0</v>
      </c>
      <c r="B216" s="180">
        <f>'Données projet'!D199</f>
        <v>0</v>
      </c>
      <c r="C216" s="192"/>
      <c r="D216" s="178">
        <f t="shared" si="12"/>
        <v>0</v>
      </c>
      <c r="E216" s="192"/>
      <c r="F216" s="231"/>
      <c r="G216" s="205"/>
      <c r="H216" s="189"/>
      <c r="I216" s="190"/>
      <c r="J216" s="4"/>
      <c r="K216" s="17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79">
        <f>'Données projet'!A200</f>
        <v>0</v>
      </c>
      <c r="B217" s="180">
        <f>'Données projet'!D200</f>
        <v>0</v>
      </c>
      <c r="C217" s="192"/>
      <c r="D217" s="178">
        <f t="shared" si="12"/>
        <v>0</v>
      </c>
      <c r="E217" s="192"/>
      <c r="F217" s="231"/>
      <c r="G217" s="205"/>
      <c r="H217" s="189"/>
      <c r="I217" s="190"/>
      <c r="J217" s="4"/>
      <c r="K217" s="17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79">
        <f>'Données projet'!A201</f>
        <v>0</v>
      </c>
      <c r="B218" s="180">
        <f>'Données projet'!D201</f>
        <v>0</v>
      </c>
      <c r="C218" s="192"/>
      <c r="D218" s="178">
        <f t="shared" si="12"/>
        <v>0</v>
      </c>
      <c r="E218" s="192"/>
      <c r="F218" s="231"/>
      <c r="G218" s="205"/>
      <c r="H218" s="189"/>
      <c r="I218" s="190"/>
      <c r="J218" s="4"/>
      <c r="K218" s="17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79">
        <f>'Données projet'!A202</f>
        <v>0</v>
      </c>
      <c r="B219" s="180">
        <f>'Données projet'!D202</f>
        <v>0</v>
      </c>
      <c r="C219" s="192"/>
      <c r="D219" s="178">
        <f t="shared" si="12"/>
        <v>0</v>
      </c>
      <c r="E219" s="192"/>
      <c r="F219" s="231"/>
      <c r="G219" s="205"/>
      <c r="H219" s="189"/>
      <c r="I219" s="190"/>
      <c r="J219" s="4"/>
      <c r="K219" s="172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79">
        <f>'Données projet'!A203</f>
        <v>0</v>
      </c>
      <c r="B220" s="180">
        <f>'Données projet'!D203</f>
        <v>0</v>
      </c>
      <c r="C220" s="192"/>
      <c r="D220" s="178">
        <f t="shared" si="12"/>
        <v>0</v>
      </c>
      <c r="E220" s="192"/>
      <c r="F220" s="231"/>
      <c r="G220" s="205"/>
      <c r="H220" s="4"/>
      <c r="I220" s="4"/>
      <c r="J220" s="4"/>
      <c r="K220" s="172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79">
        <f>'Données projet'!A204</f>
        <v>0</v>
      </c>
      <c r="B221" s="180">
        <f>'Données projet'!D204</f>
        <v>0</v>
      </c>
      <c r="C221" s="192"/>
      <c r="D221" s="178">
        <f t="shared" si="12"/>
        <v>0</v>
      </c>
      <c r="E221" s="192"/>
      <c r="F221" s="231"/>
      <c r="G221" s="205"/>
      <c r="H221" s="4"/>
      <c r="I221" s="4"/>
      <c r="J221" s="4"/>
      <c r="K221" s="172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79">
        <f>'Données projet'!A205</f>
        <v>0</v>
      </c>
      <c r="B222" s="180">
        <f>'Données projet'!D205</f>
        <v>0</v>
      </c>
      <c r="C222" s="192"/>
      <c r="D222" s="178">
        <f t="shared" si="12"/>
        <v>0</v>
      </c>
      <c r="E222" s="192"/>
      <c r="F222" s="231"/>
      <c r="G222" s="205"/>
      <c r="H222" s="4"/>
      <c r="I222" s="4"/>
      <c r="J222" s="4"/>
      <c r="K222" s="172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79">
        <f>'Données projet'!A206</f>
        <v>0</v>
      </c>
      <c r="B223" s="180">
        <f>'Données projet'!D206</f>
        <v>0</v>
      </c>
      <c r="C223" s="192"/>
      <c r="D223" s="178">
        <f t="shared" si="12"/>
        <v>0</v>
      </c>
      <c r="E223" s="192"/>
      <c r="F223" s="231"/>
      <c r="G223" s="205"/>
      <c r="H223" s="4"/>
      <c r="I223" s="4"/>
      <c r="J223" s="4"/>
      <c r="K223" s="172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79">
        <f>'Données projet'!A207</f>
        <v>0</v>
      </c>
      <c r="B224" s="180">
        <f>'Données projet'!D207</f>
        <v>0</v>
      </c>
      <c r="C224" s="192"/>
      <c r="D224" s="178">
        <f t="shared" si="12"/>
        <v>0</v>
      </c>
      <c r="E224" s="192"/>
      <c r="F224" s="231"/>
      <c r="G224" s="205"/>
      <c r="H224" s="4"/>
      <c r="I224" s="4"/>
      <c r="J224" s="4"/>
      <c r="K224" s="172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79">
        <f>'Données projet'!A208</f>
        <v>0</v>
      </c>
      <c r="B225" s="180">
        <f>'Données projet'!D208</f>
        <v>0</v>
      </c>
      <c r="C225" s="192"/>
      <c r="D225" s="178">
        <f t="shared" si="12"/>
        <v>0</v>
      </c>
      <c r="E225" s="192"/>
      <c r="F225" s="231"/>
      <c r="G225" s="205"/>
      <c r="H225" s="4"/>
      <c r="I225" s="4"/>
      <c r="J225" s="4"/>
      <c r="K225" s="172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79">
        <f>'Données projet'!A209</f>
        <v>0</v>
      </c>
      <c r="B226" s="180">
        <f>'Données projet'!D209</f>
        <v>0</v>
      </c>
      <c r="C226" s="192"/>
      <c r="D226" s="178">
        <f t="shared" si="12"/>
        <v>0</v>
      </c>
      <c r="E226" s="192"/>
      <c r="F226" s="231"/>
      <c r="G226" s="205"/>
      <c r="H226" s="4"/>
      <c r="I226" s="4"/>
      <c r="J226" s="4"/>
      <c r="K226" s="172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79">
        <f>'Données projet'!A210</f>
        <v>0</v>
      </c>
      <c r="B227" s="180">
        <f>'Données projet'!D210</f>
        <v>0</v>
      </c>
      <c r="C227" s="192"/>
      <c r="D227" s="178">
        <f t="shared" si="12"/>
        <v>0</v>
      </c>
      <c r="E227" s="192"/>
      <c r="F227" s="231"/>
      <c r="G227" s="205"/>
      <c r="H227" s="4"/>
      <c r="I227" s="4"/>
      <c r="J227" s="4"/>
      <c r="K227" s="172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79">
        <f>'Données projet'!A211</f>
        <v>0</v>
      </c>
      <c r="B228" s="180">
        <f>'Données projet'!D211</f>
        <v>0</v>
      </c>
      <c r="C228" s="192"/>
      <c r="D228" s="178">
        <f t="shared" si="12"/>
        <v>0</v>
      </c>
      <c r="E228" s="192"/>
      <c r="F228" s="231"/>
      <c r="G228" s="205"/>
      <c r="H228" s="4"/>
      <c r="I228" s="4"/>
      <c r="J228" s="4"/>
      <c r="K228" s="172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2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2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5" t="s">
        <v>172</v>
      </c>
      <c r="B231" s="173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2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5"/>
      <c r="B232" s="4"/>
      <c r="C232" s="4"/>
      <c r="D232" s="4"/>
      <c r="E232" s="4"/>
      <c r="F232" s="229"/>
      <c r="G232" s="205"/>
      <c r="H232" s="4"/>
      <c r="I232" s="4"/>
      <c r="J232" s="4"/>
      <c r="K232" s="172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5" t="s">
        <v>180</v>
      </c>
      <c r="B233" s="47" t="s">
        <v>256</v>
      </c>
      <c r="C233" s="47" t="s">
        <v>255</v>
      </c>
      <c r="D233" s="35" t="s">
        <v>252</v>
      </c>
      <c r="E233" s="35" t="s">
        <v>320</v>
      </c>
      <c r="F233" s="230"/>
      <c r="G233" s="205"/>
      <c r="H233" s="4"/>
      <c r="I233" s="4"/>
      <c r="J233" s="4"/>
      <c r="K233" s="172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8">
        <v>0</v>
      </c>
      <c r="B234" s="198" t="s">
        <v>132</v>
      </c>
      <c r="C234" s="197" t="s">
        <v>132</v>
      </c>
      <c r="D234" s="196" t="s">
        <v>132</v>
      </c>
      <c r="E234" s="192"/>
      <c r="F234" s="230"/>
      <c r="G234" s="205"/>
      <c r="H234" s="4"/>
      <c r="I234" s="4"/>
      <c r="J234" s="4"/>
      <c r="K234" s="172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8">
        <v>1</v>
      </c>
      <c r="B235" s="198" t="s">
        <v>132</v>
      </c>
      <c r="C235" s="197" t="s">
        <v>132</v>
      </c>
      <c r="D235" s="196" t="s">
        <v>132</v>
      </c>
      <c r="E235" s="192"/>
      <c r="F235" s="230"/>
      <c r="G235" s="23"/>
      <c r="H235" s="4"/>
      <c r="I235" s="4"/>
      <c r="J235" s="4"/>
      <c r="K235" s="172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8">
        <v>2</v>
      </c>
      <c r="B236" s="198" t="s">
        <v>132</v>
      </c>
      <c r="C236" s="197" t="s">
        <v>132</v>
      </c>
      <c r="D236" s="196" t="s">
        <v>132</v>
      </c>
      <c r="E236" s="192"/>
      <c r="F236" s="230"/>
      <c r="G236" s="23"/>
      <c r="H236" s="4"/>
      <c r="I236" s="4"/>
      <c r="J236" s="4"/>
      <c r="K236" s="172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8">
        <v>3</v>
      </c>
      <c r="B237" s="198" t="s">
        <v>132</v>
      </c>
      <c r="C237" s="197" t="s">
        <v>132</v>
      </c>
      <c r="D237" s="196" t="s">
        <v>132</v>
      </c>
      <c r="E237" s="192"/>
      <c r="F237" s="230"/>
      <c r="G237" s="23"/>
      <c r="H237" s="4"/>
      <c r="I237" s="4"/>
      <c r="J237" s="4"/>
      <c r="K237" s="172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8">
        <v>4</v>
      </c>
      <c r="B238" s="198" t="s">
        <v>132</v>
      </c>
      <c r="C238" s="197" t="s">
        <v>132</v>
      </c>
      <c r="D238" s="196" t="s">
        <v>132</v>
      </c>
      <c r="E238" s="192"/>
      <c r="F238" s="230"/>
      <c r="G238" s="23"/>
      <c r="H238" s="4"/>
      <c r="I238" s="4"/>
      <c r="J238" s="4"/>
      <c r="K238" s="172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8">
        <v>5</v>
      </c>
      <c r="B239" s="198" t="s">
        <v>132</v>
      </c>
      <c r="C239" s="197" t="s">
        <v>132</v>
      </c>
      <c r="D239" s="196" t="s">
        <v>132</v>
      </c>
      <c r="E239" s="192"/>
      <c r="F239" s="230"/>
      <c r="G239" s="204"/>
      <c r="H239" s="4"/>
      <c r="I239" s="4"/>
      <c r="J239" s="4"/>
      <c r="K239" s="172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79">
        <f>'Données projet'!A218</f>
        <v>0</v>
      </c>
      <c r="B240" s="180">
        <f>'Données projet'!D218</f>
        <v>0</v>
      </c>
      <c r="C240" s="192"/>
      <c r="D240" s="178">
        <f>B240*C240</f>
        <v>0</v>
      </c>
      <c r="E240" s="192"/>
      <c r="F240" s="231"/>
      <c r="G240" s="204"/>
      <c r="H240" s="4"/>
      <c r="I240" s="4"/>
      <c r="J240" s="4"/>
      <c r="K240" s="172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79">
        <f>'Données projet'!A219</f>
        <v>0</v>
      </c>
      <c r="B241" s="180">
        <f>'Données projet'!D219</f>
        <v>0</v>
      </c>
      <c r="C241" s="192"/>
      <c r="D241" s="178">
        <f t="shared" ref="D241:D259" si="13">B241*C241</f>
        <v>0</v>
      </c>
      <c r="E241" s="192"/>
      <c r="F241" s="231"/>
      <c r="G241" s="204"/>
      <c r="H241" s="4"/>
      <c r="I241" s="4"/>
      <c r="J241" s="4"/>
      <c r="K241" s="172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79">
        <f>'Données projet'!A220</f>
        <v>0</v>
      </c>
      <c r="B242" s="180">
        <f>'Données projet'!D220</f>
        <v>0</v>
      </c>
      <c r="C242" s="192"/>
      <c r="D242" s="178">
        <f t="shared" si="13"/>
        <v>0</v>
      </c>
      <c r="E242" s="192"/>
      <c r="F242" s="231"/>
      <c r="G242" s="204"/>
      <c r="H242" s="4"/>
      <c r="I242" s="4"/>
      <c r="J242" s="4"/>
      <c r="K242" s="172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79">
        <f>'Données projet'!A221</f>
        <v>0</v>
      </c>
      <c r="B243" s="180">
        <f>'Données projet'!D221</f>
        <v>0</v>
      </c>
      <c r="C243" s="192"/>
      <c r="D243" s="178">
        <f t="shared" si="13"/>
        <v>0</v>
      </c>
      <c r="E243" s="192"/>
      <c r="F243" s="231"/>
      <c r="G243" s="204"/>
      <c r="H243" s="4"/>
      <c r="I243" s="4"/>
      <c r="J243" s="4"/>
      <c r="K243" s="172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79">
        <f>'Données projet'!A222</f>
        <v>0</v>
      </c>
      <c r="B244" s="180">
        <f>'Données projet'!D222</f>
        <v>0</v>
      </c>
      <c r="C244" s="192"/>
      <c r="D244" s="178">
        <f t="shared" si="13"/>
        <v>0</v>
      </c>
      <c r="E244" s="192"/>
      <c r="F244" s="231"/>
      <c r="G244" s="204"/>
      <c r="H244" s="4"/>
      <c r="I244" s="4"/>
      <c r="J244" s="4"/>
      <c r="K244" s="17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79">
        <f>'Données projet'!A223</f>
        <v>0</v>
      </c>
      <c r="B245" s="180">
        <f>'Données projet'!D223</f>
        <v>0</v>
      </c>
      <c r="C245" s="192"/>
      <c r="D245" s="178">
        <f t="shared" si="13"/>
        <v>0</v>
      </c>
      <c r="E245" s="192"/>
      <c r="F245" s="231"/>
      <c r="G245" s="204"/>
      <c r="H245" s="4"/>
      <c r="I245" s="4"/>
      <c r="J245" s="4"/>
      <c r="K245" s="172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79">
        <f>'Données projet'!A224</f>
        <v>0</v>
      </c>
      <c r="B246" s="180">
        <f>'Données projet'!D224</f>
        <v>0</v>
      </c>
      <c r="C246" s="192"/>
      <c r="D246" s="178">
        <f t="shared" si="13"/>
        <v>0</v>
      </c>
      <c r="E246" s="192"/>
      <c r="F246" s="231"/>
      <c r="G246" s="205"/>
      <c r="H246" s="4"/>
      <c r="I246" s="4"/>
      <c r="J246" s="4"/>
      <c r="K246" s="172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79">
        <f>'Données projet'!A225</f>
        <v>0</v>
      </c>
      <c r="B247" s="180">
        <f>'Données projet'!D225</f>
        <v>0</v>
      </c>
      <c r="C247" s="192"/>
      <c r="D247" s="178">
        <f t="shared" si="13"/>
        <v>0</v>
      </c>
      <c r="E247" s="192"/>
      <c r="F247" s="231"/>
      <c r="G247" s="205"/>
      <c r="H247" s="4"/>
      <c r="I247" s="4"/>
      <c r="J247" s="4"/>
      <c r="K247" s="172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79">
        <f>'Données projet'!A226</f>
        <v>0</v>
      </c>
      <c r="B248" s="180">
        <f>'Données projet'!D226</f>
        <v>0</v>
      </c>
      <c r="C248" s="192"/>
      <c r="D248" s="178">
        <f t="shared" si="13"/>
        <v>0</v>
      </c>
      <c r="E248" s="192"/>
      <c r="F248" s="231"/>
      <c r="G248" s="205"/>
      <c r="H248" s="4"/>
      <c r="I248" s="4"/>
      <c r="J248" s="4"/>
      <c r="K248" s="172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79">
        <f>'Données projet'!A227</f>
        <v>0</v>
      </c>
      <c r="B249" s="180">
        <f>'Données projet'!D227</f>
        <v>0</v>
      </c>
      <c r="C249" s="192"/>
      <c r="D249" s="178">
        <f t="shared" si="13"/>
        <v>0</v>
      </c>
      <c r="E249" s="192"/>
      <c r="F249" s="231"/>
      <c r="G249" s="205"/>
      <c r="H249" s="4"/>
      <c r="I249" s="4"/>
      <c r="J249" s="4"/>
      <c r="K249" s="172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79">
        <f>'Données projet'!A228</f>
        <v>0</v>
      </c>
      <c r="B250" s="180">
        <f>'Données projet'!D228</f>
        <v>0</v>
      </c>
      <c r="C250" s="192"/>
      <c r="D250" s="178">
        <f t="shared" si="13"/>
        <v>0</v>
      </c>
      <c r="E250" s="192"/>
      <c r="F250" s="231"/>
      <c r="G250" s="205"/>
      <c r="H250" s="4"/>
      <c r="I250" s="4"/>
      <c r="J250" s="4"/>
      <c r="K250" s="172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79">
        <f>'Données projet'!A229</f>
        <v>0</v>
      </c>
      <c r="B251" s="180">
        <f>'Données projet'!D229</f>
        <v>0</v>
      </c>
      <c r="C251" s="192"/>
      <c r="D251" s="178">
        <f t="shared" si="13"/>
        <v>0</v>
      </c>
      <c r="E251" s="192"/>
      <c r="F251" s="231"/>
      <c r="G251" s="205"/>
      <c r="H251" s="4"/>
      <c r="I251" s="4"/>
      <c r="J251" s="4"/>
      <c r="K251" s="172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79">
        <f>'Données projet'!A230</f>
        <v>0</v>
      </c>
      <c r="B252" s="180">
        <f>'Données projet'!D230</f>
        <v>0</v>
      </c>
      <c r="C252" s="192"/>
      <c r="D252" s="178">
        <f t="shared" si="13"/>
        <v>0</v>
      </c>
      <c r="E252" s="192"/>
      <c r="F252" s="231"/>
      <c r="G252" s="205"/>
      <c r="H252" s="4"/>
      <c r="I252" s="4"/>
      <c r="J252" s="4"/>
      <c r="K252" s="172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79">
        <f>'Données projet'!A231</f>
        <v>0</v>
      </c>
      <c r="B253" s="180">
        <f>'Données projet'!D231</f>
        <v>0</v>
      </c>
      <c r="C253" s="192"/>
      <c r="D253" s="178">
        <f t="shared" si="13"/>
        <v>0</v>
      </c>
      <c r="E253" s="192"/>
      <c r="F253" s="231"/>
      <c r="G253" s="205"/>
      <c r="H253" s="4"/>
      <c r="I253" s="4"/>
      <c r="J253" s="4"/>
      <c r="K253" s="172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79">
        <f>'Données projet'!A232</f>
        <v>0</v>
      </c>
      <c r="B254" s="180">
        <f>'Données projet'!D232</f>
        <v>0</v>
      </c>
      <c r="C254" s="192"/>
      <c r="D254" s="178">
        <f t="shared" si="13"/>
        <v>0</v>
      </c>
      <c r="E254" s="192"/>
      <c r="F254" s="231"/>
      <c r="G254" s="205"/>
      <c r="H254" s="4"/>
      <c r="I254" s="4"/>
      <c r="J254" s="4"/>
      <c r="K254" s="172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79">
        <f>'Données projet'!A233</f>
        <v>0</v>
      </c>
      <c r="B255" s="180">
        <f>'Données projet'!D233</f>
        <v>0</v>
      </c>
      <c r="C255" s="192"/>
      <c r="D255" s="178">
        <f t="shared" si="13"/>
        <v>0</v>
      </c>
      <c r="E255" s="192"/>
      <c r="F255" s="231"/>
      <c r="G255" s="205"/>
      <c r="H255" s="4"/>
      <c r="I255" s="4"/>
      <c r="J255" s="4"/>
      <c r="K255" s="172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79">
        <f>'Données projet'!A234</f>
        <v>0</v>
      </c>
      <c r="B256" s="180">
        <f>'Données projet'!D234</f>
        <v>0</v>
      </c>
      <c r="C256" s="192"/>
      <c r="D256" s="178">
        <f t="shared" si="13"/>
        <v>0</v>
      </c>
      <c r="E256" s="192"/>
      <c r="F256" s="231"/>
      <c r="G256" s="205"/>
      <c r="H256" s="4"/>
      <c r="I256" s="4"/>
      <c r="J256" s="4"/>
      <c r="K256" s="172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79">
        <f>'Données projet'!A235</f>
        <v>0</v>
      </c>
      <c r="B257" s="180">
        <f>'Données projet'!D235</f>
        <v>0</v>
      </c>
      <c r="C257" s="192"/>
      <c r="D257" s="178">
        <f t="shared" si="13"/>
        <v>0</v>
      </c>
      <c r="E257" s="192"/>
      <c r="F257" s="231"/>
      <c r="G257" s="205"/>
      <c r="H257" s="4"/>
      <c r="I257" s="4"/>
      <c r="J257" s="4"/>
      <c r="K257" s="172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79">
        <f>'Données projet'!A236</f>
        <v>0</v>
      </c>
      <c r="B258" s="180">
        <f>'Données projet'!D236</f>
        <v>0</v>
      </c>
      <c r="C258" s="192"/>
      <c r="D258" s="178">
        <f t="shared" si="13"/>
        <v>0</v>
      </c>
      <c r="E258" s="192"/>
      <c r="F258" s="231"/>
      <c r="G258" s="205"/>
      <c r="H258" s="4"/>
      <c r="I258" s="4"/>
      <c r="J258" s="4"/>
      <c r="K258" s="172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79">
        <f>'Données projet'!A237</f>
        <v>0</v>
      </c>
      <c r="B259" s="180">
        <f>'Données projet'!D237</f>
        <v>0</v>
      </c>
      <c r="C259" s="192"/>
      <c r="D259" s="178">
        <f t="shared" si="13"/>
        <v>0</v>
      </c>
      <c r="E259" s="192"/>
      <c r="F259" s="231"/>
      <c r="G259" s="205"/>
      <c r="H259" s="4"/>
      <c r="I259" s="4"/>
      <c r="J259" s="4"/>
      <c r="K259" s="172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2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2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5" t="s">
        <v>173</v>
      </c>
      <c r="B262" s="173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2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5"/>
      <c r="B263" s="4"/>
      <c r="C263" s="4"/>
      <c r="D263" s="4"/>
      <c r="E263" s="4"/>
      <c r="F263" s="229"/>
      <c r="G263" s="205"/>
      <c r="H263" s="4"/>
      <c r="I263" s="4"/>
      <c r="J263" s="4"/>
      <c r="K263" s="172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5" t="s">
        <v>180</v>
      </c>
      <c r="B264" s="47" t="s">
        <v>256</v>
      </c>
      <c r="C264" s="47" t="s">
        <v>255</v>
      </c>
      <c r="D264" s="35" t="s">
        <v>252</v>
      </c>
      <c r="E264" s="35" t="s">
        <v>320</v>
      </c>
      <c r="F264" s="230"/>
      <c r="G264" s="205"/>
      <c r="H264" s="4"/>
      <c r="I264" s="4"/>
      <c r="J264" s="4"/>
      <c r="K264" s="172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8">
        <v>0</v>
      </c>
      <c r="B265" s="198" t="s">
        <v>132</v>
      </c>
      <c r="C265" s="197" t="s">
        <v>132</v>
      </c>
      <c r="D265" s="196" t="s">
        <v>132</v>
      </c>
      <c r="E265" s="192"/>
      <c r="F265" s="230"/>
      <c r="G265" s="205"/>
      <c r="H265" s="4"/>
      <c r="I265" s="4"/>
      <c r="J265" s="4"/>
      <c r="K265" s="172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8">
        <v>1</v>
      </c>
      <c r="B266" s="198" t="s">
        <v>132</v>
      </c>
      <c r="C266" s="197" t="s">
        <v>132</v>
      </c>
      <c r="D266" s="196" t="s">
        <v>132</v>
      </c>
      <c r="E266" s="192"/>
      <c r="F266" s="230"/>
      <c r="G266" s="23"/>
      <c r="H266" s="4"/>
      <c r="I266" s="4"/>
      <c r="J266" s="4"/>
      <c r="K266" s="172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8">
        <v>2</v>
      </c>
      <c r="B267" s="198" t="s">
        <v>132</v>
      </c>
      <c r="C267" s="197" t="s">
        <v>132</v>
      </c>
      <c r="D267" s="196" t="s">
        <v>132</v>
      </c>
      <c r="E267" s="192"/>
      <c r="F267" s="230"/>
      <c r="G267" s="23"/>
      <c r="H267" s="4"/>
      <c r="I267" s="4"/>
      <c r="J267" s="4"/>
      <c r="K267" s="172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8">
        <v>3</v>
      </c>
      <c r="B268" s="198" t="s">
        <v>132</v>
      </c>
      <c r="C268" s="197" t="s">
        <v>132</v>
      </c>
      <c r="D268" s="196" t="s">
        <v>132</v>
      </c>
      <c r="E268" s="192"/>
      <c r="F268" s="230"/>
      <c r="G268" s="23"/>
      <c r="H268" s="4"/>
      <c r="I268" s="4"/>
      <c r="J268" s="4"/>
      <c r="K268" s="172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8">
        <v>4</v>
      </c>
      <c r="B269" s="198" t="s">
        <v>132</v>
      </c>
      <c r="C269" s="197" t="s">
        <v>132</v>
      </c>
      <c r="D269" s="196" t="s">
        <v>132</v>
      </c>
      <c r="E269" s="192"/>
      <c r="F269" s="230"/>
      <c r="G269" s="23"/>
      <c r="H269" s="4"/>
      <c r="I269" s="4"/>
      <c r="J269" s="4"/>
      <c r="K269" s="172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8">
        <v>5</v>
      </c>
      <c r="B270" s="198" t="s">
        <v>132</v>
      </c>
      <c r="C270" s="197" t="s">
        <v>132</v>
      </c>
      <c r="D270" s="196" t="s">
        <v>132</v>
      </c>
      <c r="E270" s="192"/>
      <c r="F270" s="230"/>
      <c r="G270" s="204"/>
      <c r="H270" s="4"/>
      <c r="I270" s="4"/>
      <c r="J270" s="4"/>
      <c r="K270" s="172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79">
        <f>'Données projet'!A244</f>
        <v>0</v>
      </c>
      <c r="B271" s="180">
        <f>'Données projet'!D244</f>
        <v>0</v>
      </c>
      <c r="C271" s="192"/>
      <c r="D271" s="178">
        <f>B271*C271</f>
        <v>0</v>
      </c>
      <c r="E271" s="192"/>
      <c r="F271" s="231"/>
      <c r="G271" s="204"/>
      <c r="H271" s="4"/>
      <c r="I271" s="4"/>
      <c r="J271" s="4"/>
      <c r="K271" s="172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79">
        <f>'Données projet'!A245</f>
        <v>0</v>
      </c>
      <c r="B272" s="180">
        <f>'Données projet'!D245</f>
        <v>0</v>
      </c>
      <c r="C272" s="192"/>
      <c r="D272" s="178">
        <f t="shared" ref="D272:D290" si="14">B272*C272</f>
        <v>0</v>
      </c>
      <c r="E272" s="192"/>
      <c r="F272" s="231"/>
      <c r="G272" s="204"/>
      <c r="H272" s="4"/>
      <c r="I272" s="4"/>
      <c r="J272" s="4"/>
      <c r="K272" s="172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79">
        <f>'Données projet'!A246</f>
        <v>0</v>
      </c>
      <c r="B273" s="180">
        <f>'Données projet'!D246</f>
        <v>0</v>
      </c>
      <c r="C273" s="192"/>
      <c r="D273" s="178">
        <f t="shared" si="14"/>
        <v>0</v>
      </c>
      <c r="E273" s="192"/>
      <c r="F273" s="231"/>
      <c r="G273" s="204"/>
      <c r="H273" s="4"/>
      <c r="I273" s="4"/>
      <c r="J273" s="4"/>
      <c r="K273" s="172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79">
        <f>'Données projet'!A247</f>
        <v>0</v>
      </c>
      <c r="B274" s="180">
        <f>'Données projet'!D247</f>
        <v>0</v>
      </c>
      <c r="C274" s="192"/>
      <c r="D274" s="178">
        <f t="shared" si="14"/>
        <v>0</v>
      </c>
      <c r="E274" s="192"/>
      <c r="F274" s="231"/>
      <c r="G274" s="204"/>
      <c r="H274" s="4"/>
      <c r="I274" s="4"/>
      <c r="J274" s="4"/>
      <c r="K274" s="172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79">
        <f>'Données projet'!A248</f>
        <v>0</v>
      </c>
      <c r="B275" s="180">
        <f>'Données projet'!D248</f>
        <v>0</v>
      </c>
      <c r="C275" s="192"/>
      <c r="D275" s="178">
        <f t="shared" si="14"/>
        <v>0</v>
      </c>
      <c r="E275" s="192"/>
      <c r="F275" s="231"/>
      <c r="G275" s="204"/>
      <c r="H275" s="4"/>
      <c r="I275" s="4"/>
      <c r="J275" s="4"/>
      <c r="K275" s="172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79">
        <f>'Données projet'!A249</f>
        <v>0</v>
      </c>
      <c r="B276" s="180">
        <f>'Données projet'!D249</f>
        <v>0</v>
      </c>
      <c r="C276" s="192"/>
      <c r="D276" s="178">
        <f t="shared" si="14"/>
        <v>0</v>
      </c>
      <c r="E276" s="192"/>
      <c r="F276" s="231"/>
      <c r="G276" s="204"/>
      <c r="H276" s="4"/>
      <c r="I276" s="4"/>
      <c r="J276" s="4"/>
      <c r="K276" s="172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79">
        <f>'Données projet'!A250</f>
        <v>0</v>
      </c>
      <c r="B277" s="180">
        <f>'Données projet'!D250</f>
        <v>0</v>
      </c>
      <c r="C277" s="192"/>
      <c r="D277" s="178">
        <f t="shared" si="14"/>
        <v>0</v>
      </c>
      <c r="E277" s="192"/>
      <c r="F277" s="231"/>
      <c r="G277" s="205"/>
      <c r="H277" s="4"/>
      <c r="I277" s="4"/>
      <c r="J277" s="4"/>
      <c r="K277" s="172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79">
        <f>'Données projet'!A251</f>
        <v>0</v>
      </c>
      <c r="B278" s="180">
        <f>'Données projet'!D251</f>
        <v>0</v>
      </c>
      <c r="C278" s="192"/>
      <c r="D278" s="178">
        <f t="shared" si="14"/>
        <v>0</v>
      </c>
      <c r="E278" s="192"/>
      <c r="F278" s="231"/>
      <c r="G278" s="205"/>
      <c r="H278" s="4"/>
      <c r="I278" s="4"/>
      <c r="J278" s="4"/>
      <c r="K278" s="172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79">
        <f>'Données projet'!A252</f>
        <v>0</v>
      </c>
      <c r="B279" s="180">
        <f>'Données projet'!D252</f>
        <v>0</v>
      </c>
      <c r="C279" s="192"/>
      <c r="D279" s="178">
        <f t="shared" si="14"/>
        <v>0</v>
      </c>
      <c r="E279" s="192"/>
      <c r="F279" s="231"/>
      <c r="G279" s="205"/>
      <c r="H279" s="4"/>
      <c r="I279" s="4"/>
      <c r="J279" s="4"/>
      <c r="K279" s="172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79">
        <f>'Données projet'!A253</f>
        <v>0</v>
      </c>
      <c r="B280" s="180">
        <f>'Données projet'!D253</f>
        <v>0</v>
      </c>
      <c r="C280" s="192"/>
      <c r="D280" s="178">
        <f t="shared" si="14"/>
        <v>0</v>
      </c>
      <c r="E280" s="192"/>
      <c r="F280" s="231"/>
      <c r="G280" s="205"/>
      <c r="H280" s="4"/>
      <c r="I280" s="4"/>
      <c r="J280" s="4"/>
      <c r="K280" s="172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79">
        <f>'Données projet'!A254</f>
        <v>0</v>
      </c>
      <c r="B281" s="180">
        <f>'Données projet'!D254</f>
        <v>0</v>
      </c>
      <c r="C281" s="192"/>
      <c r="D281" s="178">
        <f t="shared" si="14"/>
        <v>0</v>
      </c>
      <c r="E281" s="192"/>
      <c r="F281" s="231"/>
      <c r="G281" s="205"/>
      <c r="H281" s="4"/>
      <c r="I281" s="4"/>
      <c r="J281" s="4"/>
      <c r="K281" s="172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79">
        <f>'Données projet'!A255</f>
        <v>0</v>
      </c>
      <c r="B282" s="180">
        <f>'Données projet'!D255</f>
        <v>0</v>
      </c>
      <c r="C282" s="192"/>
      <c r="D282" s="178">
        <f t="shared" si="14"/>
        <v>0</v>
      </c>
      <c r="E282" s="192"/>
      <c r="F282" s="231"/>
      <c r="G282" s="205"/>
      <c r="H282" s="4"/>
      <c r="I282" s="4"/>
      <c r="J282" s="4"/>
      <c r="K282" s="172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79">
        <f>'Données projet'!A256</f>
        <v>0</v>
      </c>
      <c r="B283" s="180">
        <f>'Données projet'!D256</f>
        <v>0</v>
      </c>
      <c r="C283" s="192"/>
      <c r="D283" s="178">
        <f t="shared" si="14"/>
        <v>0</v>
      </c>
      <c r="E283" s="192"/>
      <c r="F283" s="231"/>
      <c r="G283" s="205"/>
      <c r="H283" s="4"/>
      <c r="I283" s="4"/>
      <c r="J283" s="4"/>
      <c r="K283" s="172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79">
        <f>'Données projet'!A257</f>
        <v>0</v>
      </c>
      <c r="B284" s="180">
        <f>'Données projet'!D257</f>
        <v>0</v>
      </c>
      <c r="C284" s="192"/>
      <c r="D284" s="178">
        <f t="shared" si="14"/>
        <v>0</v>
      </c>
      <c r="E284" s="192"/>
      <c r="F284" s="231"/>
      <c r="G284" s="205"/>
      <c r="H284" s="4"/>
      <c r="I284" s="4"/>
      <c r="J284" s="4"/>
      <c r="K284" s="172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79">
        <f>'Données projet'!A258</f>
        <v>0</v>
      </c>
      <c r="B285" s="180">
        <f>'Données projet'!D258</f>
        <v>0</v>
      </c>
      <c r="C285" s="192"/>
      <c r="D285" s="178">
        <f t="shared" si="14"/>
        <v>0</v>
      </c>
      <c r="E285" s="192"/>
      <c r="F285" s="231"/>
      <c r="G285" s="205"/>
      <c r="H285" s="4"/>
      <c r="I285" s="4"/>
      <c r="J285" s="4"/>
      <c r="K285" s="172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79">
        <f>'Données projet'!A259</f>
        <v>0</v>
      </c>
      <c r="B286" s="180">
        <f>'Données projet'!D259</f>
        <v>0</v>
      </c>
      <c r="C286" s="192"/>
      <c r="D286" s="178">
        <f t="shared" si="14"/>
        <v>0</v>
      </c>
      <c r="E286" s="192"/>
      <c r="F286" s="231"/>
      <c r="G286" s="205"/>
      <c r="H286" s="4"/>
      <c r="I286" s="4"/>
      <c r="J286" s="4"/>
      <c r="K286" s="172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79">
        <f>'Données projet'!A260</f>
        <v>0</v>
      </c>
      <c r="B287" s="180">
        <f>'Données projet'!D260</f>
        <v>0</v>
      </c>
      <c r="C287" s="192"/>
      <c r="D287" s="178">
        <f t="shared" si="14"/>
        <v>0</v>
      </c>
      <c r="E287" s="192"/>
      <c r="F287" s="231"/>
      <c r="G287" s="205"/>
      <c r="H287" s="4"/>
      <c r="I287" s="4"/>
      <c r="J287" s="4"/>
      <c r="K287" s="172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79">
        <f>'Données projet'!A261</f>
        <v>0</v>
      </c>
      <c r="B288" s="180">
        <f>'Données projet'!D261</f>
        <v>0</v>
      </c>
      <c r="C288" s="192"/>
      <c r="D288" s="178">
        <f t="shared" si="14"/>
        <v>0</v>
      </c>
      <c r="E288" s="192"/>
      <c r="F288" s="231"/>
      <c r="G288" s="205"/>
      <c r="H288" s="4"/>
      <c r="I288" s="4"/>
      <c r="J288" s="4"/>
      <c r="K288" s="172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79">
        <f>'Données projet'!A262</f>
        <v>0</v>
      </c>
      <c r="B289" s="180">
        <f>'Données projet'!D262</f>
        <v>0</v>
      </c>
      <c r="C289" s="192"/>
      <c r="D289" s="178">
        <f t="shared" si="14"/>
        <v>0</v>
      </c>
      <c r="E289" s="192"/>
      <c r="F289" s="231"/>
      <c r="G289" s="205"/>
      <c r="H289" s="4"/>
      <c r="I289" s="4"/>
      <c r="J289" s="4"/>
      <c r="K289" s="172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79">
        <f>'Données projet'!A263</f>
        <v>0</v>
      </c>
      <c r="B290" s="180">
        <f>'Données projet'!D263</f>
        <v>0</v>
      </c>
      <c r="C290" s="192"/>
      <c r="D290" s="178">
        <f t="shared" si="14"/>
        <v>0</v>
      </c>
      <c r="E290" s="192"/>
      <c r="F290" s="231"/>
      <c r="G290" s="205"/>
      <c r="H290" s="4"/>
      <c r="I290" s="4"/>
      <c r="J290" s="4"/>
      <c r="K290" s="172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2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2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5" t="s">
        <v>174</v>
      </c>
      <c r="B293" s="173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2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5"/>
      <c r="B294" s="4"/>
      <c r="C294" s="4"/>
      <c r="D294" s="4"/>
      <c r="E294" s="4"/>
      <c r="F294" s="229"/>
      <c r="G294" s="205"/>
      <c r="H294" s="4"/>
      <c r="I294" s="4"/>
      <c r="J294" s="4"/>
      <c r="K294" s="172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5" t="s">
        <v>180</v>
      </c>
      <c r="B295" s="47" t="s">
        <v>256</v>
      </c>
      <c r="C295" s="47" t="s">
        <v>255</v>
      </c>
      <c r="D295" s="35" t="s">
        <v>252</v>
      </c>
      <c r="E295" s="35" t="s">
        <v>320</v>
      </c>
      <c r="F295" s="230"/>
      <c r="G295" s="205"/>
      <c r="H295" s="4"/>
      <c r="I295" s="4"/>
      <c r="J295" s="4"/>
      <c r="K295" s="172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8">
        <v>0</v>
      </c>
      <c r="B296" s="198" t="s">
        <v>132</v>
      </c>
      <c r="C296" s="197" t="s">
        <v>132</v>
      </c>
      <c r="D296" s="196" t="s">
        <v>132</v>
      </c>
      <c r="E296" s="192"/>
      <c r="F296" s="230"/>
      <c r="G296" s="205"/>
      <c r="H296" s="4"/>
      <c r="I296" s="4"/>
      <c r="J296" s="4"/>
      <c r="K296" s="172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8">
        <v>1</v>
      </c>
      <c r="B297" s="198" t="s">
        <v>132</v>
      </c>
      <c r="C297" s="197" t="s">
        <v>132</v>
      </c>
      <c r="D297" s="196" t="s">
        <v>132</v>
      </c>
      <c r="E297" s="192"/>
      <c r="F297" s="230"/>
      <c r="G297" s="23"/>
      <c r="H297" s="4"/>
      <c r="I297" s="4"/>
      <c r="J297" s="4"/>
      <c r="K297" s="172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8">
        <v>2</v>
      </c>
      <c r="B298" s="198" t="s">
        <v>132</v>
      </c>
      <c r="C298" s="197" t="s">
        <v>132</v>
      </c>
      <c r="D298" s="196" t="s">
        <v>132</v>
      </c>
      <c r="E298" s="192"/>
      <c r="F298" s="230"/>
      <c r="G298" s="23"/>
      <c r="H298" s="4"/>
      <c r="I298" s="4"/>
      <c r="J298" s="4"/>
      <c r="K298" s="172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8">
        <v>3</v>
      </c>
      <c r="B299" s="198" t="s">
        <v>132</v>
      </c>
      <c r="C299" s="197" t="s">
        <v>132</v>
      </c>
      <c r="D299" s="196" t="s">
        <v>132</v>
      </c>
      <c r="E299" s="192"/>
      <c r="F299" s="230"/>
      <c r="G299" s="23"/>
      <c r="H299" s="4"/>
      <c r="I299" s="4"/>
      <c r="J299" s="4"/>
      <c r="K299" s="172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8">
        <v>4</v>
      </c>
      <c r="B300" s="198" t="s">
        <v>132</v>
      </c>
      <c r="C300" s="197" t="s">
        <v>132</v>
      </c>
      <c r="D300" s="196" t="s">
        <v>132</v>
      </c>
      <c r="E300" s="192"/>
      <c r="F300" s="230"/>
      <c r="G300" s="23"/>
      <c r="H300" s="4"/>
      <c r="I300" s="4"/>
      <c r="J300" s="4"/>
      <c r="K300" s="172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8">
        <v>5</v>
      </c>
      <c r="B301" s="198" t="s">
        <v>132</v>
      </c>
      <c r="C301" s="197" t="s">
        <v>132</v>
      </c>
      <c r="D301" s="196" t="s">
        <v>132</v>
      </c>
      <c r="E301" s="192"/>
      <c r="F301" s="230"/>
      <c r="G301" s="204"/>
      <c r="H301" s="4"/>
      <c r="I301" s="4"/>
      <c r="J301" s="4"/>
      <c r="K301" s="172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79">
        <f>'Données projet'!A270</f>
        <v>0</v>
      </c>
      <c r="B302" s="180">
        <f>'Données projet'!D270</f>
        <v>0</v>
      </c>
      <c r="C302" s="190"/>
      <c r="D302" s="181">
        <f>B302*C302</f>
        <v>0</v>
      </c>
      <c r="E302" s="192"/>
      <c r="F302" s="232"/>
      <c r="G302" s="204"/>
      <c r="H302" s="4"/>
      <c r="I302" s="4"/>
      <c r="J302" s="4"/>
      <c r="K302" s="172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79">
        <f>'Données projet'!A271</f>
        <v>0</v>
      </c>
      <c r="B303" s="180">
        <f>'Données projet'!D271</f>
        <v>0</v>
      </c>
      <c r="C303" s="190"/>
      <c r="D303" s="181">
        <f t="shared" ref="D303:D321" si="15">B303*C303</f>
        <v>0</v>
      </c>
      <c r="E303" s="192"/>
      <c r="F303" s="232"/>
      <c r="G303" s="204"/>
      <c r="H303" s="4"/>
      <c r="I303" s="4"/>
      <c r="J303" s="4"/>
      <c r="K303" s="172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79">
        <f>'Données projet'!A272</f>
        <v>0</v>
      </c>
      <c r="B304" s="180">
        <f>'Données projet'!D272</f>
        <v>0</v>
      </c>
      <c r="C304" s="190"/>
      <c r="D304" s="181">
        <f t="shared" si="15"/>
        <v>0</v>
      </c>
      <c r="E304" s="192"/>
      <c r="F304" s="232"/>
      <c r="G304" s="204"/>
      <c r="H304" s="4"/>
      <c r="I304" s="4"/>
      <c r="J304" s="4"/>
      <c r="K304" s="172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79">
        <f>'Données projet'!A273</f>
        <v>0</v>
      </c>
      <c r="B305" s="180">
        <f>'Données projet'!D273</f>
        <v>0</v>
      </c>
      <c r="C305" s="190"/>
      <c r="D305" s="181">
        <f t="shared" si="15"/>
        <v>0</v>
      </c>
      <c r="E305" s="192"/>
      <c r="F305" s="232"/>
      <c r="G305" s="204"/>
      <c r="H305" s="4"/>
      <c r="I305" s="4"/>
      <c r="J305" s="4"/>
      <c r="K305" s="172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79">
        <f>'Données projet'!A274</f>
        <v>0</v>
      </c>
      <c r="B306" s="180">
        <f>'Données projet'!D274</f>
        <v>0</v>
      </c>
      <c r="C306" s="190"/>
      <c r="D306" s="181">
        <f t="shared" si="15"/>
        <v>0</v>
      </c>
      <c r="E306" s="192"/>
      <c r="F306" s="232"/>
      <c r="G306" s="204"/>
      <c r="H306" s="4"/>
      <c r="I306" s="4"/>
      <c r="J306" s="4"/>
      <c r="K306" s="172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79">
        <f>'Données projet'!A275</f>
        <v>0</v>
      </c>
      <c r="B307" s="180">
        <f>'Données projet'!D275</f>
        <v>0</v>
      </c>
      <c r="C307" s="190"/>
      <c r="D307" s="181">
        <f t="shared" si="15"/>
        <v>0</v>
      </c>
      <c r="E307" s="192"/>
      <c r="F307" s="232"/>
      <c r="G307" s="204"/>
      <c r="H307" s="4"/>
      <c r="I307" s="4"/>
      <c r="J307" s="4"/>
      <c r="K307" s="172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79">
        <f>'Données projet'!A276</f>
        <v>0</v>
      </c>
      <c r="B308" s="180">
        <f>'Données projet'!D276</f>
        <v>0</v>
      </c>
      <c r="C308" s="190"/>
      <c r="D308" s="181">
        <f t="shared" si="15"/>
        <v>0</v>
      </c>
      <c r="E308" s="192"/>
      <c r="F308" s="232"/>
      <c r="G308" s="202"/>
      <c r="H308" s="4"/>
      <c r="I308" s="4"/>
      <c r="J308" s="4"/>
      <c r="K308" s="172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79">
        <f>'Données projet'!A277</f>
        <v>0</v>
      </c>
      <c r="B309" s="180">
        <f>'Données projet'!D277</f>
        <v>0</v>
      </c>
      <c r="C309" s="190"/>
      <c r="D309" s="181">
        <f t="shared" si="15"/>
        <v>0</v>
      </c>
      <c r="E309" s="192"/>
      <c r="F309" s="232"/>
      <c r="G309" s="202"/>
      <c r="H309" s="4"/>
      <c r="I309" s="4"/>
      <c r="J309" s="4"/>
      <c r="K309" s="172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79">
        <f>'Données projet'!A278</f>
        <v>0</v>
      </c>
      <c r="B310" s="180">
        <f>'Données projet'!D278</f>
        <v>0</v>
      </c>
      <c r="C310" s="190"/>
      <c r="D310" s="181">
        <f t="shared" si="15"/>
        <v>0</v>
      </c>
      <c r="E310" s="192"/>
      <c r="F310" s="232"/>
      <c r="G310" s="202"/>
      <c r="H310" s="4"/>
      <c r="I310" s="4"/>
      <c r="J310" s="4"/>
      <c r="K310" s="172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79">
        <f>'Données projet'!A279</f>
        <v>0</v>
      </c>
      <c r="B311" s="180">
        <f>'Données projet'!D279</f>
        <v>0</v>
      </c>
      <c r="C311" s="190"/>
      <c r="D311" s="181">
        <f t="shared" si="15"/>
        <v>0</v>
      </c>
      <c r="E311" s="192"/>
      <c r="F311" s="232"/>
      <c r="G311" s="202"/>
      <c r="H311" s="4"/>
      <c r="I311" s="4"/>
      <c r="J311" s="4"/>
      <c r="K311" s="172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79">
        <f>'Données projet'!A280</f>
        <v>0</v>
      </c>
      <c r="B312" s="180">
        <f>'Données projet'!D280</f>
        <v>0</v>
      </c>
      <c r="C312" s="190"/>
      <c r="D312" s="181">
        <f t="shared" si="15"/>
        <v>0</v>
      </c>
      <c r="E312" s="192"/>
      <c r="F312" s="232"/>
      <c r="G312" s="202"/>
      <c r="H312" s="4"/>
      <c r="I312" s="4"/>
      <c r="J312" s="4"/>
      <c r="K312" s="172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79">
        <f>'Données projet'!A281</f>
        <v>0</v>
      </c>
      <c r="B313" s="180">
        <f>'Données projet'!D281</f>
        <v>0</v>
      </c>
      <c r="C313" s="190"/>
      <c r="D313" s="181">
        <f t="shared" si="15"/>
        <v>0</v>
      </c>
      <c r="E313" s="192"/>
      <c r="F313" s="232"/>
      <c r="G313" s="202"/>
      <c r="H313" s="4"/>
      <c r="I313" s="4"/>
      <c r="J313" s="4"/>
      <c r="K313" s="172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79">
        <f>'Données projet'!A282</f>
        <v>0</v>
      </c>
      <c r="B314" s="180">
        <f>'Données projet'!D282</f>
        <v>0</v>
      </c>
      <c r="C314" s="190"/>
      <c r="D314" s="181">
        <f t="shared" si="15"/>
        <v>0</v>
      </c>
      <c r="E314" s="192"/>
      <c r="F314" s="232"/>
      <c r="G314" s="202"/>
      <c r="H314" s="4"/>
      <c r="I314" s="4"/>
      <c r="J314" s="4"/>
      <c r="K314" s="172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79">
        <f>'Données projet'!A283</f>
        <v>0</v>
      </c>
      <c r="B315" s="180">
        <f>'Données projet'!D283</f>
        <v>0</v>
      </c>
      <c r="C315" s="190"/>
      <c r="D315" s="181">
        <f t="shared" si="15"/>
        <v>0</v>
      </c>
      <c r="E315" s="192"/>
      <c r="F315" s="232"/>
      <c r="G315" s="202"/>
      <c r="H315" s="4"/>
      <c r="I315" s="4"/>
      <c r="J315" s="4"/>
      <c r="K315" s="172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79">
        <f>'Données projet'!A284</f>
        <v>0</v>
      </c>
      <c r="B316" s="180">
        <f>'Données projet'!D284</f>
        <v>0</v>
      </c>
      <c r="C316" s="190"/>
      <c r="D316" s="181">
        <f t="shared" si="15"/>
        <v>0</v>
      </c>
      <c r="E316" s="192"/>
      <c r="F316" s="232"/>
      <c r="G316" s="202"/>
      <c r="H316" s="4"/>
      <c r="I316" s="4"/>
      <c r="J316" s="4"/>
      <c r="K316" s="172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79">
        <f>'Données projet'!A285</f>
        <v>0</v>
      </c>
      <c r="B317" s="180">
        <f>'Données projet'!D285</f>
        <v>0</v>
      </c>
      <c r="C317" s="190"/>
      <c r="D317" s="181">
        <f t="shared" si="15"/>
        <v>0</v>
      </c>
      <c r="E317" s="192"/>
      <c r="F317" s="232"/>
      <c r="G317" s="202"/>
      <c r="H317" s="4"/>
      <c r="I317" s="4"/>
      <c r="J317" s="4"/>
      <c r="K317" s="172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79">
        <f>'Données projet'!A286</f>
        <v>0</v>
      </c>
      <c r="B318" s="180">
        <f>'Données projet'!D286</f>
        <v>0</v>
      </c>
      <c r="C318" s="190"/>
      <c r="D318" s="181">
        <f t="shared" si="15"/>
        <v>0</v>
      </c>
      <c r="E318" s="192"/>
      <c r="F318" s="232"/>
      <c r="G318" s="202"/>
      <c r="H318" s="4"/>
      <c r="I318" s="4"/>
      <c r="J318" s="4"/>
      <c r="K318" s="172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79">
        <f>'Données projet'!A287</f>
        <v>0</v>
      </c>
      <c r="B319" s="180">
        <f>'Données projet'!D287</f>
        <v>0</v>
      </c>
      <c r="C319" s="190"/>
      <c r="D319" s="181">
        <f t="shared" si="15"/>
        <v>0</v>
      </c>
      <c r="E319" s="192"/>
      <c r="F319" s="232"/>
      <c r="G319" s="202"/>
      <c r="H319" s="4"/>
      <c r="I319" s="4"/>
      <c r="J319" s="4"/>
      <c r="K319" s="172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79">
        <f>'Données projet'!A288</f>
        <v>0</v>
      </c>
      <c r="B320" s="180">
        <f>'Données projet'!D288</f>
        <v>0</v>
      </c>
      <c r="C320" s="190"/>
      <c r="D320" s="181">
        <f t="shared" si="15"/>
        <v>0</v>
      </c>
      <c r="E320" s="192"/>
      <c r="F320" s="232"/>
      <c r="G320" s="202"/>
      <c r="H320" s="4"/>
      <c r="I320" s="4"/>
      <c r="J320" s="4"/>
      <c r="K320" s="172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79">
        <f>'Données projet'!A289</f>
        <v>0</v>
      </c>
      <c r="B321" s="180">
        <f>'Données projet'!D289</f>
        <v>0</v>
      </c>
      <c r="C321" s="195"/>
      <c r="D321" s="181">
        <f t="shared" si="15"/>
        <v>0</v>
      </c>
      <c r="E321" s="192"/>
      <c r="F321" s="232"/>
      <c r="G321" s="202"/>
      <c r="H321" s="4"/>
      <c r="I321" s="4"/>
      <c r="J321" s="4"/>
      <c r="K321" s="172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2"/>
      <c r="H322" s="4"/>
      <c r="I322" s="4"/>
      <c r="J322" s="4"/>
      <c r="K322" s="172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2"/>
      <c r="H323" s="4"/>
      <c r="I323" s="4"/>
      <c r="J323" s="4"/>
      <c r="K323" s="172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2"/>
      <c r="H324" s="4"/>
      <c r="I324" s="4"/>
      <c r="J324" s="4"/>
      <c r="K324" s="172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2"/>
      <c r="H325" s="4"/>
      <c r="I325" s="4"/>
      <c r="J325" s="4"/>
      <c r="K325" s="172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2"/>
      <c r="H326" s="4"/>
      <c r="I326" s="4"/>
      <c r="J326" s="4"/>
      <c r="K326" s="172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2"/>
      <c r="H327" s="4"/>
      <c r="I327" s="4"/>
      <c r="J327" s="4"/>
      <c r="K327" s="172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ée un document." ma:contentTypeScope="" ma:versionID="b883bbb9b25661e8aceedaa63a758fe7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5578e133cdb16f0cf7c306f20050c564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FE77D6-6F44-4DD4-ADCA-D89165D89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2024-10-03T15:15:29Z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