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FRESNAY L'EVEQUE (28) - CHRISTIAEN Philippe SWC A8\Dossier déposer le 24-04-24\"/>
    </mc:Choice>
  </mc:AlternateContent>
  <xr:revisionPtr revIDLastSave="0" documentId="13_ncr:1_{32FFE53E-8761-4E92-87F3-F874F487FCA8}" xr6:coauthVersionLast="36" xr6:coauthVersionMax="36" xr10:uidLastSave="{00000000-0000-0000-0000-000000000000}"/>
  <bookViews>
    <workbookView xWindow="0" yWindow="0" windowWidth="17250" windowHeight="595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V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HH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EW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G145" i="2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HG155" i="2"/>
  <c r="EX155" i="2"/>
  <c r="EY154" i="2"/>
  <c r="ED154" i="2"/>
  <c r="EA155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FS156" i="2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HG160" i="2"/>
  <c r="ED159" i="2"/>
  <c r="EY159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D160" i="2"/>
  <c r="FS161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Y162" i="2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D163" i="2"/>
  <c r="EY163" i="2"/>
  <c r="FR164" i="2"/>
  <c r="EX164" i="2"/>
  <c r="EA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ED165" i="2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H167" i="2"/>
  <c r="FR167" i="2"/>
  <c r="EY166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C168" i="2"/>
  <c r="DI167" i="2"/>
  <c r="EV168" i="2"/>
  <c r="EB168" i="2"/>
  <c r="EW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B172" i="2"/>
  <c r="ED171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HI175" i="2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H178" i="2"/>
  <c r="HG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W185" i="2"/>
  <c r="EV185" i="2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S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J189" i="2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D192" i="2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A194" i="2"/>
  <c r="ED193" i="2"/>
  <c r="FQ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A195" i="2"/>
  <c r="HI195" i="2"/>
  <c r="ED194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HH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W199" i="2"/>
  <c r="EV199" i="2"/>
  <c r="EY198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HJ199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HJ200" i="2"/>
  <c r="ED200" i="2"/>
  <c r="EB201" i="2"/>
  <c r="DI200" i="2"/>
  <c r="EA201" i="2"/>
  <c r="HH201" i="2"/>
  <c r="HG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7" i="2" a="1"/>
  <c r="FY57" i="2" s="1"/>
  <c r="FY32" i="2" a="1"/>
  <c r="FY32" i="2" s="1"/>
  <c r="FY165" i="2" a="1"/>
  <c r="FY165" i="2" s="1"/>
  <c r="FY29" i="2" a="1"/>
  <c r="FY29" i="2" s="1"/>
  <c r="FY140" i="2" a="1"/>
  <c r="FY140" i="2" s="1"/>
  <c r="FY18" i="2" a="1"/>
  <c r="FY18" i="2" s="1"/>
  <c r="FY71" i="2" a="1"/>
  <c r="FY71" i="2" s="1"/>
  <c r="FY153" i="2" a="1"/>
  <c r="FY153" i="2" s="1"/>
  <c r="FY173" i="2" a="1"/>
  <c r="FY173" i="2" s="1"/>
  <c r="FY186" i="2" a="1"/>
  <c r="FY186" i="2" s="1"/>
  <c r="FY111" i="2" a="1"/>
  <c r="FY111" i="2" s="1"/>
  <c r="FY55" i="2" a="1"/>
  <c r="FY55" i="2" s="1"/>
  <c r="FY178" i="2" a="1"/>
  <c r="FY178" i="2" s="1"/>
  <c r="FY124" i="2" a="1"/>
  <c r="FY124" i="2" s="1"/>
  <c r="FY104" i="2" a="1"/>
  <c r="FY104" i="2" s="1"/>
  <c r="FD21" i="2" a="1"/>
  <c r="FD21" i="2" s="1"/>
  <c r="FD144" i="2" a="1"/>
  <c r="FD144" i="2" s="1"/>
  <c r="FD59" i="2" a="1"/>
  <c r="FD59" i="2" s="1"/>
  <c r="BC82" i="2" a="1"/>
  <c r="BC82" i="2" s="1"/>
  <c r="BC117" i="2" a="1"/>
  <c r="BC117" i="2" s="1"/>
  <c r="EI153" i="2" a="1"/>
  <c r="EI153" i="2" s="1"/>
  <c r="DN124" i="2" a="1"/>
  <c r="DN124" i="2" s="1"/>
  <c r="CS52" i="2" a="1"/>
  <c r="CS52" i="2" s="1"/>
  <c r="CS129" i="2" a="1"/>
  <c r="CS129" i="2" s="1"/>
  <c r="EI195" i="2" a="1"/>
  <c r="EI195" i="2" s="1"/>
  <c r="CS137" i="2" a="1"/>
  <c r="CS137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64" i="2" a="1"/>
  <c r="BC164" i="2" s="1"/>
  <c r="BC32" i="2" a="1"/>
  <c r="BC32" i="2" s="1"/>
  <c r="BC143" i="2" a="1"/>
  <c r="BC143" i="2" s="1"/>
  <c r="BC38" i="2" a="1"/>
  <c r="BC38" i="2" s="1"/>
  <c r="BC18" i="2" a="1"/>
  <c r="BC18" i="2" s="1"/>
  <c r="EI38" i="2" a="1"/>
  <c r="EI38" i="2" s="1"/>
  <c r="EI87" i="2" a="1"/>
  <c r="EI87" i="2" s="1"/>
  <c r="EI36" i="2" a="1"/>
  <c r="EI36" i="2" s="1"/>
  <c r="EI57" i="2" a="1"/>
  <c r="EI57" i="2" s="1"/>
  <c r="EI34" i="2" a="1"/>
  <c r="EI34" i="2" s="1"/>
  <c r="EI16" i="2" a="1"/>
  <c r="EI16" i="2" s="1"/>
  <c r="EI170" i="2" a="1"/>
  <c r="EI170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EY202" i="2"/>
  <c r="AX200" i="2"/>
  <c r="GT115" i="2" l="1" a="1"/>
  <c r="GT115" i="2" s="1"/>
  <c r="GT181" i="2" a="1"/>
  <c r="GT181" i="2" s="1"/>
  <c r="GT138" i="2" a="1"/>
  <c r="GT138" i="2" s="1"/>
  <c r="FY126" i="2" a="1"/>
  <c r="FY126" i="2" s="1"/>
  <c r="FY188" i="2" a="1"/>
  <c r="FY188" i="2" s="1"/>
  <c r="FY28" i="2" a="1"/>
  <c r="FY28" i="2" s="1"/>
  <c r="FY92" i="2" a="1"/>
  <c r="FY92" i="2" s="1"/>
  <c r="FY35" i="2" a="1"/>
  <c r="FY35" i="2" s="1"/>
  <c r="FY172" i="2" a="1"/>
  <c r="FY172" i="2" s="1"/>
  <c r="FY73" i="2" a="1"/>
  <c r="FY73" i="2" s="1"/>
  <c r="FY146" i="2" a="1"/>
  <c r="FY146" i="2" s="1"/>
  <c r="FY169" i="2" a="1"/>
  <c r="FY169" i="2" s="1"/>
  <c r="FY159" i="2" a="1"/>
  <c r="FY159" i="2" s="1"/>
  <c r="FY50" i="2" a="1"/>
  <c r="FY50" i="2" s="1"/>
  <c r="FY62" i="2" a="1"/>
  <c r="FY62" i="2" s="1"/>
  <c r="FY143" i="2" a="1"/>
  <c r="FY143" i="2" s="1"/>
  <c r="FY190" i="2" a="1"/>
  <c r="FY190" i="2" s="1"/>
  <c r="FY191" i="2" a="1"/>
  <c r="FY191" i="2" s="1"/>
  <c r="FY30" i="2" a="1"/>
  <c r="FY30" i="2" s="1"/>
  <c r="FY72" i="2" a="1"/>
  <c r="FY72" i="2" s="1"/>
  <c r="FY110" i="2" a="1"/>
  <c r="FY110" i="2" s="1"/>
  <c r="FY34" i="2" a="1"/>
  <c r="FY34" i="2" s="1"/>
  <c r="FY102" i="2" a="1"/>
  <c r="FY102" i="2" s="1"/>
  <c r="FY167" i="2" a="1"/>
  <c r="FY167" i="2" s="1"/>
  <c r="FY69" i="2" a="1"/>
  <c r="FY69" i="2" s="1"/>
  <c r="FY142" i="2" a="1"/>
  <c r="FY142" i="2" s="1"/>
  <c r="FY149" i="2" a="1"/>
  <c r="FY149" i="2" s="1"/>
  <c r="FY99" i="2" a="1"/>
  <c r="FY99" i="2" s="1"/>
  <c r="FY66" i="2" a="1"/>
  <c r="FY66" i="2" s="1"/>
  <c r="FY121" i="2" a="1"/>
  <c r="FY121" i="2" s="1"/>
  <c r="FY78" i="2" a="1"/>
  <c r="FY78" i="2" s="1"/>
  <c r="FY79" i="2" a="1"/>
  <c r="FY79" i="2" s="1"/>
  <c r="FY164" i="2" a="1"/>
  <c r="FY164" i="2" s="1"/>
  <c r="FY174" i="2" a="1"/>
  <c r="FY174" i="2" s="1"/>
  <c r="FY80" i="2" a="1"/>
  <c r="FY80" i="2" s="1"/>
  <c r="FY24" i="2" a="1"/>
  <c r="FY24" i="2" s="1"/>
  <c r="FY116" i="2" a="1"/>
  <c r="FY116" i="2" s="1"/>
  <c r="FY120" i="2" a="1"/>
  <c r="FY120" i="2" s="1"/>
  <c r="HG203" i="2"/>
  <c r="GT184" i="2" a="1"/>
  <c r="GT184" i="2" s="1"/>
  <c r="HJ202" i="2"/>
  <c r="GT15" i="2" a="1"/>
  <c r="GT15" i="2" s="1"/>
  <c r="GT107" i="2" a="1"/>
  <c r="GT107" i="2" s="1"/>
  <c r="GT198" i="2" a="1"/>
  <c r="GT198" i="2" s="1"/>
  <c r="GT11" i="2" a="1"/>
  <c r="GT11" i="2" s="1"/>
  <c r="GT189" i="2" a="1"/>
  <c r="GT189" i="2" s="1"/>
  <c r="GT12" i="2" a="1"/>
  <c r="GT12" i="2" s="1"/>
  <c r="GT102" i="2" a="1"/>
  <c r="GT102" i="2" s="1"/>
  <c r="GT21" i="2" a="1"/>
  <c r="GT21" i="2" s="1"/>
  <c r="GT147" i="2" a="1"/>
  <c r="GT147" i="2" s="1"/>
  <c r="GT152" i="2" a="1"/>
  <c r="GT152" i="2" s="1"/>
  <c r="GT190" i="2" a="1"/>
  <c r="GT190" i="2" s="1"/>
  <c r="GT33" i="2" a="1"/>
  <c r="GT33" i="2" s="1"/>
  <c r="GT191" i="2" a="1"/>
  <c r="GT191" i="2" s="1"/>
  <c r="GT133" i="2" a="1"/>
  <c r="GT133" i="2" s="1"/>
  <c r="GT38" i="2" a="1"/>
  <c r="GT38" i="2" s="1"/>
  <c r="GT121" i="2" a="1"/>
  <c r="GT121" i="2" s="1"/>
  <c r="GT126" i="2" a="1"/>
  <c r="GT126" i="2" s="1"/>
  <c r="GT122" i="2" a="1"/>
  <c r="GT122" i="2" s="1"/>
  <c r="GT74" i="2" a="1"/>
  <c r="GT74" i="2" s="1"/>
  <c r="GT51" i="2" a="1"/>
  <c r="GT51" i="2" s="1"/>
  <c r="GT174" i="2" a="1"/>
  <c r="GT174" i="2" s="1"/>
  <c r="GT178" i="2" a="1"/>
  <c r="GT178" i="2" s="1"/>
  <c r="GT68" i="2" a="1"/>
  <c r="GT68" i="2" s="1"/>
  <c r="FY22" i="2" a="1"/>
  <c r="FY22" i="2" s="1"/>
  <c r="FY54" i="2" a="1"/>
  <c r="FY54" i="2" s="1"/>
  <c r="FY109" i="2" a="1"/>
  <c r="FY109" i="2" s="1"/>
  <c r="FY47" i="2" a="1"/>
  <c r="FY47" i="2" s="1"/>
  <c r="FY152" i="2" a="1"/>
  <c r="FY152" i="2" s="1"/>
  <c r="FY133" i="2" a="1"/>
  <c r="FY133" i="2" s="1"/>
  <c r="FS203" i="2"/>
  <c r="EI109" i="2" a="1"/>
  <c r="EI109" i="2" s="1"/>
  <c r="EI142" i="2" a="1"/>
  <c r="EI142" i="2" s="1"/>
  <c r="EI67" i="2" a="1"/>
  <c r="EI67" i="2" s="1"/>
  <c r="EI178" i="2" a="1"/>
  <c r="EI178" i="2" s="1"/>
  <c r="EI145" i="2" a="1"/>
  <c r="EI145" i="2" s="1"/>
  <c r="EI162" i="2" a="1"/>
  <c r="EI162" i="2" s="1"/>
  <c r="EI113" i="2" a="1"/>
  <c r="EI113" i="2" s="1"/>
  <c r="EI150" i="2" a="1"/>
  <c r="EI150" i="2" s="1"/>
  <c r="EI128" i="2" a="1"/>
  <c r="EI128" i="2" s="1"/>
  <c r="EI29" i="2" a="1"/>
  <c r="EI29" i="2" s="1"/>
  <c r="EI20" i="2" a="1"/>
  <c r="EI20" i="2" s="1"/>
  <c r="EI106" i="2" a="1"/>
  <c r="EI106" i="2" s="1"/>
  <c r="EI165" i="2" a="1"/>
  <c r="EI165" i="2" s="1"/>
  <c r="EI166" i="2" a="1"/>
  <c r="EI166" i="2" s="1"/>
  <c r="EI71" i="2" a="1"/>
  <c r="EI71" i="2" s="1"/>
  <c r="EI198" i="2" a="1"/>
  <c r="EI198" i="2" s="1"/>
  <c r="DN155" i="2" a="1"/>
  <c r="DN155" i="2" s="1"/>
  <c r="DN65" i="2" a="1"/>
  <c r="DN65" i="2" s="1"/>
  <c r="DN133" i="2" a="1"/>
  <c r="DN133" i="2" s="1"/>
  <c r="DN70" i="2" a="1"/>
  <c r="DN70" i="2" s="1"/>
  <c r="DN114" i="2" a="1"/>
  <c r="DN114" i="2" s="1"/>
  <c r="DN80" i="2" a="1"/>
  <c r="DN80" i="2" s="1"/>
  <c r="DN103" i="2" a="1"/>
  <c r="DN103" i="2" s="1"/>
  <c r="DN187" i="2" a="1"/>
  <c r="DN187" i="2" s="1"/>
  <c r="DN153" i="2" a="1"/>
  <c r="DN153" i="2" s="1"/>
  <c r="DN170" i="2" a="1"/>
  <c r="DN170" i="2" s="1"/>
  <c r="DN129" i="2" a="1"/>
  <c r="DN129" i="2" s="1"/>
  <c r="DN50" i="2" a="1"/>
  <c r="DN50" i="2" s="1"/>
  <c r="DN110" i="2" a="1"/>
  <c r="DN110" i="2" s="1"/>
  <c r="DN113" i="2" a="1"/>
  <c r="DN113" i="2" s="1"/>
  <c r="DN45" i="2" a="1"/>
  <c r="DN45" i="2" s="1"/>
  <c r="DN31" i="2" a="1"/>
  <c r="DN31" i="2" s="1"/>
  <c r="DN123" i="2" a="1"/>
  <c r="DN123" i="2" s="1"/>
  <c r="DN25" i="2" a="1"/>
  <c r="DN25" i="2" s="1"/>
  <c r="DN167" i="2" a="1"/>
  <c r="DN167" i="2" s="1"/>
  <c r="DN184" i="2" a="1"/>
  <c r="DN184" i="2" s="1"/>
  <c r="DN63" i="2" a="1"/>
  <c r="DN63" i="2" s="1"/>
  <c r="DN132" i="2" a="1"/>
  <c r="DN132" i="2" s="1"/>
  <c r="DN29" i="2" a="1"/>
  <c r="DN29" i="2" s="1"/>
  <c r="DN30" i="2" a="1"/>
  <c r="DN30" i="2" s="1"/>
  <c r="DN49" i="2" a="1"/>
  <c r="DN49" i="2" s="1"/>
  <c r="DN66" i="2" a="1"/>
  <c r="DN66" i="2" s="1"/>
  <c r="DN41" i="2" a="1"/>
  <c r="DN41" i="2" s="1"/>
  <c r="DN16" i="2" a="1"/>
  <c r="DN16" i="2" s="1"/>
  <c r="DN150" i="2" a="1"/>
  <c r="DN150" i="2" s="1"/>
  <c r="DN162" i="2" a="1"/>
  <c r="DN162" i="2" s="1"/>
  <c r="DN46" i="2" a="1"/>
  <c r="DN46" i="2" s="1"/>
  <c r="DN43" i="2" a="1"/>
  <c r="DN43" i="2" s="1"/>
  <c r="DN135" i="2" a="1"/>
  <c r="DN135" i="2" s="1"/>
  <c r="DN86" i="2" a="1"/>
  <c r="DN86" i="2" s="1"/>
  <c r="DN186" i="2" a="1"/>
  <c r="DN186" i="2" s="1"/>
  <c r="DN168" i="2" a="1"/>
  <c r="DN168" i="2" s="1"/>
  <c r="DN152" i="2" a="1"/>
  <c r="DN152" i="2" s="1"/>
  <c r="DN192" i="2" a="1"/>
  <c r="DN192" i="2" s="1"/>
  <c r="DN188" i="2" a="1"/>
  <c r="DN188" i="2" s="1"/>
  <c r="DN38" i="2" a="1"/>
  <c r="DN38" i="2" s="1"/>
  <c r="DN177" i="2" a="1"/>
  <c r="DN177" i="2" s="1"/>
  <c r="DN137" i="2" a="1"/>
  <c r="DN137" i="2" s="1"/>
  <c r="DN56" i="2" a="1"/>
  <c r="DN56" i="2" s="1"/>
  <c r="DN55" i="2" a="1"/>
  <c r="DN55" i="2" s="1"/>
  <c r="DN164" i="2" a="1"/>
  <c r="DN164" i="2" s="1"/>
  <c r="DN176" i="2" a="1"/>
  <c r="DN176" i="2" s="1"/>
  <c r="DN190" i="2" a="1"/>
  <c r="DN190" i="2" s="1"/>
  <c r="DN115" i="2" a="1"/>
  <c r="DN115" i="2" s="1"/>
  <c r="CS66" i="2" a="1"/>
  <c r="CS66" i="2" s="1"/>
  <c r="CS116" i="2" a="1"/>
  <c r="CS116" i="2" s="1"/>
  <c r="CS120" i="2" a="1"/>
  <c r="CS120" i="2" s="1"/>
  <c r="CS38" i="2" a="1"/>
  <c r="CS38" i="2" s="1"/>
  <c r="CS105" i="2" a="1"/>
  <c r="CS105" i="2" s="1"/>
  <c r="CS161" i="2" a="1"/>
  <c r="CS161" i="2" s="1"/>
  <c r="BX107" i="2" a="1"/>
  <c r="BX107" i="2" s="1"/>
  <c r="AH166" i="2" a="1"/>
  <c r="AH166" i="2" s="1"/>
  <c r="AH19" i="2" a="1"/>
  <c r="AH19" i="2" s="1"/>
  <c r="AH90" i="2" a="1"/>
  <c r="AH90" i="2" s="1"/>
  <c r="BC185" i="2" a="1"/>
  <c r="BC185" i="2" s="1"/>
  <c r="BC181" i="2" a="1"/>
  <c r="BC181" i="2" s="1"/>
  <c r="BC192" i="2" a="1"/>
  <c r="BC192" i="2" s="1"/>
  <c r="BC65" i="2" a="1"/>
  <c r="BC65" i="2" s="1"/>
  <c r="BC55" i="2" a="1"/>
  <c r="BC55" i="2" s="1"/>
  <c r="BC114" i="2" a="1"/>
  <c r="BC114" i="2" s="1"/>
  <c r="BC126" i="2" a="1"/>
  <c r="BC126" i="2" s="1"/>
  <c r="BC68" i="2" a="1"/>
  <c r="BC68" i="2" s="1"/>
  <c r="BC47" i="2" a="1"/>
  <c r="BC47" i="2" s="1"/>
  <c r="BC83" i="2" a="1"/>
  <c r="BC83" i="2" s="1"/>
  <c r="BC151" i="2" a="1"/>
  <c r="BC151" i="2" s="1"/>
  <c r="BC7" i="2" a="1"/>
  <c r="BC7" i="2" s="1"/>
  <c r="BC58" i="2" a="1"/>
  <c r="BC58" i="2" s="1"/>
  <c r="BC34" i="2" a="1"/>
  <c r="BC34" i="2" s="1"/>
  <c r="BC31" i="2" a="1"/>
  <c r="BC31" i="2" s="1"/>
  <c r="BC84" i="2" a="1"/>
  <c r="BC84" i="2" s="1"/>
  <c r="AH199" i="2" a="1"/>
  <c r="AH199" i="2" s="1"/>
  <c r="AH92" i="2" a="1"/>
  <c r="AH92" i="2" s="1"/>
  <c r="AH151" i="2" a="1"/>
  <c r="AH151" i="2" s="1"/>
  <c r="AH163" i="2" a="1"/>
  <c r="AH163" i="2" s="1"/>
  <c r="AH62" i="2" a="1"/>
  <c r="AH6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T203" i="2"/>
  <c r="ED203" i="2"/>
  <c r="EY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Z52" i="2" l="1"/>
  <c r="GZ133" i="2"/>
  <c r="GZ130" i="2"/>
  <c r="GZ93" i="2"/>
  <c r="GZ8" i="2"/>
  <c r="GZ201" i="2"/>
  <c r="GZ12" i="2"/>
  <c r="GZ118" i="2"/>
  <c r="GZ57" i="2"/>
  <c r="GZ161" i="2"/>
  <c r="GZ196" i="2"/>
  <c r="GZ96" i="2"/>
  <c r="GZ43" i="2"/>
  <c r="GZ94" i="2"/>
  <c r="GZ188" i="2"/>
  <c r="GZ55" i="2"/>
  <c r="GZ100" i="2"/>
  <c r="GZ97" i="2"/>
  <c r="GZ158" i="2"/>
  <c r="GZ24" i="2"/>
  <c r="GZ157" i="2"/>
  <c r="GZ202" i="2"/>
  <c r="GZ66" i="2"/>
  <c r="GZ65" i="2"/>
  <c r="GZ179" i="2"/>
  <c r="GZ121" i="2"/>
  <c r="GZ110" i="2"/>
  <c r="GZ42" i="2"/>
  <c r="GZ162" i="2"/>
  <c r="GZ115" i="2"/>
  <c r="GZ138" i="2"/>
  <c r="GZ74" i="2"/>
  <c r="GZ48" i="2"/>
  <c r="GZ144" i="2"/>
  <c r="GZ11" i="2"/>
  <c r="GZ112" i="2"/>
  <c r="GZ34" i="2"/>
  <c r="GZ82" i="2"/>
  <c r="GZ79" i="2"/>
  <c r="GZ9" i="2"/>
  <c r="GZ183" i="2"/>
  <c r="GZ143" i="2"/>
  <c r="GZ192" i="2"/>
  <c r="GZ101" i="2"/>
  <c r="GZ106" i="2"/>
  <c r="GZ47" i="2"/>
  <c r="GZ53" i="2"/>
  <c r="GZ98" i="2"/>
  <c r="GZ92" i="2"/>
  <c r="GZ51" i="2"/>
  <c r="GZ68" i="2"/>
  <c r="GZ15" i="2"/>
  <c r="GZ22" i="2"/>
  <c r="GZ189" i="2"/>
  <c r="GZ102" i="2"/>
  <c r="GZ120" i="2"/>
  <c r="GZ72" i="2"/>
  <c r="GZ63" i="2"/>
  <c r="GZ142" i="2"/>
  <c r="GZ75" i="2"/>
  <c r="GZ89" i="2"/>
  <c r="GZ78" i="2"/>
  <c r="GZ108" i="2"/>
  <c r="GZ23" i="2"/>
  <c r="GZ203" i="2"/>
  <c r="GZ36" i="2"/>
  <c r="GZ18" i="2"/>
  <c r="GZ26" i="2"/>
  <c r="GZ13" i="2"/>
  <c r="GZ10" i="2"/>
  <c r="GZ131" i="2"/>
  <c r="GZ134" i="2"/>
  <c r="GZ171" i="2"/>
  <c r="GZ174" i="2"/>
  <c r="GZ168" i="2"/>
  <c r="GZ64" i="2"/>
  <c r="GZ85" i="2"/>
  <c r="GZ190" i="2"/>
  <c r="GZ156" i="2"/>
  <c r="GZ164" i="2"/>
  <c r="GZ150" i="2"/>
  <c r="GZ125" i="2"/>
  <c r="GZ167" i="2"/>
  <c r="GZ200" i="2"/>
  <c r="GZ6" i="2"/>
  <c r="GZ152" i="2"/>
  <c r="GZ86" i="2"/>
  <c r="GZ113" i="2"/>
  <c r="GZ61" i="2"/>
  <c r="GZ151" i="2"/>
  <c r="GZ7" i="2"/>
  <c r="GZ107" i="2"/>
  <c r="GZ145" i="2"/>
  <c r="GZ67" i="2"/>
  <c r="GZ87" i="2"/>
  <c r="GZ172" i="2"/>
  <c r="GZ109" i="2"/>
  <c r="GZ197" i="2"/>
  <c r="GZ35" i="2"/>
  <c r="GZ122" i="2"/>
  <c r="GZ175" i="2"/>
  <c r="GZ39" i="2"/>
  <c r="GZ114" i="2"/>
  <c r="GZ116" i="2"/>
  <c r="GZ81" i="2"/>
  <c r="GZ160" i="2"/>
  <c r="GZ182" i="2"/>
  <c r="GZ56" i="2"/>
  <c r="GZ99" i="2"/>
  <c r="GZ37" i="2"/>
  <c r="GZ45" i="2"/>
  <c r="GZ19" i="2"/>
  <c r="GZ178" i="2"/>
  <c r="GZ50" i="2"/>
  <c r="GZ111" i="2"/>
  <c r="GZ127" i="2"/>
  <c r="GZ177" i="2"/>
  <c r="GZ62" i="2"/>
  <c r="GZ90" i="2"/>
  <c r="GZ154" i="2"/>
  <c r="GZ104" i="2"/>
  <c r="GZ180" i="2"/>
  <c r="GZ69" i="2"/>
  <c r="GZ88" i="2"/>
  <c r="GZ70" i="2"/>
  <c r="GZ126" i="2"/>
  <c r="GZ30" i="2"/>
  <c r="GZ137" i="2"/>
  <c r="GZ5" i="2"/>
  <c r="GZ149" i="2"/>
  <c r="GZ194" i="2"/>
  <c r="GZ40" i="2"/>
  <c r="GZ83" i="2"/>
  <c r="GZ146" i="2"/>
  <c r="GZ128" i="2"/>
  <c r="GZ191" i="2"/>
  <c r="GZ33" i="2"/>
  <c r="GZ20" i="2"/>
  <c r="GZ58" i="2"/>
  <c r="GZ186" i="2"/>
  <c r="GZ16" i="2"/>
  <c r="GZ84" i="2"/>
  <c r="GZ60" i="2"/>
  <c r="GZ129" i="2"/>
  <c r="GZ73" i="2"/>
  <c r="GZ77" i="2"/>
  <c r="GZ163" i="2"/>
  <c r="GZ135" i="2"/>
  <c r="GZ54" i="2"/>
  <c r="GZ173" i="2"/>
  <c r="GZ141" i="2"/>
  <c r="GZ32" i="2"/>
  <c r="GZ80" i="2"/>
  <c r="GZ147" i="2"/>
  <c r="GZ148" i="2"/>
  <c r="GZ176" i="2"/>
  <c r="GZ71" i="2"/>
  <c r="GZ181" i="2"/>
  <c r="GZ59" i="2"/>
  <c r="GZ91" i="2"/>
  <c r="GZ139" i="2"/>
  <c r="GZ117" i="2"/>
  <c r="GZ28" i="2"/>
  <c r="GZ17" i="2"/>
  <c r="GZ193" i="2"/>
  <c r="GZ153" i="2"/>
  <c r="GZ76" i="2"/>
  <c r="GZ165" i="2"/>
  <c r="GZ46" i="2"/>
  <c r="GZ103" i="2"/>
  <c r="GZ105" i="2"/>
  <c r="GZ132" i="2"/>
  <c r="GZ41" i="2"/>
  <c r="GZ31" i="2"/>
  <c r="GZ4" i="2"/>
  <c r="GZ185" i="2"/>
  <c r="GZ44" i="2"/>
  <c r="GZ195" i="2"/>
  <c r="GZ155" i="2"/>
  <c r="GZ166" i="2"/>
  <c r="GZ27" i="2"/>
  <c r="GZ136" i="2"/>
  <c r="GZ199" i="2"/>
  <c r="GZ124" i="2"/>
  <c r="GZ170" i="2"/>
  <c r="GZ14" i="2"/>
  <c r="GZ198" i="2"/>
  <c r="GZ25" i="2"/>
  <c r="GZ140" i="2"/>
  <c r="GZ169" i="2"/>
  <c r="GZ21" i="2"/>
  <c r="GZ38" i="2"/>
  <c r="GZ29" i="2"/>
  <c r="GZ187" i="2"/>
  <c r="GZ119" i="2"/>
  <c r="GZ123" i="2"/>
  <c r="GZ159" i="2"/>
  <c r="GZ184" i="2"/>
  <c r="GZ95" i="2"/>
  <c r="GZ49" i="2"/>
  <c r="GZ3" i="2"/>
  <c r="C15" i="4" s="1"/>
  <c r="E15" i="4" s="1"/>
  <c r="F15" i="4" s="1"/>
  <c r="G15" i="4" s="1"/>
  <c r="L15" i="4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108" i="2" l="1"/>
  <c r="CY173" i="2"/>
  <c r="CY24" i="2"/>
  <c r="CY160" i="2"/>
  <c r="CY85" i="2"/>
  <c r="CY47" i="2"/>
  <c r="CY122" i="2"/>
  <c r="CY134" i="2"/>
  <c r="CY95" i="2"/>
  <c r="CY27" i="2"/>
  <c r="CY126" i="2"/>
  <c r="CY84" i="2"/>
  <c r="CY174" i="2"/>
  <c r="CY54" i="2"/>
  <c r="CY142" i="2"/>
  <c r="CY137" i="2"/>
  <c r="CY96" i="2"/>
  <c r="CY124" i="2"/>
  <c r="CY135" i="2"/>
  <c r="CY191" i="2"/>
  <c r="CY20" i="2"/>
  <c r="CY155" i="2"/>
  <c r="CY164" i="2"/>
  <c r="CY136" i="2"/>
  <c r="CY172" i="2"/>
  <c r="CY97" i="2"/>
  <c r="CY12" i="2"/>
  <c r="CY186" i="2"/>
  <c r="CY68" i="2"/>
  <c r="CY32" i="2"/>
  <c r="CY102" i="2"/>
  <c r="CY18" i="2"/>
  <c r="CY69" i="2"/>
  <c r="CY35" i="2"/>
  <c r="CY13" i="2"/>
  <c r="CY117" i="2"/>
  <c r="CY180" i="2"/>
  <c r="CY75" i="2"/>
  <c r="CY19" i="2"/>
  <c r="CY198" i="2"/>
  <c r="CY157" i="2"/>
  <c r="CY158" i="2"/>
  <c r="CY4" i="2"/>
  <c r="CY162" i="2"/>
  <c r="CY36" i="2"/>
  <c r="CY57" i="2"/>
  <c r="CY181" i="2"/>
  <c r="CY64" i="2"/>
  <c r="CY129" i="2"/>
  <c r="CY125" i="2"/>
  <c r="CY70" i="2"/>
  <c r="CY23" i="2"/>
  <c r="CY28" i="2"/>
  <c r="CY43" i="2"/>
  <c r="CY123" i="2"/>
  <c r="CY62" i="2"/>
  <c r="CY143" i="2"/>
  <c r="CY138" i="2"/>
  <c r="CY61" i="2"/>
  <c r="CY58" i="2"/>
  <c r="CY146" i="2"/>
  <c r="CY79" i="2"/>
  <c r="CY118" i="2"/>
  <c r="CY192" i="2"/>
  <c r="CY81" i="2"/>
  <c r="CY46" i="2"/>
  <c r="CY150" i="2"/>
  <c r="CY53" i="2"/>
  <c r="CY151" i="2"/>
  <c r="CY40" i="2"/>
  <c r="CY34" i="2"/>
  <c r="CY99" i="2"/>
  <c r="CY101" i="2"/>
  <c r="CY152" i="2"/>
  <c r="CY82" i="2"/>
  <c r="CY182" i="2"/>
  <c r="CY87" i="2"/>
  <c r="CY144" i="2"/>
  <c r="CY49" i="2"/>
  <c r="CY89" i="2"/>
  <c r="CY42" i="2"/>
  <c r="CY179" i="2"/>
  <c r="CY15" i="2"/>
  <c r="CY119" i="2"/>
  <c r="CY147" i="2"/>
  <c r="CY74" i="2"/>
  <c r="CY111" i="2"/>
  <c r="CY80" i="2"/>
  <c r="CY26" i="2"/>
  <c r="CY175" i="2"/>
  <c r="CY194" i="2"/>
  <c r="CY178" i="2"/>
  <c r="CY197" i="2"/>
  <c r="CY140" i="2"/>
  <c r="CY105" i="2"/>
  <c r="CY30" i="2"/>
  <c r="CY44" i="2"/>
  <c r="CY112" i="2"/>
  <c r="CY65" i="2"/>
  <c r="CY133" i="2"/>
  <c r="CY52" i="2"/>
  <c r="CY73" i="2"/>
  <c r="CY41" i="2"/>
  <c r="CY98" i="2"/>
  <c r="CY113" i="2"/>
  <c r="CY48" i="2"/>
  <c r="CY106" i="2"/>
  <c r="CY71" i="2"/>
  <c r="CY154" i="2"/>
  <c r="CY92" i="2"/>
  <c r="CY56" i="2"/>
  <c r="CY127" i="2"/>
  <c r="CY177" i="2"/>
  <c r="CY29" i="2"/>
  <c r="CY189" i="2"/>
  <c r="CY153" i="2"/>
  <c r="CY31" i="2"/>
  <c r="CY103" i="2"/>
  <c r="CY66" i="2"/>
  <c r="CY156" i="2"/>
  <c r="CY55" i="2"/>
  <c r="CY141" i="2"/>
  <c r="CY78" i="2"/>
  <c r="CY145" i="2"/>
  <c r="CY107" i="2"/>
  <c r="CY203" i="2"/>
  <c r="CY116" i="2"/>
  <c r="CY199" i="2"/>
  <c r="CY168" i="2"/>
  <c r="CY91" i="2"/>
  <c r="CY88" i="2"/>
  <c r="CY166" i="2"/>
  <c r="CY121" i="2"/>
  <c r="CY201" i="2"/>
  <c r="CY59" i="2"/>
  <c r="CY51" i="2"/>
  <c r="CY185" i="2"/>
  <c r="CY14" i="2"/>
  <c r="CY38" i="2"/>
  <c r="CY200" i="2"/>
  <c r="CY63" i="2"/>
  <c r="CY7" i="2"/>
  <c r="CY93" i="2"/>
  <c r="CY193" i="2"/>
  <c r="CY184" i="2"/>
  <c r="CY3" i="2"/>
  <c r="C10" i="4" s="1"/>
  <c r="E10" i="4" s="1"/>
  <c r="F10" i="4" s="1"/>
  <c r="G10" i="4" s="1"/>
  <c r="L10" i="4" s="1"/>
  <c r="CY188" i="2"/>
  <c r="CY167" i="2"/>
  <c r="CY169" i="2"/>
  <c r="CY37" i="2"/>
  <c r="CY159" i="2"/>
  <c r="CY9" i="2"/>
  <c r="CY22" i="2"/>
  <c r="CY171" i="2"/>
  <c r="CY130" i="2"/>
  <c r="CY196" i="2"/>
  <c r="CY67" i="2"/>
  <c r="CY94" i="2"/>
  <c r="CY5" i="2"/>
  <c r="CY45" i="2"/>
  <c r="CY109" i="2"/>
  <c r="CY195" i="2"/>
  <c r="CY149" i="2"/>
  <c r="CY6" i="2"/>
  <c r="CY50" i="2"/>
  <c r="CY114" i="2"/>
  <c r="CY8" i="2"/>
  <c r="CY132" i="2"/>
  <c r="CY25" i="2"/>
  <c r="CY128" i="2"/>
  <c r="CY163" i="2"/>
  <c r="CY86" i="2"/>
  <c r="CY17" i="2"/>
  <c r="CY60" i="2"/>
  <c r="CY33" i="2"/>
  <c r="CY139" i="2"/>
  <c r="CY120" i="2"/>
  <c r="CY16" i="2"/>
  <c r="CY72" i="2"/>
  <c r="CY170" i="2"/>
  <c r="CY183" i="2"/>
  <c r="CY187" i="2"/>
  <c r="CY100" i="2"/>
  <c r="CY21" i="2"/>
  <c r="CY39" i="2"/>
  <c r="CY104" i="2"/>
  <c r="CY110" i="2"/>
  <c r="CY83" i="2"/>
  <c r="CY165" i="2"/>
  <c r="CY11" i="2"/>
  <c r="CY148" i="2"/>
  <c r="CY131" i="2"/>
  <c r="CY90" i="2"/>
  <c r="CY190" i="2"/>
  <c r="CY115" i="2"/>
  <c r="CY202" i="2"/>
  <c r="CY176" i="2"/>
  <c r="CY161" i="2"/>
  <c r="CY77" i="2"/>
  <c r="CY10" i="2"/>
  <c r="CY76" i="2"/>
  <c r="CD70" i="2"/>
  <c r="CD103" i="2"/>
  <c r="CD60" i="2"/>
  <c r="CD79" i="2"/>
  <c r="CD189" i="2"/>
  <c r="CD93" i="2"/>
  <c r="CD28" i="2"/>
  <c r="CD89" i="2"/>
  <c r="CD157" i="2"/>
  <c r="CD159" i="2"/>
  <c r="CD114" i="2"/>
  <c r="CD131" i="2"/>
  <c r="CD165" i="2"/>
  <c r="CD154" i="2"/>
  <c r="CD19" i="2"/>
  <c r="CD35" i="2"/>
  <c r="CD57" i="2"/>
  <c r="CD54" i="2"/>
  <c r="CD173" i="2"/>
  <c r="CD72" i="2"/>
  <c r="CD56" i="2"/>
  <c r="CD65" i="2"/>
  <c r="CD196" i="2"/>
  <c r="CD193" i="2"/>
  <c r="CD119" i="2"/>
  <c r="CD80" i="2"/>
  <c r="CD170" i="2"/>
  <c r="CD59" i="2"/>
  <c r="CD147" i="2"/>
  <c r="CD194" i="2"/>
  <c r="CD75" i="2"/>
  <c r="CD141" i="2"/>
  <c r="CD192" i="2"/>
  <c r="CD77" i="2"/>
  <c r="CD23" i="2"/>
  <c r="CD36" i="2"/>
  <c r="CD21" i="2"/>
  <c r="CD39" i="2"/>
  <c r="CD160" i="2"/>
  <c r="CD118" i="2"/>
  <c r="CD148" i="2"/>
  <c r="CD100" i="2"/>
  <c r="CD203" i="2"/>
  <c r="CD94" i="2"/>
  <c r="CD61" i="2"/>
  <c r="CD46" i="2"/>
  <c r="CD152" i="2"/>
  <c r="CD27" i="2"/>
  <c r="CD171" i="2"/>
  <c r="CD42" i="2"/>
  <c r="CD58" i="2"/>
  <c r="CD31" i="2"/>
  <c r="CD85" i="2"/>
  <c r="CD101" i="2"/>
  <c r="CD198" i="2"/>
  <c r="CD40" i="2"/>
  <c r="CD47" i="2"/>
  <c r="CD112" i="2"/>
  <c r="CD113" i="2"/>
  <c r="CD88" i="2"/>
  <c r="CD110" i="2"/>
  <c r="CD175" i="2"/>
  <c r="CD84" i="2"/>
  <c r="CD182" i="2"/>
  <c r="CD195" i="2"/>
  <c r="CD127" i="2"/>
  <c r="CD18" i="2"/>
  <c r="CD111" i="2"/>
  <c r="CD48" i="2"/>
  <c r="CD10" i="2"/>
  <c r="CD186" i="2"/>
  <c r="CD63" i="2"/>
  <c r="CD158" i="2"/>
  <c r="CD50" i="2"/>
  <c r="CD197" i="2"/>
  <c r="CD150" i="2"/>
  <c r="CD9" i="2"/>
  <c r="CD135" i="2"/>
  <c r="CD115" i="2"/>
  <c r="CD120" i="2"/>
  <c r="CD109" i="2"/>
  <c r="CD81" i="2"/>
  <c r="CD181" i="2"/>
  <c r="CD38" i="2"/>
  <c r="CD117" i="2"/>
  <c r="CD67" i="2"/>
  <c r="CD102" i="2"/>
  <c r="CD140" i="2"/>
  <c r="CD62" i="2"/>
  <c r="CD92" i="2"/>
  <c r="CD76" i="2"/>
  <c r="CD29" i="2"/>
  <c r="CD24" i="2"/>
  <c r="CD130" i="2"/>
  <c r="CD164" i="2"/>
  <c r="CD123" i="2"/>
  <c r="CD64" i="2"/>
  <c r="CD99" i="2"/>
  <c r="CD108" i="2"/>
  <c r="CD45" i="2"/>
  <c r="CD144" i="2"/>
  <c r="CD169" i="2"/>
  <c r="CD161" i="2"/>
  <c r="CD176" i="2"/>
  <c r="CD52" i="2"/>
  <c r="CD177" i="2"/>
  <c r="CD166" i="2"/>
  <c r="CD5" i="2"/>
  <c r="CD95" i="2"/>
  <c r="CD146" i="2"/>
  <c r="CD134" i="2"/>
  <c r="CD69" i="2"/>
  <c r="CD44" i="2"/>
  <c r="CD68" i="2"/>
  <c r="CD97" i="2"/>
  <c r="CD90" i="2"/>
  <c r="CD82" i="2"/>
  <c r="CD133" i="2"/>
  <c r="CD199" i="2"/>
  <c r="CD202" i="2"/>
  <c r="CD107" i="2"/>
  <c r="CD51" i="2"/>
  <c r="CD53" i="2"/>
  <c r="CD83" i="2"/>
  <c r="CD33" i="2"/>
  <c r="CD145" i="2"/>
  <c r="CD74" i="2"/>
  <c r="CD87" i="2"/>
  <c r="CD172" i="2"/>
  <c r="CD129" i="2"/>
  <c r="CD30" i="2"/>
  <c r="CD98" i="2"/>
  <c r="CD163" i="2"/>
  <c r="CD168" i="2"/>
  <c r="CD139" i="2"/>
  <c r="CD187" i="2"/>
  <c r="CD25" i="2"/>
  <c r="CD8" i="2"/>
  <c r="CD104" i="2"/>
  <c r="CD153" i="2"/>
  <c r="CD200" i="2"/>
  <c r="CD138" i="2"/>
  <c r="CD124" i="2"/>
  <c r="CD49" i="2"/>
  <c r="CD126" i="2"/>
  <c r="CD201" i="2"/>
  <c r="CD105" i="2"/>
  <c r="CD191" i="2"/>
  <c r="CD156" i="2"/>
  <c r="CD178" i="2"/>
  <c r="CD73" i="2"/>
  <c r="CD15" i="2"/>
  <c r="CD37" i="2"/>
  <c r="CD125" i="2"/>
  <c r="CD71" i="2"/>
  <c r="CD132" i="2"/>
  <c r="CD162" i="2"/>
  <c r="CD155" i="2"/>
  <c r="CD149" i="2"/>
  <c r="CD3" i="2"/>
  <c r="C9" i="4" s="1"/>
  <c r="E9" i="4" s="1"/>
  <c r="F9" i="4" s="1"/>
  <c r="G9" i="4" s="1"/>
  <c r="L9" i="4" s="1"/>
  <c r="CD32" i="2"/>
  <c r="CD7" i="2"/>
  <c r="CD184" i="2"/>
  <c r="CD86" i="2"/>
  <c r="CD136" i="2"/>
  <c r="CD16" i="2"/>
  <c r="CD151" i="2"/>
  <c r="CD91" i="2"/>
  <c r="CD78" i="2"/>
  <c r="CD180" i="2"/>
  <c r="CD43" i="2"/>
  <c r="CD34" i="2"/>
  <c r="CD122" i="2"/>
  <c r="CD11" i="2"/>
  <c r="CD22" i="2"/>
  <c r="CD190" i="2"/>
  <c r="CD41" i="2"/>
  <c r="CD137" i="2"/>
  <c r="CD12" i="2"/>
  <c r="CD13" i="2"/>
  <c r="CD6" i="2"/>
  <c r="CD174" i="2"/>
  <c r="CD183" i="2"/>
  <c r="CD14" i="2"/>
  <c r="CD167" i="2"/>
  <c r="CD185" i="2"/>
  <c r="CD20" i="2"/>
  <c r="CD143" i="2"/>
  <c r="CD106" i="2"/>
  <c r="CD26" i="2"/>
  <c r="CD17" i="2"/>
  <c r="CD142" i="2"/>
  <c r="CD55" i="2"/>
  <c r="CD128" i="2"/>
  <c r="CD4" i="2"/>
  <c r="CD116" i="2"/>
  <c r="CD96" i="2"/>
  <c r="CD188" i="2"/>
  <c r="CD121" i="2"/>
  <c r="CD66" i="2"/>
  <c r="CD179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<sst xmlns="http://schemas.openxmlformats.org/spreadsheetml/2006/main" count="1178" uniqueCount="324">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</sst>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2.4688431597957181</c:v>
                </c:pt>
                <c:pt idx="2">
                  <c:v>3.0435644230051562</c:v>
                </c:pt>
                <c:pt idx="3">
                  <c:v>3.7525886591213085</c:v>
                </c:pt>
                <c:pt idx="4">
                  <c:v>4.6274135656482942</c:v>
                </c:pt>
                <c:pt idx="5">
                  <c:v>5.7069487897236959</c:v>
                </c:pt>
                <c:pt idx="6">
                  <c:v>7.0392655332986545</c:v>
                </c:pt>
                <c:pt idx="7">
                  <c:v>8.6837603439597579</c:v>
                </c:pt>
                <c:pt idx="8">
                  <c:v>10.71383140025142</c:v>
                </c:pt>
                <c:pt idx="9">
                  <c:v>13.22018899042331</c:v>
                </c:pt>
                <c:pt idx="10">
                  <c:v>16.314950850770057</c:v>
                </c:pt>
                <c:pt idx="11">
                  <c:v>20.136708906597026</c:v>
                </c:pt>
                <c:pt idx="12">
                  <c:v>24.85679839668126</c:v>
                </c:pt>
                <c:pt idx="13">
                  <c:v>30.687055407587891</c:v>
                </c:pt>
                <c:pt idx="14">
                  <c:v>37.889417034172318</c:v>
                </c:pt>
                <c:pt idx="15">
                  <c:v>46.787802861560664</c:v>
                </c:pt>
                <c:pt idx="16">
                  <c:v>54.115686828283167</c:v>
                </c:pt>
                <c:pt idx="17">
                  <c:v>64.886335105785463</c:v>
                </c:pt>
                <c:pt idx="18">
                  <c:v>75.610654132182262</c:v>
                </c:pt>
                <c:pt idx="19">
                  <c:v>86.296165706525173</c:v>
                </c:pt>
                <c:pt idx="20">
                  <c:v>96.948365355203194</c:v>
                </c:pt>
                <c:pt idx="21">
                  <c:v>80.785532259113836</c:v>
                </c:pt>
                <c:pt idx="22">
                  <c:v>92.141527621369292</c:v>
                </c:pt>
                <c:pt idx="23">
                  <c:v>103.46250949744721</c:v>
                </c:pt>
                <c:pt idx="24">
                  <c:v>114.75285640439307</c:v>
                </c:pt>
                <c:pt idx="25">
                  <c:v>126.01601193064437</c:v>
                </c:pt>
                <c:pt idx="26">
                  <c:v>109.51040959893378</c:v>
                </c:pt>
                <c:pt idx="27">
                  <c:v>122.03700952625233</c:v>
                </c:pt>
                <c:pt idx="28">
                  <c:v>134.53232120499612</c:v>
                </c:pt>
                <c:pt idx="29">
                  <c:v>146.99966348541213</c:v>
                </c:pt>
                <c:pt idx="30">
                  <c:v>159.44174502668625</c:v>
                </c:pt>
                <c:pt idx="31">
                  <c:v>171.8608164412426</c:v>
                </c:pt>
                <c:pt idx="32">
                  <c:v>145.58423834748422</c:v>
                </c:pt>
                <c:pt idx="33">
                  <c:v>158.31162856255909</c:v>
                </c:pt>
                <c:pt idx="34">
                  <c:v>171.01475203701034</c:v>
                </c:pt>
                <c:pt idx="35">
                  <c:v>183.69566658273001</c:v>
                </c:pt>
                <c:pt idx="36">
                  <c:v>196.35612231530556</c:v>
                </c:pt>
                <c:pt idx="37">
                  <c:v>208.99762497430493</c:v>
                </c:pt>
                <c:pt idx="38">
                  <c:v>182.0060955160782</c:v>
                </c:pt>
                <c:pt idx="39">
                  <c:v>193.82559249840713</c:v>
                </c:pt>
                <c:pt idx="40">
                  <c:v>205.62833372118303</c:v>
                </c:pt>
                <c:pt idx="41">
                  <c:v>217.4154170892738</c:v>
                </c:pt>
                <c:pt idx="42">
                  <c:v>229.18781162828358</c:v>
                </c:pt>
                <c:pt idx="43">
                  <c:v>240.94637860003544</c:v>
                </c:pt>
                <c:pt idx="44">
                  <c:v>252.69188827494614</c:v>
                </c:pt>
                <c:pt idx="45">
                  <c:v>216.9947081825957</c:v>
                </c:pt>
                <c:pt idx="46">
                  <c:v>228.34739451711189</c:v>
                </c:pt>
                <c:pt idx="47">
                  <c:v>239.68716959740854</c:v>
                </c:pt>
                <c:pt idx="48">
                  <c:v>251.01473072466717</c:v>
                </c:pt>
                <c:pt idx="49">
                  <c:v>262.33070707949565</c:v>
                </c:pt>
                <c:pt idx="50">
                  <c:v>273.63566909164439</c:v>
                </c:pt>
                <c:pt idx="51">
                  <c:v>284.93013617891194</c:v>
                </c:pt>
                <c:pt idx="52">
                  <c:v>296.21458319381429</c:v>
                </c:pt>
                <c:pt idx="53">
                  <c:v>254.36879359828689</c:v>
                </c:pt>
                <c:pt idx="54">
                  <c:v>264.42503341914329</c:v>
                </c:pt>
                <c:pt idx="55">
                  <c:v>274.47265011228387</c:v>
                </c:pt>
                <c:pt idx="56">
                  <c:v>284.51200407011481</c:v>
                </c:pt>
                <c:pt idx="57">
                  <c:v>294.54342815595749</c:v>
                </c:pt>
                <c:pt idx="58">
                  <c:v>304.56723069319668</c:v>
                </c:pt>
                <c:pt idx="59">
                  <c:v>314.58369804007606</c:v>
                </c:pt>
                <c:pt idx="60">
                  <c:v>324.59309681921633</c:v>
                </c:pt>
                <c:pt idx="61">
                  <c:v>283.76862409988144</c:v>
                </c:pt>
                <c:pt idx="62">
                  <c:v>293.05777936385641</c:v>
                </c:pt>
                <c:pt idx="63">
                  <c:v>302.34036268238674</c:v>
                </c:pt>
                <c:pt idx="64">
                  <c:v>311.61660443152624</c:v>
                </c:pt>
                <c:pt idx="65">
                  <c:v>320.88672014182765</c:v>
                </c:pt>
                <c:pt idx="66">
                  <c:v>330.15091186556998</c:v>
                </c:pt>
                <c:pt idx="67">
                  <c:v>339.40936938241902</c:v>
                </c:pt>
                <c:pt idx="68">
                  <c:v>348.66227126658879</c:v>
                </c:pt>
                <c:pt idx="69">
                  <c:v>357.90978583474572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180.72853624887799</c:v>
                </c:pt>
                <c:pt idx="37">
                  <c:v>194.04156088484288</c:v>
                </c:pt>
                <c:pt idx="38">
                  <c:v>207.33335324915291</c:v>
                </c:pt>
                <c:pt idx="39">
                  <c:v>220.60546688889869</c:v>
                </c:pt>
                <c:pt idx="40">
                  <c:v>233.85925299408595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247.58582789971763</c:v>
                </c:pt>
                <c:pt idx="47">
                  <c:v>261.29513286819559</c:v>
                </c:pt>
                <c:pt idx="48">
                  <c:v>274.98820185643041</c:v>
                </c:pt>
                <c:pt idx="49">
                  <c:v>288.66595739666019</c:v>
                </c:pt>
                <c:pt idx="50">
                  <c:v>302.32922742731336</c:v>
                </c:pt>
                <c:pt idx="51">
                  <c:v>281.82894001768091</c:v>
                </c:pt>
                <c:pt idx="52">
                  <c:v>295.49935465856674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315.97875891992413</c:v>
                </c:pt>
                <c:pt idx="57">
                  <c:v>329.61522902688932</c:v>
                </c:pt>
                <c:pt idx="58">
                  <c:v>343.23925428709532</c:v>
                </c:pt>
                <c:pt idx="59">
                  <c:v>356.85139829299095</c:v>
                </c:pt>
                <c:pt idx="60">
                  <c:v>370.4521781263183</c:v>
                </c:pt>
                <c:pt idx="61">
                  <c:v>349.07445398592768</c:v>
                </c:pt>
                <c:pt idx="62">
                  <c:v>361.71009867648309</c:v>
                </c:pt>
                <c:pt idx="63">
                  <c:v>374.33609548540238</c:v>
                </c:pt>
                <c:pt idx="64">
                  <c:v>386.95281571968462</c:v>
                </c:pt>
                <c:pt idx="65">
                  <c:v>399.56060449432607</c:v>
                </c:pt>
                <c:pt idx="66">
                  <c:v>378.21913477560588</c:v>
                </c:pt>
                <c:pt idx="67">
                  <c:v>390.83307125282516</c:v>
                </c:pt>
                <c:pt idx="68">
                  <c:v>403.43817760734322</c:v>
                </c:pt>
                <c:pt idx="69">
                  <c:v>416.03476862238244</c:v>
                </c:pt>
                <c:pt idx="70">
                  <c:v>428.62313846306893</c:v>
                </c:pt>
                <c:pt idx="71">
                  <c:v>406.34582799666447</c:v>
                </c:pt>
                <c:pt idx="72">
                  <c:v>417.97196890830054</c:v>
                </c:pt>
                <c:pt idx="73">
                  <c:v>429.59114209853783</c:v>
                </c:pt>
                <c:pt idx="74">
                  <c:v>441.20356260557941</c:v>
                </c:pt>
                <c:pt idx="75">
                  <c:v>452.80943322358263</c:v>
                </c:pt>
                <c:pt idx="76">
                  <c:v>430.07512632625293</c:v>
                </c:pt>
                <c:pt idx="77">
                  <c:v>441.20356260557941</c:v>
                </c:pt>
                <c:pt idx="78">
                  <c:v>452.32598351877147</c:v>
                </c:pt>
                <c:pt idx="79">
                  <c:v>463.44255784559692</c:v>
                </c:pt>
                <c:pt idx="80">
                  <c:v>474.55344560756993</c:v>
                </c:pt>
                <c:pt idx="81">
                  <c:v>451.35905094331764</c:v>
                </c:pt>
                <c:pt idx="82">
                  <c:v>461.9928957153723</c:v>
                </c:pt>
                <c:pt idx="83">
                  <c:v>472.62151904574654</c:v>
                </c:pt>
                <c:pt idx="84">
                  <c:v>483.24505492401073</c:v>
                </c:pt>
                <c:pt idx="85">
                  <c:v>493.86363096746345</c:v>
                </c:pt>
                <c:pt idx="86">
                  <c:v>470.20637427155225</c:v>
                </c:pt>
                <c:pt idx="87">
                  <c:v>480.34822409968405</c:v>
                </c:pt>
                <c:pt idx="88">
                  <c:v>490.48552362014675</c:v>
                </c:pt>
                <c:pt idx="89">
                  <c:v>500.61838014822547</c:v>
                </c:pt>
                <c:pt idx="90">
                  <c:v>510.74689630015092</c:v>
                </c:pt>
                <c:pt idx="91">
                  <c:v>486.14151686903074</c:v>
                </c:pt>
                <c:pt idx="92">
                  <c:v>495.31124110642332</c:v>
                </c:pt>
                <c:pt idx="93">
                  <c:v>504.47736885760281</c:v>
                </c:pt>
                <c:pt idx="94">
                  <c:v>513.63997469556182</c:v>
                </c:pt>
                <c:pt idx="95">
                  <c:v>522.79913031527758</c:v>
                </c:pt>
                <c:pt idx="96">
                  <c:v>497.72372558122487</c:v>
                </c:pt>
                <c:pt idx="97">
                  <c:v>506.40662874127923</c:v>
                </c:pt>
                <c:pt idx="98">
                  <c:v>515.08638473795281</c:v>
                </c:pt>
                <c:pt idx="99">
                  <c:v>523.76305409401277</c:v>
                </c:pt>
                <c:pt idx="100">
                  <c:v>532.4366951630326</c:v>
                </c:pt>
                <c:pt idx="101">
                  <c:v>509.30022739028874</c:v>
                </c:pt>
                <c:pt idx="102">
                  <c:v>517.49687775489008</c:v>
                </c:pt>
                <c:pt idx="103">
                  <c:v>525.69078957741237</c:v>
                </c:pt>
                <c:pt idx="104">
                  <c:v>533.88201157311562</c:v>
                </c:pt>
                <c:pt idx="105">
                  <c:v>542.07059084014872</c:v>
                </c:pt>
                <c:pt idx="106">
                  <c:v>517.97894789153111</c:v>
                </c:pt>
                <c:pt idx="107">
                  <c:v>525.20886969132039</c:v>
                </c:pt>
                <c:pt idx="108">
                  <c:v>532.43669516303271</c:v>
                </c:pt>
                <c:pt idx="109">
                  <c:v>539.66245678724044</c:v>
                </c:pt>
                <c:pt idx="110">
                  <c:v>546.88618610350943</c:v>
                </c:pt>
                <c:pt idx="111">
                  <c:v>522.31715438224694</c:v>
                </c:pt>
                <c:pt idx="112">
                  <c:v>529.06396873094172</c:v>
                </c:pt>
                <c:pt idx="113">
                  <c:v>535.808972148355</c:v>
                </c:pt>
                <c:pt idx="114">
                  <c:v>542.55219065518463</c:v>
                </c:pt>
                <c:pt idx="115">
                  <c:v>549.29364957233395</c:v>
                </c:pt>
                <c:pt idx="116">
                  <c:v>523.76305409401289</c:v>
                </c:pt>
                <c:pt idx="117">
                  <c:v>529.54581443344239</c:v>
                </c:pt>
                <c:pt idx="118">
                  <c:v>535.32724568755873</c:v>
                </c:pt>
                <c:pt idx="119">
                  <c:v>541.1073642419716</c:v>
                </c:pt>
                <c:pt idx="120">
                  <c:v>546.88618610350966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1.9746416049804285</c:v>
                </c:pt>
                <c:pt idx="2">
                  <c:v>2.2509696987730163</c:v>
                </c:pt>
                <c:pt idx="3">
                  <c:v>2.566106407367668</c:v>
                </c:pt>
                <c:pt idx="4">
                  <c:v>2.9255207530290543</c:v>
                </c:pt>
                <c:pt idx="5">
                  <c:v>3.3354549320675164</c:v>
                </c:pt>
                <c:pt idx="6">
                  <c:v>3.8030339464912619</c:v>
                </c:pt>
                <c:pt idx="7">
                  <c:v>4.3363908236525202</c:v>
                </c:pt>
                <c:pt idx="8">
                  <c:v>4.9448096458951891</c:v>
                </c:pt>
                <c:pt idx="9">
                  <c:v>5.6388889296865754</c:v>
                </c:pt>
                <c:pt idx="10">
                  <c:v>6.4307282566472246</c:v>
                </c:pt>
                <c:pt idx="11">
                  <c:v>7.3341414738014095</c:v>
                </c:pt>
                <c:pt idx="12">
                  <c:v>8.3649002547148612</c:v>
                </c:pt>
                <c:pt idx="13">
                  <c:v>9.5410123554957611</c:v>
                </c:pt>
                <c:pt idx="14">
                  <c:v>10.883039519666218</c:v>
                </c:pt>
                <c:pt idx="15">
                  <c:v>12.414460694823878</c:v>
                </c:pt>
                <c:pt idx="16">
                  <c:v>14.162087034570909</c:v>
                </c:pt>
                <c:pt idx="17">
                  <c:v>16.15653608599067</c:v>
                </c:pt>
                <c:pt idx="18">
                  <c:v>18.432773622701795</c:v>
                </c:pt>
                <c:pt idx="19">
                  <c:v>21.030732795318858</c:v>
                </c:pt>
                <c:pt idx="20">
                  <c:v>23.996021656852246</c:v>
                </c:pt>
                <c:pt idx="21">
                  <c:v>27.380731705185912</c:v>
                </c:pt>
                <c:pt idx="22">
                  <c:v>31.244361896879429</c:v>
                </c:pt>
                <c:pt idx="23">
                  <c:v>35.654874658866753</c:v>
                </c:pt>
                <c:pt idx="24">
                  <c:v>40.689902794596783</c:v>
                </c:pt>
                <c:pt idx="25">
                  <c:v>46.438128891600911</c:v>
                </c:pt>
                <c:pt idx="26">
                  <c:v>53.641954591289988</c:v>
                </c:pt>
                <c:pt idx="27">
                  <c:v>60.820276546495258</c:v>
                </c:pt>
                <c:pt idx="28">
                  <c:v>67.976539723086475</c:v>
                </c:pt>
                <c:pt idx="29">
                  <c:v>75.113400707379952</c:v>
                </c:pt>
                <c:pt idx="30">
                  <c:v>82.232967808738451</c:v>
                </c:pt>
                <c:pt idx="31">
                  <c:v>89.632636103290338</c:v>
                </c:pt>
                <c:pt idx="32">
                  <c:v>97.016990708955873</c:v>
                </c:pt>
                <c:pt idx="33">
                  <c:v>104.38736403026746</c:v>
                </c:pt>
                <c:pt idx="34">
                  <c:v>111.74488442302163</c:v>
                </c:pt>
                <c:pt idx="35">
                  <c:v>119.09051913372679</c:v>
                </c:pt>
                <c:pt idx="36">
                  <c:v>107.92051495671598</c:v>
                </c:pt>
                <c:pt idx="37">
                  <c:v>115.85984782918003</c:v>
                </c:pt>
                <c:pt idx="38">
                  <c:v>123.78587930910233</c:v>
                </c:pt>
                <c:pt idx="39">
                  <c:v>131.6995826479569</c:v>
                </c:pt>
                <c:pt idx="40">
                  <c:v>139.60180432646686</c:v>
                </c:pt>
                <c:pt idx="41">
                  <c:v>127.30454982664817</c:v>
                </c:pt>
                <c:pt idx="42">
                  <c:v>135.50574130628803</c:v>
                </c:pt>
                <c:pt idx="43">
                  <c:v>143.69498143753455</c:v>
                </c:pt>
                <c:pt idx="44">
                  <c:v>151.87304842123052</c:v>
                </c:pt>
                <c:pt idx="45">
                  <c:v>160.04062964847927</c:v>
                </c:pt>
                <c:pt idx="46">
                  <c:v>147.78536667282091</c:v>
                </c:pt>
                <c:pt idx="47">
                  <c:v>155.95810991244028</c:v>
                </c:pt>
                <c:pt idx="48">
                  <c:v>164.12068178886196</c:v>
                </c:pt>
                <c:pt idx="49">
                  <c:v>172.27366024134895</c:v>
                </c:pt>
                <c:pt idx="50">
                  <c:v>180.4175639489298</c:v>
                </c:pt>
                <c:pt idx="51">
                  <c:v>168.19833649533192</c:v>
                </c:pt>
                <c:pt idx="52">
                  <c:v>176.34671609069377</c:v>
                </c:pt>
                <c:pt idx="53">
                  <c:v>184.48626079093347</c:v>
                </c:pt>
                <c:pt idx="54">
                  <c:v>192.6174158917361</c:v>
                </c:pt>
                <c:pt idx="55">
                  <c:v>200.74058596732002</c:v>
                </c:pt>
                <c:pt idx="56">
                  <c:v>188.55286086725974</c:v>
                </c:pt>
                <c:pt idx="57">
                  <c:v>196.67997521236182</c:v>
                </c:pt>
                <c:pt idx="58">
                  <c:v>204.79929322768081</c:v>
                </c:pt>
                <c:pt idx="59">
                  <c:v>212.91116798727833</c:v>
                </c:pt>
                <c:pt idx="60">
                  <c:v>221.01592342762945</c:v>
                </c:pt>
                <c:pt idx="61">
                  <c:v>208.27670288557758</c:v>
                </c:pt>
                <c:pt idx="62">
                  <c:v>215.80652476655166</c:v>
                </c:pt>
                <c:pt idx="63">
                  <c:v>223.3303025339743</c:v>
                </c:pt>
                <c:pt idx="64">
                  <c:v>230.84826880073911</c:v>
                </c:pt>
                <c:pt idx="65">
                  <c:v>238.36063977122171</c:v>
                </c:pt>
                <c:pt idx="66">
                  <c:v>225.64413155603947</c:v>
                </c:pt>
                <c:pt idx="67">
                  <c:v>233.16035388103322</c:v>
                </c:pt>
                <c:pt idx="68">
                  <c:v>240.67104439435124</c:v>
                </c:pt>
                <c:pt idx="69">
                  <c:v>248.17640029840672</c:v>
                </c:pt>
                <c:pt idx="70">
                  <c:v>255.67660587898308</c:v>
                </c:pt>
                <c:pt idx="71">
                  <c:v>242.40351617973022</c:v>
                </c:pt>
                <c:pt idx="72">
                  <c:v>249.33060885818895</c:v>
                </c:pt>
                <c:pt idx="73">
                  <c:v>256.25333646450889</c:v>
                </c:pt>
                <c:pt idx="74">
                  <c:v>263.17183371378752</c:v>
                </c:pt>
                <c:pt idx="75">
                  <c:v>270.08622765058885</c:v>
                </c:pt>
                <c:pt idx="76">
                  <c:v>256.54169073764297</c:v>
                </c:pt>
                <c:pt idx="77">
                  <c:v>263.17183371378752</c:v>
                </c:pt>
                <c:pt idx="78">
                  <c:v>269.79820824030321</c:v>
                </c:pt>
                <c:pt idx="79">
                  <c:v>276.42092005274134</c:v>
                </c:pt>
                <c:pt idx="80">
                  <c:v>283.04006939986493</c:v>
                </c:pt>
                <c:pt idx="81">
                  <c:v>269.22214864231609</c:v>
                </c:pt>
                <c:pt idx="82">
                  <c:v>275.55729219724816</c:v>
                </c:pt>
                <c:pt idx="83">
                  <c:v>281.88916467282746</c:v>
                </c:pt>
                <c:pt idx="84">
                  <c:v>288.21785000957146</c:v>
                </c:pt>
                <c:pt idx="85">
                  <c:v>294.54342815595732</c:v>
                </c:pt>
                <c:pt idx="86">
                  <c:v>280.45038555869695</c:v>
                </c:pt>
                <c:pt idx="87">
                  <c:v>286.49215636284219</c:v>
                </c:pt>
                <c:pt idx="88">
                  <c:v>292.53107653331614</c:v>
                </c:pt>
                <c:pt idx="89">
                  <c:v>298.56721329998305</c:v>
                </c:pt>
                <c:pt idx="90">
                  <c:v>304.60063094888767</c:v>
                </c:pt>
                <c:pt idx="91">
                  <c:v>289.94331256428501</c:v>
                </c:pt>
                <c:pt idx="92">
                  <c:v>295.40577049938889</c:v>
                </c:pt>
                <c:pt idx="93">
                  <c:v>300.86597534185779</c:v>
                </c:pt>
                <c:pt idx="94">
                  <c:v>306.3239738094739</c:v>
                </c:pt>
                <c:pt idx="95">
                  <c:v>311.77981081702814</c:v>
                </c:pt>
                <c:pt idx="96">
                  <c:v>296.84288301434083</c:v>
                </c:pt>
                <c:pt idx="97">
                  <c:v>302.01520947361507</c:v>
                </c:pt>
                <c:pt idx="98">
                  <c:v>307.18556432776842</c:v>
                </c:pt>
                <c:pt idx="99">
                  <c:v>312.35398549253119</c:v>
                </c:pt>
                <c:pt idx="100">
                  <c:v>317.52050952469767</c:v>
                </c:pt>
                <c:pt idx="101">
                  <c:v>303.73887825775068</c:v>
                </c:pt>
                <c:pt idx="102">
                  <c:v>308.62142925305045</c:v>
                </c:pt>
                <c:pt idx="103">
                  <c:v>313.50226463243433</c:v>
                </c:pt>
                <c:pt idx="104">
                  <c:v>318.38141491457719</c:v>
                </c:pt>
                <c:pt idx="105">
                  <c:v>323.25890960508121</c:v>
                </c:pt>
                <c:pt idx="106">
                  <c:v>308.90858440452911</c:v>
                </c:pt>
                <c:pt idx="107">
                  <c:v>313.21520360849729</c:v>
                </c:pt>
                <c:pt idx="108">
                  <c:v>317.52050952469773</c:v>
                </c:pt>
                <c:pt idx="109">
                  <c:v>321.82452250125181</c:v>
                </c:pt>
                <c:pt idx="110">
                  <c:v>326.12726229676804</c:v>
                </c:pt>
                <c:pt idx="111">
                  <c:v>311.49271468133554</c:v>
                </c:pt>
                <c:pt idx="112">
                  <c:v>315.51152888688654</c:v>
                </c:pt>
                <c:pt idx="113">
                  <c:v>319.52920859735212</c:v>
                </c:pt>
                <c:pt idx="114">
                  <c:v>323.54577011393309</c:v>
                </c:pt>
                <c:pt idx="115">
                  <c:v>327.56122929942904</c:v>
                </c:pt>
                <c:pt idx="116">
                  <c:v>312.35398549253131</c:v>
                </c:pt>
                <c:pt idx="117">
                  <c:v>315.79854343698958</c:v>
                </c:pt>
                <c:pt idx="118">
                  <c:v>319.24226874866315</c:v>
                </c:pt>
                <c:pt idx="119">
                  <c:v>322.68517169265391</c:v>
                </c:pt>
                <c:pt idx="120">
                  <c:v>326.12726229676815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269.42310281421265</c:v>
                </c:pt>
                <c:pt idx="57">
                  <c:v>281.04599322042526</c:v>
                </c:pt>
                <c:pt idx="58">
                  <c:v>292.65811116959617</c:v>
                </c:pt>
                <c:pt idx="59">
                  <c:v>304.25994451630169</c:v>
                </c:pt>
                <c:pt idx="60">
                  <c:v>315.85194085471181</c:v>
                </c:pt>
                <c:pt idx="61">
                  <c:v>297.63155783517902</c:v>
                </c:pt>
                <c:pt idx="62">
                  <c:v>308.40105034381315</c:v>
                </c:pt>
                <c:pt idx="63">
                  <c:v>319.16219149284615</c:v>
                </c:pt>
                <c:pt idx="64">
                  <c:v>329.91530269151434</c:v>
                </c:pt>
                <c:pt idx="65">
                  <c:v>340.66068267684102</c:v>
                </c:pt>
                <c:pt idx="66">
                  <c:v>322.4716820606094</c:v>
                </c:pt>
                <c:pt idx="67">
                  <c:v>333.22238359494384</c:v>
                </c:pt>
                <c:pt idx="68">
                  <c:v>343.96544163480115</c:v>
                </c:pt>
                <c:pt idx="69">
                  <c:v>354.70112866153909</c:v>
                </c:pt>
                <c:pt idx="70">
                  <c:v>365.42969930916348</c:v>
                </c:pt>
                <c:pt idx="71">
                  <c:v>346.44355255688674</c:v>
                </c:pt>
                <c:pt idx="72">
                  <c:v>356.35213503949808</c:v>
                </c:pt>
                <c:pt idx="73">
                  <c:v>366.25468615178403</c:v>
                </c:pt>
                <c:pt idx="74">
                  <c:v>376.15139203422905</c:v>
                </c:pt>
                <c:pt idx="75">
                  <c:v>386.04242822867735</c:v>
                </c:pt>
                <c:pt idx="76">
                  <c:v>366.66716434689414</c:v>
                </c:pt>
                <c:pt idx="77">
                  <c:v>376.15139203422905</c:v>
                </c:pt>
                <c:pt idx="78">
                  <c:v>385.63041272508372</c:v>
                </c:pt>
                <c:pt idx="79">
                  <c:v>395.10437251790626</c:v>
                </c:pt>
                <c:pt idx="80">
                  <c:v>404.57340992986093</c:v>
                </c:pt>
                <c:pt idx="81">
                  <c:v>384.80635300902605</c:v>
                </c:pt>
                <c:pt idx="82">
                  <c:v>393.86892067156964</c:v>
                </c:pt>
                <c:pt idx="83">
                  <c:v>402.92696857125173</c:v>
                </c:pt>
                <c:pt idx="84">
                  <c:v>411.98061269157296</c:v>
                </c:pt>
                <c:pt idx="85">
                  <c:v>421.02996350009425</c:v>
                </c:pt>
                <c:pt idx="86">
                  <c:v>400.86871209258248</c:v>
                </c:pt>
                <c:pt idx="87">
                  <c:v>409.51186735681603</c:v>
                </c:pt>
                <c:pt idx="88">
                  <c:v>418.15108380244902</c:v>
                </c:pt>
                <c:pt idx="89">
                  <c:v>426.78645432329745</c:v>
                </c:pt>
                <c:pt idx="90">
                  <c:v>435.41806774560064</c:v>
                </c:pt>
                <c:pt idx="91">
                  <c:v>414.4490387185424</c:v>
                </c:pt>
                <c:pt idx="92">
                  <c:v>422.26363911019592</c:v>
                </c:pt>
                <c:pt idx="93">
                  <c:v>430.07512632625293</c:v>
                </c:pt>
                <c:pt idx="94">
                  <c:v>437.88356491828068</c:v>
                </c:pt>
                <c:pt idx="95">
                  <c:v>445.68901694659007</c:v>
                </c:pt>
                <c:pt idx="96">
                  <c:v>424.31959279145184</c:v>
                </c:pt>
                <c:pt idx="97">
                  <c:v>431.71925936589793</c:v>
                </c:pt>
                <c:pt idx="98">
                  <c:v>439.11620170572888</c:v>
                </c:pt>
                <c:pt idx="99">
                  <c:v>446.51047220041323</c:v>
                </c:pt>
                <c:pt idx="100">
                  <c:v>453.90212136173113</c:v>
                </c:pt>
                <c:pt idx="101">
                  <c:v>434.18520687835735</c:v>
                </c:pt>
                <c:pt idx="102">
                  <c:v>441.17043154942297</c:v>
                </c:pt>
                <c:pt idx="103">
                  <c:v>448.15328569496324</c:v>
                </c:pt>
                <c:pt idx="104">
                  <c:v>455.13381148368109</c:v>
                </c:pt>
                <c:pt idx="105">
                  <c:v>462.11204968448214</c:v>
                </c:pt>
                <c:pt idx="106">
                  <c:v>441.58125287689387</c:v>
                </c:pt>
                <c:pt idx="107">
                  <c:v>447.74259442675447</c:v>
                </c:pt>
                <c:pt idx="108">
                  <c:v>453.90212136173113</c:v>
                </c:pt>
                <c:pt idx="109">
                  <c:v>460.05986179752381</c:v>
                </c:pt>
                <c:pt idx="110">
                  <c:v>466.21584303528101</c:v>
                </c:pt>
                <c:pt idx="111">
                  <c:v>445.27827716326078</c:v>
                </c:pt>
                <c:pt idx="112">
                  <c:v>451.02789946978152</c:v>
                </c:pt>
                <c:pt idx="113">
                  <c:v>456.77595420541826</c:v>
                </c:pt>
                <c:pt idx="114">
                  <c:v>462.52246389410061</c:v>
                </c:pt>
                <c:pt idx="115">
                  <c:v>468.26745045400418</c:v>
                </c:pt>
                <c:pt idx="116">
                  <c:v>446.51047220041346</c:v>
                </c:pt>
                <c:pt idx="117">
                  <c:v>451.43852652349545</c:v>
                </c:pt>
                <c:pt idx="118">
                  <c:v>456.3654303692179</c:v>
                </c:pt>
                <c:pt idx="119">
                  <c:v>461.29119792122486</c:v>
                </c:pt>
                <c:pt idx="120">
                  <c:v>466.2158430352813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299.06843040054582</c:v>
                </c:pt>
                <c:pt idx="57">
                  <c:v>311.97343047900409</c:v>
                </c:pt>
                <c:pt idx="58">
                  <c:v>324.86659020772589</c:v>
                </c:pt>
                <c:pt idx="59">
                  <c:v>337.74844580317341</c:v>
                </c:pt>
                <c:pt idx="60">
                  <c:v>350.61948923031764</c:v>
                </c:pt>
                <c:pt idx="61">
                  <c:v>330.38874000448038</c:v>
                </c:pt>
                <c:pt idx="62">
                  <c:v>342.34646391464599</c:v>
                </c:pt>
                <c:pt idx="63">
                  <c:v>354.2950085801815</c:v>
                </c:pt>
                <c:pt idx="64">
                  <c:v>366.23472727218876</c:v>
                </c:pt>
                <c:pt idx="65">
                  <c:v>378.1659483420197</c:v>
                </c:pt>
                <c:pt idx="66">
                  <c:v>357.96969251255558</c:v>
                </c:pt>
                <c:pt idx="67">
                  <c:v>369.90676266594755</c:v>
                </c:pt>
                <c:pt idx="68">
                  <c:v>381.83543161175339</c:v>
                </c:pt>
                <c:pt idx="69">
                  <c:v>393.75599884288954</c:v>
                </c:pt>
                <c:pt idx="70">
                  <c:v>405.66874423568044</c:v>
                </c:pt>
                <c:pt idx="71">
                  <c:v>384.58704033593887</c:v>
                </c:pt>
                <c:pt idx="72">
                  <c:v>395.58923125880557</c:v>
                </c:pt>
                <c:pt idx="73">
                  <c:v>406.5847929109529</c:v>
                </c:pt>
                <c:pt idx="74">
                  <c:v>417.5739298853004</c:v>
                </c:pt>
                <c:pt idx="75">
                  <c:v>428.55683512546528</c:v>
                </c:pt>
                <c:pt idx="76">
                  <c:v>407.04280051298883</c:v>
                </c:pt>
                <c:pt idx="77">
                  <c:v>417.5739298853004</c:v>
                </c:pt>
                <c:pt idx="78">
                  <c:v>428.0993360823731</c:v>
                </c:pt>
                <c:pt idx="79">
                  <c:v>438.61917968565234</c:v>
                </c:pt>
                <c:pt idx="80">
                  <c:v>449.13361294375363</c:v>
                </c:pt>
                <c:pt idx="81">
                  <c:v>427.18430644135742</c:v>
                </c:pt>
                <c:pt idx="82">
                  <c:v>437.24733617095688</c:v>
                </c:pt>
                <c:pt idx="83">
                  <c:v>447.30539808561895</c:v>
                </c:pt>
                <c:pt idx="84">
                  <c:v>457.35861966649327</c:v>
                </c:pt>
                <c:pt idx="85">
                  <c:v>467.40712233198559</c:v>
                </c:pt>
                <c:pt idx="86">
                  <c:v>445.01990443229937</c:v>
                </c:pt>
                <c:pt idx="87">
                  <c:v>454.61730495685151</c:v>
                </c:pt>
                <c:pt idx="88">
                  <c:v>464.21037620075771</c:v>
                </c:pt>
                <c:pt idx="89">
                  <c:v>473.79922026656226</c:v>
                </c:pt>
                <c:pt idx="90">
                  <c:v>483.38393478600642</c:v>
                </c:pt>
                <c:pt idx="91">
                  <c:v>460.09958341480274</c:v>
                </c:pt>
                <c:pt idx="92">
                  <c:v>468.77701352901067</c:v>
                </c:pt>
                <c:pt idx="93">
                  <c:v>477.45102185302625</c:v>
                </c:pt>
                <c:pt idx="94">
                  <c:v>486.12167933752715</c:v>
                </c:pt>
                <c:pt idx="95">
                  <c:v>494.7890541949734</c:v>
                </c:pt>
                <c:pt idx="96">
                  <c:v>471.0599761045417</c:v>
                </c:pt>
                <c:pt idx="97">
                  <c:v>479.27669956446039</c:v>
                </c:pt>
                <c:pt idx="98">
                  <c:v>487.49042873157424</c:v>
                </c:pt>
                <c:pt idx="99">
                  <c:v>495.70122118881278</c:v>
                </c:pt>
                <c:pt idx="100">
                  <c:v>503.90913245527821</c:v>
                </c:pt>
                <c:pt idx="101">
                  <c:v>482.01493909873852</c:v>
                </c:pt>
                <c:pt idx="102">
                  <c:v>489.77149658248118</c:v>
                </c:pt>
                <c:pt idx="103">
                  <c:v>497.52544854631611</c:v>
                </c:pt>
                <c:pt idx="104">
                  <c:v>505.27684133920411</c:v>
                </c:pt>
                <c:pt idx="105">
                  <c:v>513.02571977154423</c:v>
                </c:pt>
                <c:pt idx="106">
                  <c:v>490.2276830686622</c:v>
                </c:pt>
                <c:pt idx="107">
                  <c:v>497.06940501240143</c:v>
                </c:pt>
                <c:pt idx="108">
                  <c:v>503.90913245527821</c:v>
                </c:pt>
                <c:pt idx="109">
                  <c:v>510.74689630015109</c:v>
                </c:pt>
                <c:pt idx="110">
                  <c:v>517.58272655457995</c:v>
                </c:pt>
                <c:pt idx="111">
                  <c:v>494.33295733654887</c:v>
                </c:pt>
                <c:pt idx="112">
                  <c:v>500.71750586625194</c:v>
                </c:pt>
                <c:pt idx="113">
                  <c:v>507.10033142900039</c:v>
                </c:pt>
                <c:pt idx="114">
                  <c:v>513.48145878156095</c:v>
                </c:pt>
                <c:pt idx="115">
                  <c:v>519.86091201489637</c:v>
                </c:pt>
                <c:pt idx="116">
                  <c:v>495.70122118881301</c:v>
                </c:pt>
                <c:pt idx="117">
                  <c:v>501.17347881997517</c:v>
                </c:pt>
                <c:pt idx="118">
                  <c:v>506.64447192492509</c:v>
                </c:pt>
                <c:pt idx="119">
                  <c:v>512.11421609335628</c:v>
                </c:pt>
                <c:pt idx="120">
                  <c:v>517.58272655458006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2.3462430455817089</c:v>
                </c:pt>
                <c:pt idx="2">
                  <c:v>2.6966821395551013</c:v>
                </c:pt>
                <c:pt idx="3">
                  <c:v>3.0996523629928521</c:v>
                </c:pt>
                <c:pt idx="4">
                  <c:v>3.5630549648077534</c:v>
                </c:pt>
                <c:pt idx="5">
                  <c:v>4.0959834114158209</c:v>
                </c:pt>
                <c:pt idx="6">
                  <c:v>4.7089038129885372</c:v>
                </c:pt>
                <c:pt idx="7">
                  <c:v>5.4138627296046744</c:v>
                </c:pt>
                <c:pt idx="8">
                  <c:v>6.2247265227000206</c:v>
                </c:pt>
                <c:pt idx="9">
                  <c:v>7.1574570523702468</c:v>
                </c:pt>
                <c:pt idx="10">
                  <c:v>8.2304292532937833</c:v>
                </c:pt>
                <c:pt idx="11">
                  <c:v>9.4647969661664408</c:v>
                </c:pt>
                <c:pt idx="12">
                  <c:v>10.884914374714866</c:v>
                </c:pt>
                <c:pt idx="13">
                  <c:v>12.518821520347885</c:v>
                </c:pt>
                <c:pt idx="14">
                  <c:v>14.398803660111751</c:v>
                </c:pt>
                <c:pt idx="15">
                  <c:v>16.562035725134223</c:v>
                </c:pt>
                <c:pt idx="16">
                  <c:v>19.051324856506557</c:v>
                </c:pt>
                <c:pt idx="17">
                  <c:v>21.915965978551355</c:v>
                </c:pt>
                <c:pt idx="18">
                  <c:v>25.212727656019695</c:v>
                </c:pt>
                <c:pt idx="19">
                  <c:v>29.006988118513906</c:v>
                </c:pt>
                <c:pt idx="20">
                  <c:v>33.374044376054407</c:v>
                </c:pt>
                <c:pt idx="21">
                  <c:v>41.983914568751345</c:v>
                </c:pt>
                <c:pt idx="22">
                  <c:v>55.877298998482765</c:v>
                </c:pt>
                <c:pt idx="23">
                  <c:v>69.679442753482917</c:v>
                </c:pt>
                <c:pt idx="24">
                  <c:v>83.411117424756767</c:v>
                </c:pt>
                <c:pt idx="25">
                  <c:v>97.085614854318393</c:v>
                </c:pt>
                <c:pt idx="26">
                  <c:v>85.167228646793077</c:v>
                </c:pt>
                <c:pt idx="27">
                  <c:v>97.785512340525955</c:v>
                </c:pt>
                <c:pt idx="28">
                  <c:v>110.36328916215848</c:v>
                </c:pt>
                <c:pt idx="29">
                  <c:v>122.90583455224412</c:v>
                </c:pt>
                <c:pt idx="30">
                  <c:v>135.41725555203229</c:v>
                </c:pt>
                <c:pt idx="31">
                  <c:v>122.55786766146896</c:v>
                </c:pt>
                <c:pt idx="32">
                  <c:v>134.0285267152897</c:v>
                </c:pt>
                <c:pt idx="33">
                  <c:v>145.47552012532864</c:v>
                </c:pt>
                <c:pt idx="34">
                  <c:v>156.90097443053017</c:v>
                </c:pt>
                <c:pt idx="35">
                  <c:v>168.30668061428079</c:v>
                </c:pt>
                <c:pt idx="36">
                  <c:v>154.13304399541354</c:v>
                </c:pt>
                <c:pt idx="37">
                  <c:v>164.16133458057871</c:v>
                </c:pt>
                <c:pt idx="38">
                  <c:v>174.17514921550412</c:v>
                </c:pt>
                <c:pt idx="39">
                  <c:v>184.17543834871904</c:v>
                </c:pt>
                <c:pt idx="40">
                  <c:v>194.16304064471549</c:v>
                </c:pt>
                <c:pt idx="41">
                  <c:v>178.31479007290753</c:v>
                </c:pt>
                <c:pt idx="42">
                  <c:v>186.58737081021334</c:v>
                </c:pt>
                <c:pt idx="43">
                  <c:v>194.85139259598839</c:v>
                </c:pt>
                <c:pt idx="44">
                  <c:v>203.10727009150972</c:v>
                </c:pt>
                <c:pt idx="45">
                  <c:v>211.35538144796081</c:v>
                </c:pt>
                <c:pt idx="46">
                  <c:v>194.50722370174071</c:v>
                </c:pt>
                <c:pt idx="47">
                  <c:v>201.73183961851797</c:v>
                </c:pt>
                <c:pt idx="48">
                  <c:v>208.95046360475374</c:v>
                </c:pt>
                <c:pt idx="49">
                  <c:v>216.16333216582018</c:v>
                </c:pt>
                <c:pt idx="50">
                  <c:v>223.37066471153204</c:v>
                </c:pt>
                <c:pt idx="51">
                  <c:v>210.668326814994</c:v>
                </c:pt>
                <c:pt idx="52">
                  <c:v>216.84997998272073</c:v>
                </c:pt>
                <c:pt idx="53">
                  <c:v>223.02758086587031</c:v>
                </c:pt>
                <c:pt idx="54">
                  <c:v>229.20125772816391</c:v>
                </c:pt>
                <c:pt idx="55">
                  <c:v>235.37113134825609</c:v>
                </c:pt>
                <c:pt idx="56">
                  <c:v>225.08590304354718</c:v>
                </c:pt>
                <c:pt idx="57">
                  <c:v>230.22983095394466</c:v>
                </c:pt>
                <c:pt idx="58">
                  <c:v>235.37113134825609</c:v>
                </c:pt>
                <c:pt idx="59">
                  <c:v>240.5098698242733</c:v>
                </c:pt>
                <c:pt idx="60">
                  <c:v>245.64610894283177</c:v>
                </c:pt>
                <c:pt idx="61">
                  <c:v>238.11210663777581</c:v>
                </c:pt>
                <c:pt idx="62">
                  <c:v>242.56466198848636</c:v>
                </c:pt>
                <c:pt idx="63">
                  <c:v>247.01535827887776</c:v>
                </c:pt>
                <c:pt idx="64">
                  <c:v>251.46423379734176</c:v>
                </c:pt>
                <c:pt idx="65">
                  <c:v>255.91132536435097</c:v>
                </c:pt>
                <c:pt idx="66">
                  <c:v>249.06890942879195</c:v>
                </c:pt>
                <c:pt idx="67">
                  <c:v>252.49064272427077</c:v>
                </c:pt>
                <c:pt idx="68">
                  <c:v>255.91132536435097</c:v>
                </c:pt>
                <c:pt idx="69">
                  <c:v>259.33097340507067</c:v>
                </c:pt>
                <c:pt idx="70">
                  <c:v>262.74960244358505</c:v>
                </c:pt>
                <c:pt idx="71">
                  <c:v>257.62127772428204</c:v>
                </c:pt>
                <c:pt idx="72">
                  <c:v>261.04041434217817</c:v>
                </c:pt>
                <c:pt idx="73">
                  <c:v>264.45853959036111</c:v>
                </c:pt>
                <c:pt idx="74">
                  <c:v>267.87566841306392</c:v>
                </c:pt>
                <c:pt idx="75">
                  <c:v>271.2918153413612</c:v>
                </c:pt>
                <c:pt idx="76">
                  <c:v>267.19232165925723</c:v>
                </c:pt>
                <c:pt idx="77">
                  <c:v>269.92547348406606</c:v>
                </c:pt>
                <c:pt idx="78">
                  <c:v>272.65800236133873</c:v>
                </c:pt>
                <c:pt idx="79">
                  <c:v>275.38991542912578</c:v>
                </c:pt>
                <c:pt idx="80">
                  <c:v>278.12121967199596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7" zoomScale="90" zoomScaleNormal="90" workbookViewId="0">
      <selection activeCell="F276" sqref="F27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4.95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0.37369999999999998</v>
      </c>
      <c r="D9" s="36">
        <f t="shared" ref="D9:D18" si="0">C9*$C$5</f>
        <v>1.849815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0.28660000000000002</v>
      </c>
      <c r="D10" s="36">
        <f t="shared" si="0"/>
        <v>1.4186700000000001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0.1515</v>
      </c>
      <c r="D11" s="36">
        <f t="shared" si="0"/>
        <v>0.74992499999999995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7.3599999999999999E-2</v>
      </c>
      <c r="D12" s="36">
        <f t="shared" si="0"/>
        <v>0.36432000000000003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</v>
      </c>
      <c r="C13" s="35">
        <v>4.0099999999999997E-2</v>
      </c>
      <c r="D13" s="36">
        <f t="shared" si="0"/>
        <v>0.198495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50</v>
      </c>
      <c r="C14" s="35">
        <v>6.7000000000000002E-3</v>
      </c>
      <c r="D14" s="36">
        <f t="shared" si="0"/>
        <v>3.3165E-2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6.7000000000000002E-3</v>
      </c>
      <c r="D15" s="36">
        <f t="shared" si="0"/>
        <v>3.3165E-2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52</v>
      </c>
      <c r="C16" s="35">
        <v>6.7000000000000002E-3</v>
      </c>
      <c r="D16" s="36">
        <f t="shared" si="0"/>
        <v>3.3165E-2</v>
      </c>
      <c r="E16" s="37">
        <v>120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22</v>
      </c>
      <c r="C17" s="35">
        <v>4.02E-2</v>
      </c>
      <c r="D17" s="36">
        <f t="shared" si="0"/>
        <v>0.19899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29</v>
      </c>
      <c r="C18" s="35">
        <v>1.34E-2</v>
      </c>
      <c r="D18" s="36">
        <f t="shared" si="0"/>
        <v>6.633E-2</v>
      </c>
      <c r="E18" s="37">
        <v>69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0.99920000000000009</v>
      </c>
      <c r="D19" s="41">
        <f>SUM(D9:D18)</f>
        <v>4.9460400000000018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195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6.5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3">
        <v>280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3">
        <v>417</v>
      </c>
      <c r="C38" s="63">
        <v>3</v>
      </c>
      <c r="D38" s="63">
        <v>182</v>
      </c>
      <c r="E38" s="54"/>
      <c r="F38" s="54"/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43</v>
      </c>
      <c r="B39" s="63">
        <v>256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21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361</v>
      </c>
      <c r="C40" s="63">
        <v>5</v>
      </c>
      <c r="D40" s="63">
        <v>100</v>
      </c>
      <c r="E40" s="54"/>
      <c r="F40" s="54"/>
      <c r="G40" s="54"/>
      <c r="H40" s="54"/>
      <c r="I40" s="52">
        <f t="shared" si="1"/>
        <v>17.5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278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380</v>
      </c>
      <c r="C42" s="63">
        <v>7</v>
      </c>
      <c r="D42" s="63">
        <v>79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57</v>
      </c>
      <c r="B43" s="63">
        <v>316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v>416</v>
      </c>
      <c r="C44" s="63">
        <v>9</v>
      </c>
      <c r="D44" s="63">
        <v>79</v>
      </c>
      <c r="E44" s="54"/>
      <c r="F44" s="54"/>
      <c r="G44" s="54"/>
      <c r="H44" s="54"/>
      <c r="I44" s="52">
        <f t="shared" si="1"/>
        <v>16.666666666666668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64</v>
      </c>
      <c r="B45" s="63">
        <v>353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71</v>
      </c>
      <c r="B46" s="63">
        <v>466</v>
      </c>
      <c r="C46" s="63">
        <v>11</v>
      </c>
      <c r="D46" s="63">
        <v>91</v>
      </c>
      <c r="E46" s="54"/>
      <c r="F46" s="54"/>
      <c r="G46" s="54"/>
      <c r="H46" s="54"/>
      <c r="I46" s="52">
        <f t="shared" si="1"/>
        <v>16.142857142857142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72</v>
      </c>
      <c r="B47" s="63">
        <v>390</v>
      </c>
      <c r="C47" s="63">
        <v>12</v>
      </c>
      <c r="D47" s="63">
        <v>0</v>
      </c>
      <c r="E47" s="54"/>
      <c r="F47" s="54"/>
      <c r="G47" s="54"/>
      <c r="H47" s="54"/>
      <c r="I47" s="52">
        <f t="shared" si="1"/>
        <v>15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79</v>
      </c>
      <c r="B48" s="63">
        <v>496</v>
      </c>
      <c r="C48" s="63">
        <v>13</v>
      </c>
      <c r="D48" s="63">
        <v>88</v>
      </c>
      <c r="E48" s="54"/>
      <c r="F48" s="54"/>
      <c r="G48" s="54"/>
      <c r="H48" s="54"/>
      <c r="I48" s="52">
        <f t="shared" si="1"/>
        <v>15.142857142857142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v>423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15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87</v>
      </c>
      <c r="B50" s="53">
        <v>522</v>
      </c>
      <c r="C50" s="53">
        <v>15</v>
      </c>
      <c r="D50" s="53">
        <v>89</v>
      </c>
      <c r="E50" s="54"/>
      <c r="F50" s="54"/>
      <c r="G50" s="54"/>
      <c r="H50" s="54"/>
      <c r="I50" s="52">
        <f t="shared" si="1"/>
        <v>14.142857142857142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88</v>
      </c>
      <c r="B51" s="53">
        <v>447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94</v>
      </c>
      <c r="B52" s="53">
        <v>525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13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95</v>
      </c>
      <c r="B53" s="53">
        <v>538</v>
      </c>
      <c r="C53" s="53">
        <v>18</v>
      </c>
      <c r="D53" s="53">
        <v>269</v>
      </c>
      <c r="E53" s="54"/>
      <c r="F53" s="54"/>
      <c r="G53" s="54"/>
      <c r="H53" s="54"/>
      <c r="I53" s="52">
        <f t="shared" si="1"/>
        <v>13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96</v>
      </c>
      <c r="B54" s="53">
        <v>280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11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105</v>
      </c>
      <c r="B55" s="53">
        <v>357</v>
      </c>
      <c r="C55" s="53">
        <v>20</v>
      </c>
      <c r="D55" s="53">
        <v>357</v>
      </c>
      <c r="E55" s="54"/>
      <c r="F55" s="54"/>
      <c r="G55" s="54"/>
      <c r="H55" s="54"/>
      <c r="I55" s="52">
        <f t="shared" si="1"/>
        <v>8.5555555555555554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/>
      <c r="F89" s="54"/>
      <c r="G89" s="54">
        <v>1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/>
      <c r="F90" s="93">
        <v>0.5</v>
      </c>
      <c r="G90" s="93">
        <v>0.5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/>
      <c r="F91" s="93"/>
      <c r="G91" s="93"/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318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352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440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495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533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567</v>
      </c>
      <c r="C98" s="63">
        <v>11</v>
      </c>
      <c r="D98" s="63">
        <v>567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>
        <v>1</v>
      </c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>
        <v>1</v>
      </c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vert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30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54</v>
      </c>
      <c r="C141" s="53">
        <v>2</v>
      </c>
      <c r="D141" s="63">
        <v>0</v>
      </c>
      <c r="E141" s="54"/>
      <c r="F141" s="54"/>
      <c r="G141" s="54"/>
      <c r="H141" s="54"/>
      <c r="I141" s="60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79</v>
      </c>
      <c r="C142" s="53">
        <v>3</v>
      </c>
      <c r="D142" s="63">
        <v>13</v>
      </c>
      <c r="E142" s="54"/>
      <c r="F142" s="54"/>
      <c r="G142" s="54"/>
      <c r="H142" s="54"/>
      <c r="I142" s="60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93</v>
      </c>
      <c r="C143" s="53">
        <v>4</v>
      </c>
      <c r="D143" s="63">
        <v>14</v>
      </c>
      <c r="E143" s="54"/>
      <c r="F143" s="54"/>
      <c r="G143" s="54"/>
      <c r="H143" s="54"/>
      <c r="I143" s="60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107</v>
      </c>
      <c r="C144" s="53">
        <v>5</v>
      </c>
      <c r="D144" s="63">
        <v>14</v>
      </c>
      <c r="E144" s="54"/>
      <c r="F144" s="54"/>
      <c r="G144" s="54"/>
      <c r="H144" s="54"/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121</v>
      </c>
      <c r="C145" s="53">
        <v>6</v>
      </c>
      <c r="D145" s="63">
        <v>14</v>
      </c>
      <c r="E145" s="54"/>
      <c r="F145" s="54"/>
      <c r="G145" s="54"/>
      <c r="H145" s="54"/>
      <c r="I145" s="60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v>135</v>
      </c>
      <c r="C146" s="53">
        <v>7</v>
      </c>
      <c r="D146" s="63">
        <v>14</v>
      </c>
      <c r="E146" s="54"/>
      <c r="F146" s="54"/>
      <c r="G146" s="54"/>
      <c r="H146" s="54"/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149</v>
      </c>
      <c r="C147" s="53">
        <v>8</v>
      </c>
      <c r="D147" s="63">
        <v>14</v>
      </c>
      <c r="E147" s="54"/>
      <c r="F147" s="54"/>
      <c r="G147" s="54"/>
      <c r="H147" s="54"/>
      <c r="I147" s="60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63">
        <v>161</v>
      </c>
      <c r="C148" s="53">
        <v>9</v>
      </c>
      <c r="D148" s="63">
        <v>14</v>
      </c>
      <c r="E148" s="54"/>
      <c r="F148" s="54"/>
      <c r="G148" s="54"/>
      <c r="H148" s="54"/>
      <c r="I148" s="60">
        <f t="shared" si="5"/>
        <v>5.2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v>173</v>
      </c>
      <c r="C149" s="53">
        <v>10</v>
      </c>
      <c r="D149" s="63">
        <v>14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63">
        <v>183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4.8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63">
        <v>192</v>
      </c>
      <c r="C151" s="53">
        <v>12</v>
      </c>
      <c r="D151" s="63">
        <v>14</v>
      </c>
      <c r="E151" s="54"/>
      <c r="F151" s="54"/>
      <c r="G151" s="54"/>
      <c r="H151" s="54"/>
      <c r="I151" s="60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v>200</v>
      </c>
      <c r="C152" s="53">
        <v>13</v>
      </c>
      <c r="D152" s="63">
        <v>14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3">
        <v>207</v>
      </c>
      <c r="C153" s="53">
        <v>14</v>
      </c>
      <c r="D153" s="63">
        <v>14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95</v>
      </c>
      <c r="B154" s="59">
        <v>212</v>
      </c>
      <c r="C154" s="53">
        <v>15</v>
      </c>
      <c r="D154" s="53">
        <v>14</v>
      </c>
      <c r="E154" s="57"/>
      <c r="F154" s="57"/>
      <c r="G154" s="57"/>
      <c r="H154" s="57"/>
      <c r="I154" s="60">
        <f t="shared" si="5"/>
        <v>3.8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100</v>
      </c>
      <c r="B155" s="59">
        <v>216</v>
      </c>
      <c r="C155" s="53">
        <v>16</v>
      </c>
      <c r="D155" s="53">
        <v>13</v>
      </c>
      <c r="E155" s="57"/>
      <c r="F155" s="57"/>
      <c r="G155" s="57"/>
      <c r="H155" s="57"/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105</v>
      </c>
      <c r="B156" s="59">
        <v>220</v>
      </c>
      <c r="C156" s="53">
        <v>17</v>
      </c>
      <c r="D156" s="53">
        <v>13</v>
      </c>
      <c r="E156" s="57"/>
      <c r="F156" s="57"/>
      <c r="G156" s="57"/>
      <c r="H156" s="57"/>
      <c r="I156" s="60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110</v>
      </c>
      <c r="B157" s="59">
        <v>222</v>
      </c>
      <c r="C157" s="53">
        <v>18</v>
      </c>
      <c r="D157" s="53">
        <v>13</v>
      </c>
      <c r="E157" s="57"/>
      <c r="F157" s="57"/>
      <c r="G157" s="57"/>
      <c r="H157" s="57"/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115</v>
      </c>
      <c r="B158" s="59">
        <v>223</v>
      </c>
      <c r="C158" s="53">
        <v>19</v>
      </c>
      <c r="D158" s="53">
        <v>13</v>
      </c>
      <c r="E158" s="57"/>
      <c r="F158" s="57"/>
      <c r="G158" s="57"/>
      <c r="H158" s="57"/>
      <c r="I158" s="60">
        <f t="shared" si="5"/>
        <v>2.8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v>222</v>
      </c>
      <c r="C159" s="53">
        <v>20</v>
      </c>
      <c r="D159" s="61">
        <v>222</v>
      </c>
      <c r="E159" s="57"/>
      <c r="F159" s="57"/>
      <c r="G159" s="57"/>
      <c r="H159" s="57"/>
      <c r="I159" s="60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Tilleul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30</v>
      </c>
      <c r="C166" s="63">
        <v>1</v>
      </c>
      <c r="D166" s="63">
        <v>0</v>
      </c>
      <c r="E166" s="54"/>
      <c r="F166" s="54"/>
      <c r="G166" s="54"/>
      <c r="H166" s="54"/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54</v>
      </c>
      <c r="C167" s="63">
        <v>2</v>
      </c>
      <c r="D167" s="63">
        <v>0</v>
      </c>
      <c r="E167" s="54"/>
      <c r="F167" s="54"/>
      <c r="G167" s="54"/>
      <c r="H167" s="54"/>
      <c r="I167" s="52">
        <f t="shared" ref="I167:I185" si="6">IF(A167&lt;&gt;0,(B167-(B166-D166))/(A167-A166),"")</f>
        <v>4.8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v>79</v>
      </c>
      <c r="C168" s="63">
        <v>3</v>
      </c>
      <c r="D168" s="63">
        <v>13</v>
      </c>
      <c r="E168" s="54"/>
      <c r="F168" s="54"/>
      <c r="G168" s="54"/>
      <c r="H168" s="54"/>
      <c r="I168" s="52">
        <f t="shared" si="6"/>
        <v>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v>93</v>
      </c>
      <c r="C169" s="63">
        <v>4</v>
      </c>
      <c r="D169" s="63">
        <v>14</v>
      </c>
      <c r="E169" s="54"/>
      <c r="F169" s="54"/>
      <c r="G169" s="54"/>
      <c r="H169" s="54"/>
      <c r="I169" s="52">
        <f t="shared" si="6"/>
        <v>5.4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v>107</v>
      </c>
      <c r="C170" s="63">
        <v>5</v>
      </c>
      <c r="D170" s="63">
        <v>14</v>
      </c>
      <c r="E170" s="54"/>
      <c r="F170" s="54"/>
      <c r="G170" s="54"/>
      <c r="H170" s="54"/>
      <c r="I170" s="52">
        <f t="shared" si="6"/>
        <v>5.6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v>121</v>
      </c>
      <c r="C171" s="63">
        <v>6</v>
      </c>
      <c r="D171" s="63">
        <v>14</v>
      </c>
      <c r="E171" s="54"/>
      <c r="F171" s="54"/>
      <c r="G171" s="54"/>
      <c r="H171" s="54"/>
      <c r="I171" s="52">
        <f t="shared" si="6"/>
        <v>5.6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v>135</v>
      </c>
      <c r="C172" s="63">
        <v>7</v>
      </c>
      <c r="D172" s="63">
        <v>14</v>
      </c>
      <c r="E172" s="54"/>
      <c r="F172" s="54"/>
      <c r="G172" s="54"/>
      <c r="H172" s="54"/>
      <c r="I172" s="52">
        <f t="shared" si="6"/>
        <v>5.6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149</v>
      </c>
      <c r="C173" s="53">
        <v>8</v>
      </c>
      <c r="D173" s="53">
        <v>14</v>
      </c>
      <c r="E173" s="54"/>
      <c r="F173" s="54"/>
      <c r="G173" s="54"/>
      <c r="H173" s="54"/>
      <c r="I173" s="52">
        <f t="shared" si="6"/>
        <v>5.6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161</v>
      </c>
      <c r="C174" s="53">
        <v>9</v>
      </c>
      <c r="D174" s="53">
        <v>14</v>
      </c>
      <c r="E174" s="54"/>
      <c r="F174" s="54"/>
      <c r="G174" s="54"/>
      <c r="H174" s="54"/>
      <c r="I174" s="52">
        <f t="shared" si="6"/>
        <v>5.2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173</v>
      </c>
      <c r="C175" s="53">
        <v>10</v>
      </c>
      <c r="D175" s="53">
        <v>14</v>
      </c>
      <c r="E175" s="54"/>
      <c r="F175" s="54"/>
      <c r="G175" s="54"/>
      <c r="H175" s="54"/>
      <c r="I175" s="52">
        <f t="shared" si="6"/>
        <v>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183</v>
      </c>
      <c r="C176" s="53">
        <v>11</v>
      </c>
      <c r="D176" s="53">
        <v>14</v>
      </c>
      <c r="E176" s="54"/>
      <c r="F176" s="54"/>
      <c r="G176" s="54"/>
      <c r="H176" s="54"/>
      <c r="I176" s="52">
        <f t="shared" si="6"/>
        <v>4.8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192</v>
      </c>
      <c r="C177" s="53">
        <v>12</v>
      </c>
      <c r="D177" s="53">
        <v>14</v>
      </c>
      <c r="E177" s="54"/>
      <c r="F177" s="54"/>
      <c r="G177" s="54"/>
      <c r="H177" s="54"/>
      <c r="I177" s="52">
        <f t="shared" si="6"/>
        <v>4.5999999999999996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200</v>
      </c>
      <c r="C178" s="53">
        <v>13</v>
      </c>
      <c r="D178" s="53">
        <v>14</v>
      </c>
      <c r="E178" s="54"/>
      <c r="F178" s="54"/>
      <c r="G178" s="54"/>
      <c r="H178" s="54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207</v>
      </c>
      <c r="C179" s="53">
        <v>14</v>
      </c>
      <c r="D179" s="53">
        <v>14</v>
      </c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212</v>
      </c>
      <c r="C180" s="53">
        <v>15</v>
      </c>
      <c r="D180" s="53">
        <v>14</v>
      </c>
      <c r="E180" s="54"/>
      <c r="F180" s="54"/>
      <c r="G180" s="54"/>
      <c r="H180" s="54"/>
      <c r="I180" s="52">
        <f t="shared" si="6"/>
        <v>3.8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216</v>
      </c>
      <c r="C181" s="53">
        <v>16</v>
      </c>
      <c r="D181" s="53">
        <v>13</v>
      </c>
      <c r="E181" s="54"/>
      <c r="F181" s="54"/>
      <c r="G181" s="54"/>
      <c r="H181" s="54"/>
      <c r="I181" s="52">
        <f t="shared" si="6"/>
        <v>3.6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220</v>
      </c>
      <c r="C182" s="53">
        <v>17</v>
      </c>
      <c r="D182" s="53">
        <v>13</v>
      </c>
      <c r="E182" s="54"/>
      <c r="F182" s="54"/>
      <c r="G182" s="54"/>
      <c r="H182" s="54"/>
      <c r="I182" s="52">
        <f t="shared" si="6"/>
        <v>3.4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222</v>
      </c>
      <c r="C183" s="53">
        <v>18</v>
      </c>
      <c r="D183" s="53">
        <v>13</v>
      </c>
      <c r="E183" s="54"/>
      <c r="F183" s="54"/>
      <c r="G183" s="54"/>
      <c r="H183" s="54"/>
      <c r="I183" s="52">
        <f t="shared" si="6"/>
        <v>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223</v>
      </c>
      <c r="C184" s="53">
        <v>19</v>
      </c>
      <c r="D184" s="53">
        <v>13</v>
      </c>
      <c r="E184" s="54"/>
      <c r="F184" s="54"/>
      <c r="G184" s="54"/>
      <c r="H184" s="54"/>
      <c r="I184" s="52">
        <f t="shared" si="6"/>
        <v>2.8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222</v>
      </c>
      <c r="C185" s="53">
        <v>20</v>
      </c>
      <c r="D185" s="53">
        <v>222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25</v>
      </c>
      <c r="B192" s="63">
        <v>30</v>
      </c>
      <c r="C192" s="63">
        <v>1</v>
      </c>
      <c r="D192" s="63">
        <v>0</v>
      </c>
      <c r="E192" s="54"/>
      <c r="F192" s="54"/>
      <c r="G192" s="54"/>
      <c r="H192" s="54"/>
      <c r="I192" s="52">
        <f>IFERROR(B192/A192,"")</f>
        <v>1.2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30</v>
      </c>
      <c r="B193" s="63">
        <v>54</v>
      </c>
      <c r="C193" s="63">
        <v>2</v>
      </c>
      <c r="D193" s="63">
        <v>0</v>
      </c>
      <c r="E193" s="54"/>
      <c r="F193" s="54"/>
      <c r="G193" s="54"/>
      <c r="H193" s="54"/>
      <c r="I193" s="52">
        <f t="shared" ref="I193:I211" si="7">IF(A193&lt;&gt;0,(B193-(B192-D192))/(A193-A192),"")</f>
        <v>4.8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35</v>
      </c>
      <c r="B194" s="63">
        <v>79</v>
      </c>
      <c r="C194" s="63">
        <v>3</v>
      </c>
      <c r="D194" s="63">
        <v>13</v>
      </c>
      <c r="E194" s="54"/>
      <c r="F194" s="54"/>
      <c r="G194" s="54"/>
      <c r="H194" s="54"/>
      <c r="I194" s="52">
        <f t="shared" si="7"/>
        <v>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40</v>
      </c>
      <c r="B195" s="63">
        <v>93</v>
      </c>
      <c r="C195" s="63">
        <v>4</v>
      </c>
      <c r="D195" s="63">
        <v>14</v>
      </c>
      <c r="E195" s="54"/>
      <c r="F195" s="54"/>
      <c r="G195" s="54"/>
      <c r="H195" s="54"/>
      <c r="I195" s="52">
        <f t="shared" si="7"/>
        <v>5.4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45</v>
      </c>
      <c r="B196" s="63">
        <v>107</v>
      </c>
      <c r="C196" s="63">
        <v>5</v>
      </c>
      <c r="D196" s="63">
        <v>14</v>
      </c>
      <c r="E196" s="54"/>
      <c r="F196" s="54"/>
      <c r="G196" s="54"/>
      <c r="H196" s="54"/>
      <c r="I196" s="52">
        <f t="shared" si="7"/>
        <v>5.6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50</v>
      </c>
      <c r="B197" s="63">
        <v>121</v>
      </c>
      <c r="C197" s="63">
        <v>6</v>
      </c>
      <c r="D197" s="63">
        <v>14</v>
      </c>
      <c r="E197" s="54"/>
      <c r="F197" s="54"/>
      <c r="G197" s="54"/>
      <c r="H197" s="54"/>
      <c r="I197" s="52">
        <f t="shared" si="7"/>
        <v>5.6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55</v>
      </c>
      <c r="B198" s="63">
        <v>135</v>
      </c>
      <c r="C198" s="63">
        <v>7</v>
      </c>
      <c r="D198" s="63">
        <v>14</v>
      </c>
      <c r="E198" s="54"/>
      <c r="F198" s="54"/>
      <c r="G198" s="54"/>
      <c r="H198" s="54"/>
      <c r="I198" s="52">
        <f t="shared" si="7"/>
        <v>5.6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60</v>
      </c>
      <c r="B199" s="53">
        <v>149</v>
      </c>
      <c r="C199" s="53">
        <v>8</v>
      </c>
      <c r="D199" s="53">
        <v>14</v>
      </c>
      <c r="E199" s="54"/>
      <c r="F199" s="54"/>
      <c r="G199" s="54"/>
      <c r="H199" s="54"/>
      <c r="I199" s="52">
        <f t="shared" si="7"/>
        <v>5.6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65</v>
      </c>
      <c r="B200" s="53">
        <v>161</v>
      </c>
      <c r="C200" s="53">
        <v>9</v>
      </c>
      <c r="D200" s="53">
        <v>14</v>
      </c>
      <c r="E200" s="54"/>
      <c r="F200" s="54"/>
      <c r="G200" s="54"/>
      <c r="H200" s="54"/>
      <c r="I200" s="52">
        <f t="shared" si="7"/>
        <v>5.2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70</v>
      </c>
      <c r="B201" s="53">
        <v>173</v>
      </c>
      <c r="C201" s="53">
        <v>10</v>
      </c>
      <c r="D201" s="53">
        <v>14</v>
      </c>
      <c r="E201" s="54"/>
      <c r="F201" s="54"/>
      <c r="G201" s="54"/>
      <c r="H201" s="54"/>
      <c r="I201" s="52">
        <f t="shared" si="7"/>
        <v>5.2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75</v>
      </c>
      <c r="B202" s="53">
        <v>183</v>
      </c>
      <c r="C202" s="53">
        <v>11</v>
      </c>
      <c r="D202" s="53">
        <v>14</v>
      </c>
      <c r="E202" s="54"/>
      <c r="F202" s="54"/>
      <c r="G202" s="54"/>
      <c r="H202" s="54"/>
      <c r="I202" s="52">
        <f t="shared" si="7"/>
        <v>4.8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80</v>
      </c>
      <c r="B203" s="53">
        <v>192</v>
      </c>
      <c r="C203" s="53">
        <v>12</v>
      </c>
      <c r="D203" s="53">
        <v>14</v>
      </c>
      <c r="E203" s="54"/>
      <c r="F203" s="54"/>
      <c r="G203" s="54"/>
      <c r="H203" s="54"/>
      <c r="I203" s="52">
        <f t="shared" si="7"/>
        <v>4.5999999999999996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85</v>
      </c>
      <c r="B204" s="53">
        <v>200</v>
      </c>
      <c r="C204" s="53">
        <v>13</v>
      </c>
      <c r="D204" s="53">
        <v>14</v>
      </c>
      <c r="E204" s="54"/>
      <c r="F204" s="54"/>
      <c r="G204" s="54"/>
      <c r="H204" s="54"/>
      <c r="I204" s="52">
        <f t="shared" si="7"/>
        <v>4.4000000000000004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90</v>
      </c>
      <c r="B205" s="53">
        <v>207</v>
      </c>
      <c r="C205" s="53">
        <v>14</v>
      </c>
      <c r="D205" s="53">
        <v>14</v>
      </c>
      <c r="E205" s="54"/>
      <c r="F205" s="54"/>
      <c r="G205" s="54"/>
      <c r="H205" s="54"/>
      <c r="I205" s="52">
        <f t="shared" si="7"/>
        <v>4.2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95</v>
      </c>
      <c r="B206" s="53">
        <v>212</v>
      </c>
      <c r="C206" s="53">
        <v>15</v>
      </c>
      <c r="D206" s="53">
        <v>14</v>
      </c>
      <c r="E206" s="54"/>
      <c r="F206" s="54"/>
      <c r="G206" s="54"/>
      <c r="H206" s="54"/>
      <c r="I206" s="52">
        <f t="shared" si="7"/>
        <v>3.8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100</v>
      </c>
      <c r="B207" s="53">
        <v>216</v>
      </c>
      <c r="C207" s="53">
        <v>16</v>
      </c>
      <c r="D207" s="53">
        <v>13</v>
      </c>
      <c r="E207" s="54"/>
      <c r="F207" s="54"/>
      <c r="G207" s="54"/>
      <c r="H207" s="54"/>
      <c r="I207" s="52">
        <f t="shared" si="7"/>
        <v>3.6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105</v>
      </c>
      <c r="B208" s="53">
        <v>220</v>
      </c>
      <c r="C208" s="53">
        <v>17</v>
      </c>
      <c r="D208" s="53">
        <v>13</v>
      </c>
      <c r="E208" s="54"/>
      <c r="F208" s="54"/>
      <c r="G208" s="54"/>
      <c r="H208" s="54"/>
      <c r="I208" s="52">
        <f t="shared" si="7"/>
        <v>3.4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110</v>
      </c>
      <c r="B209" s="53">
        <v>222</v>
      </c>
      <c r="C209" s="53">
        <v>18</v>
      </c>
      <c r="D209" s="53">
        <v>13</v>
      </c>
      <c r="E209" s="54"/>
      <c r="F209" s="54"/>
      <c r="G209" s="54"/>
      <c r="H209" s="54"/>
      <c r="I209" s="52">
        <f t="shared" si="7"/>
        <v>3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115</v>
      </c>
      <c r="B210" s="53">
        <v>223</v>
      </c>
      <c r="C210" s="53">
        <v>19</v>
      </c>
      <c r="D210" s="53">
        <v>13</v>
      </c>
      <c r="E210" s="54"/>
      <c r="F210" s="54"/>
      <c r="G210" s="54"/>
      <c r="H210" s="54"/>
      <c r="I210" s="52">
        <f t="shared" si="7"/>
        <v>2.8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120</v>
      </c>
      <c r="B211" s="53">
        <v>222</v>
      </c>
      <c r="C211" s="53">
        <v>20</v>
      </c>
      <c r="D211" s="53">
        <v>222</v>
      </c>
      <c r="E211" s="54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Cormier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25</v>
      </c>
      <c r="B218" s="63">
        <v>30</v>
      </c>
      <c r="C218" s="53">
        <v>1</v>
      </c>
      <c r="D218" s="63">
        <v>0</v>
      </c>
      <c r="E218" s="66"/>
      <c r="F218" s="66"/>
      <c r="G218" s="66"/>
      <c r="H218" s="66"/>
      <c r="I218" s="56">
        <f>IFERROR(B218/A218,"")</f>
        <v>1.2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30</v>
      </c>
      <c r="B219" s="63">
        <v>54</v>
      </c>
      <c r="C219" s="53">
        <v>2</v>
      </c>
      <c r="D219" s="63">
        <v>0</v>
      </c>
      <c r="E219" s="66"/>
      <c r="F219" s="66"/>
      <c r="G219" s="66"/>
      <c r="H219" s="66"/>
      <c r="I219" s="56">
        <f t="shared" ref="I219:I237" si="8">IF(A219&lt;&gt;0,(B219-(B218-D218))/(A219-A218),"")</f>
        <v>4.8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35</v>
      </c>
      <c r="B220" s="63">
        <v>79</v>
      </c>
      <c r="C220" s="53">
        <v>3</v>
      </c>
      <c r="D220" s="63">
        <v>13</v>
      </c>
      <c r="E220" s="66"/>
      <c r="F220" s="66"/>
      <c r="G220" s="66"/>
      <c r="H220" s="66"/>
      <c r="I220" s="56">
        <f t="shared" si="8"/>
        <v>5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40</v>
      </c>
      <c r="B221" s="58">
        <v>93</v>
      </c>
      <c r="C221" s="58">
        <v>4</v>
      </c>
      <c r="D221" s="58">
        <v>14</v>
      </c>
      <c r="E221" s="66"/>
      <c r="F221" s="66"/>
      <c r="G221" s="66"/>
      <c r="H221" s="66"/>
      <c r="I221" s="56">
        <f t="shared" si="8"/>
        <v>5.4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45</v>
      </c>
      <c r="B222" s="58">
        <v>107</v>
      </c>
      <c r="C222" s="58">
        <v>5</v>
      </c>
      <c r="D222" s="58">
        <v>14</v>
      </c>
      <c r="E222" s="66"/>
      <c r="F222" s="66"/>
      <c r="G222" s="66"/>
      <c r="H222" s="66"/>
      <c r="I222" s="56">
        <f t="shared" si="8"/>
        <v>5.6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50</v>
      </c>
      <c r="B223" s="58">
        <v>121</v>
      </c>
      <c r="C223" s="58">
        <v>6</v>
      </c>
      <c r="D223" s="58">
        <v>14</v>
      </c>
      <c r="E223" s="66"/>
      <c r="F223" s="66"/>
      <c r="G223" s="66"/>
      <c r="H223" s="66"/>
      <c r="I223" s="56">
        <f t="shared" si="8"/>
        <v>5.6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55</v>
      </c>
      <c r="B224" s="58">
        <v>135</v>
      </c>
      <c r="C224" s="58">
        <v>7</v>
      </c>
      <c r="D224" s="58">
        <v>14</v>
      </c>
      <c r="E224" s="66"/>
      <c r="F224" s="66"/>
      <c r="G224" s="66"/>
      <c r="H224" s="66"/>
      <c r="I224" s="56">
        <f t="shared" si="8"/>
        <v>5.6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60</v>
      </c>
      <c r="B225" s="58">
        <v>149</v>
      </c>
      <c r="C225" s="58">
        <v>8</v>
      </c>
      <c r="D225" s="58">
        <v>14</v>
      </c>
      <c r="E225" s="66"/>
      <c r="F225" s="66"/>
      <c r="G225" s="66"/>
      <c r="H225" s="66"/>
      <c r="I225" s="56">
        <f t="shared" si="8"/>
        <v>5.6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65</v>
      </c>
      <c r="B226" s="58">
        <v>161</v>
      </c>
      <c r="C226" s="58">
        <v>9</v>
      </c>
      <c r="D226" s="58">
        <v>14</v>
      </c>
      <c r="E226" s="66"/>
      <c r="F226" s="66"/>
      <c r="G226" s="66"/>
      <c r="H226" s="66"/>
      <c r="I226" s="56">
        <f t="shared" si="8"/>
        <v>5.2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>
        <v>70</v>
      </c>
      <c r="B227" s="58">
        <v>173</v>
      </c>
      <c r="C227" s="58">
        <v>10</v>
      </c>
      <c r="D227" s="58">
        <v>14</v>
      </c>
      <c r="E227" s="66"/>
      <c r="F227" s="66"/>
      <c r="G227" s="66"/>
      <c r="H227" s="66"/>
      <c r="I227" s="56">
        <f t="shared" si="8"/>
        <v>5.2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>
        <v>75</v>
      </c>
      <c r="B228" s="58">
        <v>183</v>
      </c>
      <c r="C228" s="58">
        <v>11</v>
      </c>
      <c r="D228" s="58">
        <v>14</v>
      </c>
      <c r="E228" s="66"/>
      <c r="F228" s="66"/>
      <c r="G228" s="66"/>
      <c r="H228" s="66"/>
      <c r="I228" s="56">
        <f t="shared" si="8"/>
        <v>4.8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>
        <v>80</v>
      </c>
      <c r="B229" s="58">
        <v>192</v>
      </c>
      <c r="C229" s="58">
        <v>12</v>
      </c>
      <c r="D229" s="58">
        <v>14</v>
      </c>
      <c r="E229" s="66"/>
      <c r="F229" s="66"/>
      <c r="G229" s="66"/>
      <c r="H229" s="66"/>
      <c r="I229" s="56">
        <f t="shared" si="8"/>
        <v>4.5999999999999996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>
        <v>85</v>
      </c>
      <c r="B230" s="58">
        <v>200</v>
      </c>
      <c r="C230" s="58">
        <v>13</v>
      </c>
      <c r="D230" s="58">
        <v>14</v>
      </c>
      <c r="E230" s="67"/>
      <c r="F230" s="67"/>
      <c r="G230" s="67"/>
      <c r="H230" s="67"/>
      <c r="I230" s="56">
        <f t="shared" si="8"/>
        <v>4.4000000000000004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>
        <v>90</v>
      </c>
      <c r="B231" s="63">
        <v>207</v>
      </c>
      <c r="C231" s="94">
        <v>14</v>
      </c>
      <c r="D231" s="63">
        <v>14</v>
      </c>
      <c r="E231" s="57"/>
      <c r="F231" s="57"/>
      <c r="G231" s="57"/>
      <c r="H231" s="57"/>
      <c r="I231" s="56">
        <f t="shared" si="8"/>
        <v>4.2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95</v>
      </c>
      <c r="B232" s="53">
        <v>212</v>
      </c>
      <c r="C232" s="53">
        <v>15</v>
      </c>
      <c r="D232" s="53">
        <v>14</v>
      </c>
      <c r="E232" s="57"/>
      <c r="F232" s="57"/>
      <c r="G232" s="57"/>
      <c r="H232" s="57"/>
      <c r="I232" s="56">
        <f t="shared" si="8"/>
        <v>3.8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100</v>
      </c>
      <c r="B233" s="53">
        <v>216</v>
      </c>
      <c r="C233" s="53">
        <v>16</v>
      </c>
      <c r="D233" s="53">
        <v>13</v>
      </c>
      <c r="E233" s="57"/>
      <c r="F233" s="57"/>
      <c r="G233" s="57"/>
      <c r="H233" s="57"/>
      <c r="I233" s="56">
        <f t="shared" si="8"/>
        <v>3.6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105</v>
      </c>
      <c r="B234" s="53">
        <v>220</v>
      </c>
      <c r="C234" s="53">
        <v>17</v>
      </c>
      <c r="D234" s="53">
        <v>13</v>
      </c>
      <c r="E234" s="57"/>
      <c r="F234" s="57"/>
      <c r="G234" s="57"/>
      <c r="H234" s="57"/>
      <c r="I234" s="56">
        <f t="shared" si="8"/>
        <v>3.4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110</v>
      </c>
      <c r="B235" s="53">
        <v>222</v>
      </c>
      <c r="C235" s="53">
        <v>18</v>
      </c>
      <c r="D235" s="53">
        <v>13</v>
      </c>
      <c r="E235" s="57"/>
      <c r="F235" s="57"/>
      <c r="G235" s="57"/>
      <c r="H235" s="57"/>
      <c r="I235" s="56">
        <f t="shared" si="8"/>
        <v>3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115</v>
      </c>
      <c r="B236" s="53">
        <v>223</v>
      </c>
      <c r="C236" s="53">
        <v>19</v>
      </c>
      <c r="D236" s="53">
        <v>13</v>
      </c>
      <c r="E236" s="57"/>
      <c r="F236" s="57"/>
      <c r="G236" s="57"/>
      <c r="H236" s="57"/>
      <c r="I236" s="56">
        <f t="shared" si="8"/>
        <v>2.8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120</v>
      </c>
      <c r="B237" s="53">
        <v>222</v>
      </c>
      <c r="C237" s="53">
        <v>20</v>
      </c>
      <c r="D237" s="53">
        <v>222</v>
      </c>
      <c r="E237" s="57"/>
      <c r="F237" s="57"/>
      <c r="G237" s="57"/>
      <c r="H237" s="57"/>
      <c r="I237" s="56">
        <f t="shared" si="8"/>
        <v>2.4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Erable plane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v>18</v>
      </c>
      <c r="C244" s="63">
        <v>1</v>
      </c>
      <c r="D244" s="63">
        <v>3</v>
      </c>
      <c r="E244" s="54"/>
      <c r="F244" s="54"/>
      <c r="G244" s="54">
        <v>1</v>
      </c>
      <c r="H244" s="66"/>
      <c r="I244" s="56">
        <f>IFERROR(B244/A244,"")</f>
        <v>0.9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v>54</v>
      </c>
      <c r="C245" s="63">
        <v>2</v>
      </c>
      <c r="D245" s="63">
        <v>14</v>
      </c>
      <c r="E245" s="66"/>
      <c r="F245" s="66"/>
      <c r="G245" s="66">
        <v>1</v>
      </c>
      <c r="H245" s="66"/>
      <c r="I245" s="56">
        <f>IF(A245&lt;&gt;0,(B245-(B244-D244))/(A245-A244),"")</f>
        <v>7.8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v>76</v>
      </c>
      <c r="C246" s="63">
        <v>3</v>
      </c>
      <c r="D246" s="63">
        <v>14</v>
      </c>
      <c r="E246" s="66"/>
      <c r="F246" s="66"/>
      <c r="G246" s="66">
        <v>1</v>
      </c>
      <c r="H246" s="66"/>
      <c r="I246" s="56">
        <f>IF(A246&lt;&gt;0,(B246-(B245-D245))/(A246-A245),"")</f>
        <v>7.2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v>95</v>
      </c>
      <c r="C247" s="63">
        <v>4</v>
      </c>
      <c r="D247" s="63">
        <v>14</v>
      </c>
      <c r="E247" s="66"/>
      <c r="F247" s="66"/>
      <c r="G247" s="66"/>
      <c r="H247" s="66"/>
      <c r="I247" s="56">
        <f t="shared" ref="I247:I263" si="9">IF(A247&lt;&gt;0,(B247-(B246-D246))/(A247-A246),"")</f>
        <v>6.6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v>110</v>
      </c>
      <c r="C248" s="63">
        <v>5</v>
      </c>
      <c r="D248" s="63">
        <v>14</v>
      </c>
      <c r="E248" s="66"/>
      <c r="F248" s="66"/>
      <c r="G248" s="66"/>
      <c r="H248" s="66"/>
      <c r="I248" s="56">
        <f t="shared" si="9"/>
        <v>5.8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v>120</v>
      </c>
      <c r="C249" s="63">
        <v>6</v>
      </c>
      <c r="D249" s="63">
        <v>14</v>
      </c>
      <c r="E249" s="66"/>
      <c r="F249" s="66"/>
      <c r="G249" s="66"/>
      <c r="H249" s="66"/>
      <c r="I249" s="56">
        <f t="shared" si="9"/>
        <v>4.8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v>127</v>
      </c>
      <c r="C250" s="63">
        <v>7</v>
      </c>
      <c r="D250" s="63">
        <v>11</v>
      </c>
      <c r="E250" s="66"/>
      <c r="F250" s="66"/>
      <c r="G250" s="66"/>
      <c r="H250" s="66"/>
      <c r="I250" s="56">
        <f t="shared" si="9"/>
        <v>4.2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>
        <v>55</v>
      </c>
      <c r="B251" s="58">
        <v>134</v>
      </c>
      <c r="C251" s="58">
        <v>8</v>
      </c>
      <c r="D251" s="58">
        <v>9</v>
      </c>
      <c r="E251" s="66"/>
      <c r="F251" s="66"/>
      <c r="G251" s="66"/>
      <c r="H251" s="66"/>
      <c r="I251" s="56">
        <f t="shared" si="9"/>
        <v>3.6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>
        <v>60</v>
      </c>
      <c r="B252" s="58">
        <v>140</v>
      </c>
      <c r="C252" s="58">
        <v>9</v>
      </c>
      <c r="D252" s="58">
        <v>7</v>
      </c>
      <c r="E252" s="66"/>
      <c r="F252" s="66"/>
      <c r="G252" s="66"/>
      <c r="H252" s="66"/>
      <c r="I252" s="56">
        <f t="shared" si="9"/>
        <v>3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65</v>
      </c>
      <c r="B253" s="58">
        <v>146</v>
      </c>
      <c r="C253" s="58">
        <v>10</v>
      </c>
      <c r="D253" s="58">
        <v>6</v>
      </c>
      <c r="E253" s="66"/>
      <c r="F253" s="66"/>
      <c r="G253" s="66"/>
      <c r="H253" s="66"/>
      <c r="I253" s="56">
        <f t="shared" si="9"/>
        <v>2.6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70</v>
      </c>
      <c r="B254" s="58">
        <v>150</v>
      </c>
      <c r="C254" s="58">
        <v>11</v>
      </c>
      <c r="D254" s="58">
        <v>5</v>
      </c>
      <c r="E254" s="66"/>
      <c r="F254" s="66"/>
      <c r="G254" s="66"/>
      <c r="H254" s="66"/>
      <c r="I254" s="56">
        <f t="shared" si="9"/>
        <v>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75</v>
      </c>
      <c r="B255" s="58">
        <v>155</v>
      </c>
      <c r="C255" s="58">
        <v>12</v>
      </c>
      <c r="D255" s="58">
        <v>4</v>
      </c>
      <c r="E255" s="66"/>
      <c r="F255" s="66"/>
      <c r="G255" s="66"/>
      <c r="H255" s="66"/>
      <c r="I255" s="56">
        <f t="shared" si="9"/>
        <v>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80</v>
      </c>
      <c r="B256" s="58">
        <v>159</v>
      </c>
      <c r="C256" s="58">
        <v>13</v>
      </c>
      <c r="D256" s="58">
        <v>159</v>
      </c>
      <c r="E256" s="67"/>
      <c r="F256" s="67"/>
      <c r="G256" s="67"/>
      <c r="H256" s="67"/>
      <c r="I256" s="56">
        <f t="shared" si="9"/>
        <v>1.6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Merisier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15</v>
      </c>
      <c r="B270" s="63">
        <v>26</v>
      </c>
      <c r="C270" s="53">
        <v>1</v>
      </c>
      <c r="D270" s="63">
        <v>2</v>
      </c>
      <c r="E270" s="54"/>
      <c r="F270" s="54"/>
      <c r="G270" s="54">
        <v>1</v>
      </c>
      <c r="H270" s="54"/>
      <c r="I270" s="56">
        <f>IFERROR(B270/A270,"")</f>
        <v>1.7333333333333334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20</v>
      </c>
      <c r="B271" s="63">
        <v>55</v>
      </c>
      <c r="C271" s="53">
        <v>2</v>
      </c>
      <c r="D271" s="63">
        <v>16</v>
      </c>
      <c r="E271" s="54"/>
      <c r="F271" s="54"/>
      <c r="G271" s="54">
        <v>1</v>
      </c>
      <c r="H271" s="54"/>
      <c r="I271" s="56">
        <f>IF(A271&lt;&gt;0,(B271-(B270-D270))/(A271-A270),"")</f>
        <v>6.2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25</v>
      </c>
      <c r="B272" s="63">
        <v>72</v>
      </c>
      <c r="C272" s="53">
        <v>3</v>
      </c>
      <c r="D272" s="63">
        <v>17</v>
      </c>
      <c r="E272" s="54"/>
      <c r="F272" s="54"/>
      <c r="G272" s="54">
        <v>1</v>
      </c>
      <c r="H272" s="54"/>
      <c r="I272" s="56">
        <f t="shared" ref="I272:I289" si="10">IF(A272&lt;&gt;0,(B272-(B271-D271))/(A272-A271),"")</f>
        <v>6.6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31</v>
      </c>
      <c r="B273" s="63">
        <v>99</v>
      </c>
      <c r="C273" s="53">
        <v>4</v>
      </c>
      <c r="D273" s="63">
        <v>23</v>
      </c>
      <c r="E273" s="54"/>
      <c r="F273" s="54"/>
      <c r="G273" s="54"/>
      <c r="H273" s="54"/>
      <c r="I273" s="56">
        <f t="shared" si="10"/>
        <v>7.333333333333333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37</v>
      </c>
      <c r="B274" s="63">
        <v>121</v>
      </c>
      <c r="C274" s="53">
        <v>5</v>
      </c>
      <c r="D274" s="63">
        <v>23</v>
      </c>
      <c r="E274" s="54"/>
      <c r="F274" s="54"/>
      <c r="G274" s="54"/>
      <c r="H274" s="54"/>
      <c r="I274" s="56">
        <f t="shared" si="10"/>
        <v>7.5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44</v>
      </c>
      <c r="B275" s="63">
        <v>147</v>
      </c>
      <c r="C275" s="53">
        <v>6</v>
      </c>
      <c r="D275" s="63">
        <v>28</v>
      </c>
      <c r="E275" s="66"/>
      <c r="F275" s="66"/>
      <c r="G275" s="66"/>
      <c r="H275" s="66"/>
      <c r="I275" s="56">
        <f t="shared" si="10"/>
        <v>7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52</v>
      </c>
      <c r="B276" s="63">
        <v>173</v>
      </c>
      <c r="C276" s="53">
        <v>7</v>
      </c>
      <c r="D276" s="63">
        <v>31</v>
      </c>
      <c r="E276" s="66"/>
      <c r="F276" s="66"/>
      <c r="G276" s="66"/>
      <c r="H276" s="66"/>
      <c r="I276" s="56">
        <f t="shared" si="10"/>
        <v>6.75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60</v>
      </c>
      <c r="B277" s="58">
        <v>190</v>
      </c>
      <c r="C277" s="58">
        <v>8</v>
      </c>
      <c r="D277" s="58">
        <v>30</v>
      </c>
      <c r="E277" s="66"/>
      <c r="F277" s="66"/>
      <c r="G277" s="66"/>
      <c r="H277" s="66"/>
      <c r="I277" s="56">
        <f t="shared" si="10"/>
        <v>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>
        <v>69</v>
      </c>
      <c r="B278" s="58">
        <v>210</v>
      </c>
      <c r="C278" s="58">
        <v>9</v>
      </c>
      <c r="D278" s="58">
        <v>210</v>
      </c>
      <c r="E278" s="66"/>
      <c r="F278" s="66"/>
      <c r="G278" s="66"/>
      <c r="H278" s="66"/>
      <c r="I278" s="56">
        <f t="shared" si="10"/>
        <v>5.5555555555555554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sessile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vert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Tilleul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Alisier torminal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Cormier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Erable plane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Merisier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181.48161394994878</v>
      </c>
      <c r="T3" s="62">
        <f>IF('Données projet'!E9&gt;30,$R$33-$H$33,LOOKUP('Données projet'!$E$9,$A$3:$A$203,R3:R203)-LOOKUP('Données projet'!$E$9,$A$3:$A$203,$H$3:$H$203))</f>
        <v>141.1874974464024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340.81036749486179</v>
      </c>
      <c r="AO3" s="62">
        <f>IF('Données projet'!E10&gt;30,$AM$33-$H$33,LOOKUP('Données projet'!$E$10,$A$3:$A$203,AM3:AM203)-LOOKUP('Données projet'!$E$10,$A$3:$A$203,$H$3:$H$203))</f>
        <v>208.88199836488013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257.96727373333601</v>
      </c>
      <c r="BJ3" s="62">
        <f>IF('Données projet'!E11&gt;30,$BH$33-$H$33,LOOKUP('Données projet'!$E$11,$A$3:$A$203,BH3:BH203)-LOOKUP('Données projet'!$E$11,$A$3:$A$203,$H$3:$H$203))</f>
        <v>194.52809733694494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292.83612296867898</v>
      </c>
      <c r="CE3" s="62">
        <f>IF('Données projet'!E12&gt;30,$CC$33-$H$33,LOOKUP('Données projet'!$E$12,$A$3:$A$203,CC3:CC203)-LOOKUP('Données projet'!$E$12,$A$3:$A$203,$H$3:$H$203))</f>
        <v>180.48047802041276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192.93829651668403</v>
      </c>
      <c r="CZ3" s="62">
        <f>IF('Données projet'!E13&gt;30,$CX$33-$H$33,LOOKUP('Données projet'!$E$13,$A$3:$A$203,CX3:CX203)-LOOKUP('Données projet'!$E$13,$A$3:$A$203,$H$3:$H$203))</f>
        <v>76.592736352376903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66.964554307546564</v>
      </c>
      <c r="DU3" s="62">
        <f>IF('Données projet'!E14&gt;30,$DS$33-$H$33,LOOKUP('Données projet'!$E$14,$A$3:$A$203,DS3:DS203)-LOOKUP('Données projet'!$E$14,$A$3:$A$203,$H$3:$H$203))</f>
        <v>21.162700178818568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146.90952320473599</v>
      </c>
      <c r="EP3" s="62">
        <f>IF('Données projet'!E15&gt;30,$EN$33-$H$33,LOOKUP('Données projet'!$E$15,$A$3:$A$203,EN3:EN203)-LOOKUP('Données projet'!$E$15,$A$3:$A$203,$H$3:$H$203))</f>
        <v>56.347130462109817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293.33333333333331</v>
      </c>
      <c r="FJ3" s="62">
        <f ca="1">AVERAGE(OFFSET($FI$3,0,0,'Données projet'!$E$16+1,1))-AVERAGE(OFFSET($H$3,0,0,'Données projet'!$E$16+1,1))</f>
        <v>176.21892815766847</v>
      </c>
      <c r="FK3" s="62">
        <f>IF('Données projet'!E16&gt;30,$FI$33-$H$33,LOOKUP('Données projet'!$E$16,$A$3:$A$203,FI3:FI203)-LOOKUP('Données projet'!$E$16,$A$3:$A$203,$H$3:$H$203))</f>
        <v>69.239647548491234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293.33333333333331</v>
      </c>
      <c r="GE3" s="62">
        <f ca="1">AVERAGE(OFFSET($GD$3,0,0,'Données projet'!$E$17+1,1))-AVERAGE(OFFSET($H$3,0,0,'Données projet'!$E$17+1,1))</f>
        <v>70.834027458412379</v>
      </c>
      <c r="GF3" s="62">
        <f>IF('Données projet'!E17&gt;30,$GD$33-$H$33,LOOKUP('Données projet'!$E$17,$A$3:$A$203,GD3:GD203)-LOOKUP('Données projet'!$E$17,$A$3:$A$203,$H$3:$H$203))</f>
        <v>74.346987922112362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293.33333333333331</v>
      </c>
      <c r="GZ3" s="62">
        <f ca="1">AVERAGE(OFFSET($GY$3,0,0,'Données projet'!$E$18+1,1))-AVERAGE(OFFSET($H$3,0,0,'Données projet'!$E$18+1,1))</f>
        <v>99.222094917553648</v>
      </c>
      <c r="HA3" s="62">
        <f>IF('Données projet'!E18&gt;30,$GY$33-$H$33,LOOKUP('Données projet'!$E$18,$A$3:$A$203,GY3:GY203)-LOOKUP('Données projet'!$E$18,$A$3:$A$203,$H$3:$H$203))</f>
        <v>98.371477396766352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</v>
      </c>
      <c r="N4" s="14">
        <f>IF('Données projet'!$A$36&gt;35,N3+M4-V3,IF(A4&lt;'Données projet'!$A$36,$K$205^A4,IF(A4='Données projet'!$A$36,'Données projet'!$B$36,N3+M4-V3)))</f>
        <v>1.1921598380198544</v>
      </c>
      <c r="O4" s="14">
        <f>N4*VLOOKUP('Données projet'!$B$9,Paramètres!$A$1:$I$89,3,0)*VLOOKUP('Données projet'!$B$9,Paramètres!$A$1:$I$89,5,0)</f>
        <v>0.55793080419329188</v>
      </c>
      <c r="P4" s="14">
        <f>EXP(-1.0587+0.8836*LN(O4)+0.284)</f>
        <v>0.27518860925423011</v>
      </c>
      <c r="Q4" s="22">
        <f t="shared" ref="Q4:Q34" si="2">(O4+P4)*0.475*44/12</f>
        <v>1.4510163117544339</v>
      </c>
      <c r="R4" s="62">
        <f t="shared" si="0"/>
        <v>294.78434964508773</v>
      </c>
      <c r="S4" s="62">
        <f ca="1">AVERAGE(OFFSET($R$3,0,0,'Données projet'!$E$9+1,1))-AVERAGE(OFFSET($H$3,0,0,'Données projet'!$E$9+1,1))</f>
        <v>181.48161394994878</v>
      </c>
      <c r="T4" s="62">
        <f>$T$3</f>
        <v>141.1874974464024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296.5040881679875</v>
      </c>
      <c r="AN4" s="62">
        <f ca="1">AVERAGE(OFFSET($AM$3,0,0,'Données projet'!$E$10+1,1))-AVERAGE(OFFSET($H$3,0,0,'Données projet'!$E$10+1,1))</f>
        <v>340.81036749486179</v>
      </c>
      <c r="AO4" s="62">
        <f>$AO$3</f>
        <v>208.88199836488013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295.24773087079586</v>
      </c>
      <c r="BI4" s="62">
        <f ca="1">AVERAGE(OFFSET($BH$3,0,0,'Données projet'!$E$11+1,1))-AVERAGE(OFFSET($H$3,0,0,'Données projet'!$E$11+1,1))</f>
        <v>257.96727373333601</v>
      </c>
      <c r="BJ4" s="62">
        <f>$BJ$3</f>
        <v>194.52809733694494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1.1212920291467359</v>
      </c>
      <c r="CA4" s="14">
        <f>EXP(-1.0587+0.8836*LN(BZ4)+0.284)</f>
        <v>0.50989827066551541</v>
      </c>
      <c r="CB4" s="22">
        <f t="shared" ref="CB4:CB67" si="10">(BZ4+CA4)*0.475*44/12</f>
        <v>2.8409897721730037</v>
      </c>
      <c r="CC4" s="62">
        <f t="shared" ref="CC4:CC67" si="11">CB4+(BT4+BU4)*44/12</f>
        <v>296.17432310550635</v>
      </c>
      <c r="CD4" s="62">
        <f ca="1">AVERAGE(OFFSET($CC$3,0,0,'Données projet'!$E$12+1,1))-AVERAGE(OFFSET($H$3,0,0,'Données projet'!$E$12+1,1))</f>
        <v>292.83612296867898</v>
      </c>
      <c r="CE4" s="62">
        <f>$CE$3</f>
        <v>180.48047802041276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1.3047650309981771</v>
      </c>
      <c r="CV4" s="14">
        <f>EXP(-1.0587+0.8836*LN(CU4)+0.284)</f>
        <v>0.58295685400878672</v>
      </c>
      <c r="CW4" s="22">
        <f t="shared" ref="CW4:CW67" si="13">(CU4+CV4)*0.475*44/12</f>
        <v>3.2877822830537951</v>
      </c>
      <c r="CX4" s="62">
        <f t="shared" ref="CX4:CX67" si="14">CW4+(CO4+CP4)*44/12</f>
        <v>296.6211156163871</v>
      </c>
      <c r="CY4" s="62">
        <f ca="1">AVERAGE(OFFSET($CX$3,0,0,'Données projet'!$E$13+1,1))-AVERAGE(OFFSET($H$3,0,0,'Données projet'!$E$13+1,1))</f>
        <v>192.93829651668403</v>
      </c>
      <c r="CZ4" s="62">
        <f>$CZ$3</f>
        <v>76.592736352376903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1.1457367676485573</v>
      </c>
      <c r="DP4" s="18">
        <f>DO4*VLOOKUP('Données projet'!$B$14,Paramètres!$A$1:$I$89,3,0)*VLOOKUP('Données projet'!$B$14,Paramètres!$A$1:$I$89,5,0)</f>
        <v>0.76856022373865229</v>
      </c>
      <c r="DQ4" s="14">
        <f>EXP(-1.0587+0.8836*LN(DP4)+0.284)</f>
        <v>0.36520529108264627</v>
      </c>
      <c r="DR4" s="22">
        <f t="shared" ref="DR4:DR67" si="16">(DP4+DQ4)*0.475*44/12</f>
        <v>1.9746416049804285</v>
      </c>
      <c r="DS4" s="62">
        <f t="shared" ref="DS4:DS67" si="17">DR4+(DJ4+DK4)*44/12</f>
        <v>295.30797493831375</v>
      </c>
      <c r="DT4" s="62">
        <f ca="1">AVERAGE(OFFSET($DS$3,0,0,'Données projet'!$E$14+1,1))-AVERAGE(OFFSET($H$3,0,0,'Données projet'!$E$14+1,1))</f>
        <v>66.964554307546564</v>
      </c>
      <c r="DU4" s="62">
        <f>$DU$3</f>
        <v>21.162700178818568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1.2</v>
      </c>
      <c r="EJ4" s="13">
        <f>IF('Données projet'!$A$192&gt;35,EJ3+EI4-ER3,IF(A4&lt;'Données projet'!$A$192,$EG$205^A4,IF(A4='Données projet'!$A$192,'Données projet'!$B$192,EJ3+EI4-ER3)))</f>
        <v>1.1457367676485573</v>
      </c>
      <c r="EK4" s="18">
        <f>EJ4*VLOOKUP('Données projet'!$B$15,Paramètres!$A$1:$I$89,3,0)*VLOOKUP('Données projet'!$B$15,Paramètres!$A$1:$I$89,5,0)</f>
        <v>1.1081566016696847</v>
      </c>
      <c r="EL4" s="14">
        <f>EXP(-1.0587+0.8836*LN(EK4)+0.284)</f>
        <v>0.50461671312632472</v>
      </c>
      <c r="EM4" s="22">
        <f t="shared" ref="EM4:EM67" si="19">(EK4+EL4)*0.475*44/12</f>
        <v>2.808913523269716</v>
      </c>
      <c r="EN4" s="62">
        <f t="shared" ref="EN4:EN67" si="20">EM4+(EE4+EF4)*44/12</f>
        <v>296.14224685660304</v>
      </c>
      <c r="EO4" s="62">
        <f ca="1">AVERAGE(OFFSET($EN$3,0,0,'Données projet'!$E$15+1,1))-AVERAGE(OFFSET($H$3,0,0,'Données projet'!$E$15+1,1))</f>
        <v>146.90952320473599</v>
      </c>
      <c r="EP4" s="62">
        <f>$EP$3</f>
        <v>56.347130462109817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1.2</v>
      </c>
      <c r="FE4" s="13">
        <f>IF('Données projet'!$A$218&gt;35,FE3+FD4-FM3,IF(A4&lt;'Données projet'!$A$218,$FB$205^A4,IF(A4='Données projet'!$A$218,'Données projet'!$B$218,FE3+FD4-FM3)))</f>
        <v>1.1457367676485573</v>
      </c>
      <c r="FF4" s="18">
        <f>FE4*VLOOKUP('Données projet'!$B$16,Paramètres!$A$1:$I$89,3,0)*VLOOKUP('Données projet'!$B$16,Paramètres!$A$1:$I$89,5,0)</f>
        <v>1.233271056696907</v>
      </c>
      <c r="FG4" s="14">
        <f>EXP(-1.0587+0.8836*LN(FF4)+0.284)</f>
        <v>0.55464025923604754</v>
      </c>
      <c r="FH4" s="22">
        <f t="shared" ref="FH4:FH67" si="22">(FF4+FG4)*0.475*44/12</f>
        <v>3.113945541916562</v>
      </c>
      <c r="FI4" s="62">
        <f t="shared" ref="FI4:FI67" si="23">FH4+(EZ4+FA4)*44/12</f>
        <v>296.44727887524988</v>
      </c>
      <c r="FJ4" s="62">
        <f ca="1">AVERAGE(OFFSET($FI$3,0,0,'Données projet'!$E$16+1,1))-AVERAGE(OFFSET($H$3,0,0,'Données projet'!$E$16+1,1))</f>
        <v>176.21892815766847</v>
      </c>
      <c r="FK4" s="62">
        <f>$FK$3</f>
        <v>69.239647548491234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0.9</v>
      </c>
      <c r="FZ4" s="13">
        <f>IF('Données projet'!$A$244&gt;35,FZ3+FY4-GH3,IF(A4&lt;'Données projet'!$A$244,$FW$205^A4,IF(A4='Données projet'!$A$244,'Données projet'!$B$244,FZ3+FY4-GH3)))</f>
        <v>1.1554831727638066</v>
      </c>
      <c r="GA4" s="18">
        <f>FZ4*VLOOKUP('Données projet'!$B$17,Paramètres!$A$1:$I$89,3,0)*VLOOKUP('Données projet'!$B$17,Paramètres!$A$1:$I$89,5,0)</f>
        <v>0.9193024122508846</v>
      </c>
      <c r="GB4" s="14">
        <f>EXP(-1.0587+0.8836*LN(GA4)+0.284)</f>
        <v>0.42782278138454627</v>
      </c>
      <c r="GC4" s="22">
        <f t="shared" ref="GC4:GC67" si="25">(GA4+GB4)*0.475*44/12</f>
        <v>2.3462430455817089</v>
      </c>
      <c r="GD4" s="62">
        <f t="shared" ref="GD4:GD67" si="26">GC4+(FU4+FV4)*44/12</f>
        <v>295.67957637891504</v>
      </c>
      <c r="GE4" s="62">
        <f ca="1">AVERAGE(OFFSET($GD$3,0,0,'Données projet'!$E$17+1,1))-AVERAGE(OFFSET($H$3,0,0,'Données projet'!$E$17+1,1))</f>
        <v>70.834027458412379</v>
      </c>
      <c r="GF4" s="62">
        <f>$GF$3</f>
        <v>74.346987922112362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1.7333333333333334</v>
      </c>
      <c r="GU4" s="13">
        <f>IF('Données projet'!$A$270&gt;35,GU3+GT4-HC3,IF(A4&lt;'Données projet'!$A$270,$GR$205^A4,IF(A4='Données projet'!$A$270,'Données projet'!$B$270,GU3+GT4-HC3)))</f>
        <v>1.2426005929945116</v>
      </c>
      <c r="GV4" s="18">
        <f>GU4*VLOOKUP('Données projet'!$B$18,Paramètres!$A$1:$I$89,3,0)*VLOOKUP('Données projet'!$B$18,Paramètres!$A$1:$I$89,5,0)</f>
        <v>0.96922846253571915</v>
      </c>
      <c r="GW4" s="14">
        <f>EXP(-1.0587+0.8836*LN(GV4)+0.284)</f>
        <v>0.44828914117474111</v>
      </c>
      <c r="GX4" s="22">
        <f t="shared" ref="GX4:GX67" si="28">(GV4+GW4)*0.475*44/12</f>
        <v>2.4688431597957181</v>
      </c>
      <c r="GY4" s="62">
        <f t="shared" ref="GY4:GY67" si="29">GX4+(GP4+GQ4)*44/12</f>
        <v>295.80217649312902</v>
      </c>
      <c r="GZ4" s="62">
        <f ca="1">AVERAGE(OFFSET($GY$3,0,0,'Données projet'!$E$18+1,1))-AVERAGE(OFFSET($H$3,0,0,'Données projet'!$E$18+1,1))</f>
        <v>99.222094917553648</v>
      </c>
      <c r="HA4" s="62">
        <f>$HA$3</f>
        <v>98.371477396766352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</v>
      </c>
      <c r="N5" s="14">
        <f>IF('Données projet'!$A$36&gt;35,N4+M5-V4,IF(A5&lt;'Données projet'!$A$36,$K$205^A5,IF(A5='Données projet'!$A$36,'Données projet'!$B$36,N4+M5-V4)))</f>
        <v>1.4212450793875253</v>
      </c>
      <c r="O5" s="14">
        <f>N5*VLOOKUP('Données projet'!$B$9,Paramètres!$A$1:$I$89,3,0)*VLOOKUP('Données projet'!$B$9,Paramètres!$A$1:$I$89,5,0)</f>
        <v>0.66514269715336183</v>
      </c>
      <c r="P5" s="14">
        <f t="shared" ref="P5:P68" si="33">EXP(-1.0587+0.8836*LN(O5)+0.284)</f>
        <v>0.3214249656415451</v>
      </c>
      <c r="Q5" s="22">
        <f t="shared" si="2"/>
        <v>1.7182720127011295</v>
      </c>
      <c r="R5" s="62">
        <f t="shared" si="0"/>
        <v>295.05160534603442</v>
      </c>
      <c r="S5" s="62">
        <f ca="1">AVERAGE(OFFSET($R$3,0,0,'Données projet'!$E$9+1,1))-AVERAGE(OFFSET($H$3,0,0,'Données projet'!$E$9+1,1))</f>
        <v>181.48161394994878</v>
      </c>
      <c r="T5" s="62">
        <f t="shared" ref="T5:T68" si="34">$T$3</f>
        <v>141.1874974464024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297.2327403402669</v>
      </c>
      <c r="AN5" s="62">
        <f ca="1">AVERAGE(OFFSET($AM$3,0,0,'Données projet'!$E$10+1,1))-AVERAGE(OFFSET($H$3,0,0,'Données projet'!$E$10+1,1))</f>
        <v>340.81036749486179</v>
      </c>
      <c r="AO5" s="62">
        <f t="shared" ref="AO5:AO68" si="36">$AO$3</f>
        <v>208.88199836488013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295.69646345569345</v>
      </c>
      <c r="BI5" s="62">
        <f ca="1">AVERAGE(OFFSET($BH$3,0,0,'Données projet'!$E$11+1,1))-AVERAGE(OFFSET($H$3,0,0,'Données projet'!$E$11+1,1))</f>
        <v>257.96727373333601</v>
      </c>
      <c r="BJ5" s="62">
        <f t="shared" ref="BJ5:BJ68" si="38">$BJ$3</f>
        <v>194.52809733694494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1.3895842336737447</v>
      </c>
      <c r="CA5" s="14">
        <f t="shared" ref="CA5:CA68" si="39">EXP(-1.0587+0.8836*LN(BZ5)+0.284)</f>
        <v>0.61631841327304715</v>
      </c>
      <c r="CB5" s="22">
        <f t="shared" si="10"/>
        <v>3.4936137767656628</v>
      </c>
      <c r="CC5" s="62">
        <f t="shared" si="11"/>
        <v>296.82694711009896</v>
      </c>
      <c r="CD5" s="62">
        <f ca="1">AVERAGE(OFFSET($CC$3,0,0,'Données projet'!$E$12+1,1))-AVERAGE(OFFSET($H$3,0,0,'Données projet'!$E$12+1,1))</f>
        <v>292.83612296867898</v>
      </c>
      <c r="CE5" s="62">
        <f t="shared" ref="CE5:CE68" si="40">$CE$3</f>
        <v>180.48047802041276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1.494917269156721</v>
      </c>
      <c r="CV5" s="14">
        <f t="shared" ref="CV5:CV68" si="41">EXP(-1.0587+0.8836*LN(CU5)+0.284)</f>
        <v>0.65742132363627681</v>
      </c>
      <c r="CW5" s="22">
        <f t="shared" si="13"/>
        <v>3.7486563824478041</v>
      </c>
      <c r="CX5" s="62">
        <f t="shared" si="14"/>
        <v>297.08198971578111</v>
      </c>
      <c r="CY5" s="62">
        <f ca="1">AVERAGE(OFFSET($CX$3,0,0,'Données projet'!$E$13+1,1))-AVERAGE(OFFSET($H$3,0,0,'Données projet'!$E$13+1,1))</f>
        <v>192.93829651668403</v>
      </c>
      <c r="CZ5" s="62">
        <f t="shared" ref="CZ5:CZ68" si="42">$CZ$3</f>
        <v>76.592736352376903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1.312712740741764</v>
      </c>
      <c r="DP5" s="18">
        <f>DO5*VLOOKUP('Données projet'!$B$14,Paramètres!$A$1:$I$89,3,0)*VLOOKUP('Données projet'!$B$14,Paramètres!$A$1:$I$89,5,0)</f>
        <v>0.88056770648957527</v>
      </c>
      <c r="DQ5" s="14">
        <f t="shared" ref="DQ5:DQ68" si="43">EXP(-1.0587+0.8836*LN(DP5)+0.284)</f>
        <v>0.41185508706430995</v>
      </c>
      <c r="DR5" s="22">
        <f t="shared" si="16"/>
        <v>2.2509696987730163</v>
      </c>
      <c r="DS5" s="62">
        <f t="shared" si="17"/>
        <v>295.58430303210633</v>
      </c>
      <c r="DT5" s="62">
        <f ca="1">AVERAGE(OFFSET($DS$3,0,0,'Données projet'!$E$14+1,1))-AVERAGE(OFFSET($H$3,0,0,'Données projet'!$E$14+1,1))</f>
        <v>66.964554307546564</v>
      </c>
      <c r="DU5" s="62">
        <f t="shared" ref="DU5:DU68" si="44">$DU$3</f>
        <v>21.162700178818568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1.2</v>
      </c>
      <c r="EJ5" s="13">
        <f>IF('Données projet'!$A$192&gt;35,EJ4+EI5-ER4,IF(A5&lt;'Données projet'!$A$192,$EG$205^A5,IF(A5='Données projet'!$A$192,'Données projet'!$B$192,EJ4+EI5-ER4)))</f>
        <v>1.312712740741764</v>
      </c>
      <c r="EK5" s="18">
        <f>EJ5*VLOOKUP('Données projet'!$B$15,Paramètres!$A$1:$I$89,3,0)*VLOOKUP('Données projet'!$B$15,Paramètres!$A$1:$I$89,5,0)</f>
        <v>1.2696557628454344</v>
      </c>
      <c r="EL5" s="14">
        <f t="shared" ref="EL5:EL68" si="45">EXP(-1.0587+0.8836*LN(EK5)+0.284)</f>
        <v>0.56907434090738995</v>
      </c>
      <c r="EM5" s="22">
        <f t="shared" si="19"/>
        <v>3.2024549307028356</v>
      </c>
      <c r="EN5" s="62">
        <f t="shared" si="20"/>
        <v>296.53578826403617</v>
      </c>
      <c r="EO5" s="62">
        <f ca="1">AVERAGE(OFFSET($EN$3,0,0,'Données projet'!$E$15+1,1))-AVERAGE(OFFSET($H$3,0,0,'Données projet'!$E$15+1,1))</f>
        <v>146.90952320473599</v>
      </c>
      <c r="EP5" s="62">
        <f t="shared" ref="EP5:EP68" si="46">$EP$3</f>
        <v>56.347130462109817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1.2</v>
      </c>
      <c r="FE5" s="13">
        <f>IF('Données projet'!$A$218&gt;35,FE4+FD5-FM4,IF(A5&lt;'Données projet'!$A$218,$FB$205^A5,IF(A5='Données projet'!$A$218,'Données projet'!$B$218,FE4+FD5-FM4)))</f>
        <v>1.312712740741764</v>
      </c>
      <c r="FF5" s="18">
        <f>FE5*VLOOKUP('Données projet'!$B$16,Paramètres!$A$1:$I$89,3,0)*VLOOKUP('Données projet'!$B$16,Paramètres!$A$1:$I$89,5,0)</f>
        <v>1.4130039941344348</v>
      </c>
      <c r="FG5" s="14">
        <f t="shared" ref="FG5:FG68" si="47">EXP(-1.0587+0.8836*LN(FF5)+0.284)</f>
        <v>0.62548768551477418</v>
      </c>
      <c r="FH5" s="22">
        <f t="shared" si="22"/>
        <v>3.5503730087223722</v>
      </c>
      <c r="FI5" s="62">
        <f t="shared" si="23"/>
        <v>296.88370634205569</v>
      </c>
      <c r="FJ5" s="62">
        <f ca="1">AVERAGE(OFFSET($FI$3,0,0,'Données projet'!$E$16+1,1))-AVERAGE(OFFSET($H$3,0,0,'Données projet'!$E$16+1,1))</f>
        <v>176.21892815766847</v>
      </c>
      <c r="FK5" s="62">
        <f t="shared" ref="FK5:FK68" si="48">$FK$3</f>
        <v>69.239647548491234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0.9</v>
      </c>
      <c r="FZ5" s="13">
        <f>IF('Données projet'!$A$244&gt;35,FZ4+FY5-GH4,IF(A5&lt;'Données projet'!$A$244,$FW$205^A5,IF(A5='Données projet'!$A$244,'Données projet'!$B$244,FZ4+FY5-GH4)))</f>
        <v>1.335141362540313</v>
      </c>
      <c r="GA5" s="18">
        <f>FZ5*VLOOKUP('Données projet'!$B$17,Paramètres!$A$1:$I$89,3,0)*VLOOKUP('Données projet'!$B$17,Paramètres!$A$1:$I$89,5,0)</f>
        <v>1.0622384680370731</v>
      </c>
      <c r="GB5" s="14">
        <f t="shared" ref="GB5:GB68" si="49">EXP(-1.0587+0.8836*LN(GA5)+0.284)</f>
        <v>0.48609577476968402</v>
      </c>
      <c r="GC5" s="22">
        <f t="shared" si="25"/>
        <v>2.6966821395551013</v>
      </c>
      <c r="GD5" s="62">
        <f t="shared" si="26"/>
        <v>296.03001547288841</v>
      </c>
      <c r="GE5" s="62">
        <f ca="1">AVERAGE(OFFSET($GD$3,0,0,'Données projet'!$E$17+1,1))-AVERAGE(OFFSET($H$3,0,0,'Données projet'!$E$17+1,1))</f>
        <v>70.834027458412379</v>
      </c>
      <c r="GF5" s="62">
        <f t="shared" ref="GF5:GF68" si="50">$GF$3</f>
        <v>74.346987922112362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1.7333333333333334</v>
      </c>
      <c r="GU5" s="13">
        <f>IF('Données projet'!$A$270&gt;35,GU4+GT5-HC4,IF(A5&lt;'Données projet'!$A$270,$GR$205^A5,IF(A5='Données projet'!$A$270,'Données projet'!$B$270,GU4+GT5-HC4)))</f>
        <v>1.5440562337103121</v>
      </c>
      <c r="GV5" s="18">
        <f>GU5*VLOOKUP('Données projet'!$B$18,Paramètres!$A$1:$I$89,3,0)*VLOOKUP('Données projet'!$B$18,Paramètres!$A$1:$I$89,5,0)</f>
        <v>1.2043638622940436</v>
      </c>
      <c r="GW5" s="14">
        <f t="shared" ref="GW5:GW68" si="51">EXP(-1.0587+0.8836*LN(GV5)+0.284)</f>
        <v>0.54313724182374978</v>
      </c>
      <c r="GX5" s="22">
        <f t="shared" si="28"/>
        <v>3.0435644230051562</v>
      </c>
      <c r="GY5" s="62">
        <f t="shared" si="29"/>
        <v>296.37689775633845</v>
      </c>
      <c r="GZ5" s="62">
        <f ca="1">AVERAGE(OFFSET($GY$3,0,0,'Données projet'!$E$18+1,1))-AVERAGE(OFFSET($H$3,0,0,'Données projet'!$E$18+1,1))</f>
        <v>99.222094917553648</v>
      </c>
      <c r="HA5" s="62">
        <f t="shared" ref="HA5:HA68" si="52">$HA$3</f>
        <v>98.371477396766352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</v>
      </c>
      <c r="N6" s="14">
        <f>IF('Données projet'!$A$36&gt;35,N5+M6-V5,IF(A6&lt;'Données projet'!$A$36,$K$205^A6,IF(A6='Données projet'!$A$36,'Données projet'!$B$36,N5+M6-V5)))</f>
        <v>1.6943513036291473</v>
      </c>
      <c r="O6" s="14">
        <f>N6*VLOOKUP('Données projet'!$B$9,Paramètres!$A$1:$I$89,3,0)*VLOOKUP('Données projet'!$B$9,Paramètres!$A$1:$I$89,5,0)</f>
        <v>0.79295641009844098</v>
      </c>
      <c r="P6" s="14">
        <f t="shared" si="33"/>
        <v>0.37542981454665864</v>
      </c>
      <c r="Q6" s="22">
        <f t="shared" si="2"/>
        <v>2.0349393412568815</v>
      </c>
      <c r="R6" s="62">
        <f t="shared" si="0"/>
        <v>295.36827267459017</v>
      </c>
      <c r="S6" s="62">
        <f ca="1">AVERAGE(OFFSET($R$3,0,0,'Données projet'!$E$9+1,1))-AVERAGE(OFFSET($H$3,0,0,'Données projet'!$E$9+1,1))</f>
        <v>181.48161394994878</v>
      </c>
      <c r="T6" s="62">
        <f t="shared" si="34"/>
        <v>141.1874974464024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298.12947290764731</v>
      </c>
      <c r="AN6" s="62">
        <f ca="1">AVERAGE(OFFSET($AM$3,0,0,'Données projet'!$E$10+1,1))-AVERAGE(OFFSET($H$3,0,0,'Données projet'!$E$10+1,1))</f>
        <v>340.81036749486179</v>
      </c>
      <c r="AO6" s="62">
        <f t="shared" si="36"/>
        <v>208.88199836488013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296.25078815720536</v>
      </c>
      <c r="BI6" s="62">
        <f ca="1">AVERAGE(OFFSET($BH$3,0,0,'Données projet'!$E$11+1,1))-AVERAGE(OFFSET($H$3,0,0,'Données projet'!$E$11+1,1))</f>
        <v>257.96727373333601</v>
      </c>
      <c r="BJ6" s="62">
        <f t="shared" si="38"/>
        <v>194.52809733694494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1.7220708720671365</v>
      </c>
      <c r="CA6" s="14">
        <f t="shared" si="39"/>
        <v>0.74494935243383209</v>
      </c>
      <c r="CB6" s="22">
        <f t="shared" si="10"/>
        <v>4.2967268910058536</v>
      </c>
      <c r="CC6" s="62">
        <f t="shared" si="11"/>
        <v>297.63006022433916</v>
      </c>
      <c r="CD6" s="62">
        <f ca="1">AVERAGE(OFFSET($CC$3,0,0,'Données projet'!$E$12+1,1))-AVERAGE(OFFSET($H$3,0,0,'Données projet'!$E$12+1,1))</f>
        <v>292.83612296867898</v>
      </c>
      <c r="CE6" s="62">
        <f t="shared" si="40"/>
        <v>180.48047802041276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1.7127816798656297</v>
      </c>
      <c r="CV6" s="14">
        <f t="shared" si="41"/>
        <v>0.74139757307864129</v>
      </c>
      <c r="CW6" s="22">
        <f t="shared" si="13"/>
        <v>4.2743621988779381</v>
      </c>
      <c r="CX6" s="62">
        <f t="shared" si="14"/>
        <v>297.60769553221127</v>
      </c>
      <c r="CY6" s="62">
        <f ca="1">AVERAGE(OFFSET($CX$3,0,0,'Données projet'!$E$13+1,1))-AVERAGE(OFFSET($H$3,0,0,'Données projet'!$E$13+1,1))</f>
        <v>192.93829651668403</v>
      </c>
      <c r="CZ6" s="62">
        <f t="shared" si="42"/>
        <v>76.592736352376903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1.5040232524285473</v>
      </c>
      <c r="DP6" s="18">
        <f>DO6*VLOOKUP('Données projet'!$B$14,Paramètres!$A$1:$I$89,3,0)*VLOOKUP('Données projet'!$B$14,Paramètres!$A$1:$I$89,5,0)</f>
        <v>1.0088987977290695</v>
      </c>
      <c r="DQ6" s="14">
        <f t="shared" si="43"/>
        <v>0.46446373281696007</v>
      </c>
      <c r="DR6" s="22">
        <f t="shared" si="16"/>
        <v>2.566106407367668</v>
      </c>
      <c r="DS6" s="62">
        <f t="shared" si="17"/>
        <v>295.89943974070098</v>
      </c>
      <c r="DT6" s="62">
        <f ca="1">AVERAGE(OFFSET($DS$3,0,0,'Données projet'!$E$14+1,1))-AVERAGE(OFFSET($H$3,0,0,'Données projet'!$E$14+1,1))</f>
        <v>66.964554307546564</v>
      </c>
      <c r="DU6" s="62">
        <f t="shared" si="44"/>
        <v>21.162700178818568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1.2</v>
      </c>
      <c r="EJ6" s="13">
        <f>IF('Données projet'!$A$192&gt;35,EJ5+EI6-ER5,IF(A6&lt;'Données projet'!$A$192,$EG$205^A6,IF(A6='Données projet'!$A$192,'Données projet'!$B$192,EJ5+EI6-ER5)))</f>
        <v>1.5040232524285473</v>
      </c>
      <c r="EK6" s="18">
        <f>EJ6*VLOOKUP('Données projet'!$B$15,Paramètres!$A$1:$I$89,3,0)*VLOOKUP('Données projet'!$B$15,Paramètres!$A$1:$I$89,5,0)</f>
        <v>1.4546912897488911</v>
      </c>
      <c r="EL6" s="14">
        <f t="shared" si="45"/>
        <v>0.64176551639126822</v>
      </c>
      <c r="EM6" s="22">
        <f t="shared" si="19"/>
        <v>3.6513289373607773</v>
      </c>
      <c r="EN6" s="62">
        <f t="shared" si="20"/>
        <v>296.98466227069412</v>
      </c>
      <c r="EO6" s="62">
        <f ca="1">AVERAGE(OFFSET($EN$3,0,0,'Données projet'!$E$15+1,1))-AVERAGE(OFFSET($H$3,0,0,'Données projet'!$E$15+1,1))</f>
        <v>146.90952320473599</v>
      </c>
      <c r="EP6" s="62">
        <f t="shared" si="46"/>
        <v>56.347130462109817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1.2</v>
      </c>
      <c r="FE6" s="13">
        <f>IF('Données projet'!$A$218&gt;35,FE5+FD6-FM5,IF(A6&lt;'Données projet'!$A$218,$FB$205^A6,IF(A6='Données projet'!$A$218,'Données projet'!$B$218,FE5+FD6-FM5)))</f>
        <v>1.5040232524285473</v>
      </c>
      <c r="FF6" s="18">
        <f>FE6*VLOOKUP('Données projet'!$B$16,Paramètres!$A$1:$I$89,3,0)*VLOOKUP('Données projet'!$B$16,Paramètres!$A$1:$I$89,5,0)</f>
        <v>1.6189306289140883</v>
      </c>
      <c r="FG6" s="14">
        <f t="shared" si="47"/>
        <v>0.70538486562354785</v>
      </c>
      <c r="FH6" s="22">
        <f t="shared" si="22"/>
        <v>4.0481828196530492</v>
      </c>
      <c r="FI6" s="62">
        <f t="shared" si="23"/>
        <v>297.38151615298636</v>
      </c>
      <c r="FJ6" s="62">
        <f ca="1">AVERAGE(OFFSET($FI$3,0,0,'Données projet'!$E$16+1,1))-AVERAGE(OFFSET($H$3,0,0,'Données projet'!$E$16+1,1))</f>
        <v>176.21892815766847</v>
      </c>
      <c r="FK6" s="62">
        <f t="shared" si="48"/>
        <v>69.239647548491234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0.9</v>
      </c>
      <c r="FZ6" s="13">
        <f>IF('Données projet'!$A$244&gt;35,FZ5+FY6-GH5,IF(A6&lt;'Données projet'!$A$244,$FW$205^A6,IF(A6='Données projet'!$A$244,'Données projet'!$B$244,FZ5+FY6-GH5)))</f>
        <v>1.5427333776762726</v>
      </c>
      <c r="GA6" s="18">
        <f>FZ6*VLOOKUP('Données projet'!$B$17,Paramètres!$A$1:$I$89,3,0)*VLOOKUP('Données projet'!$B$17,Paramètres!$A$1:$I$89,5,0)</f>
        <v>1.2273986752792425</v>
      </c>
      <c r="GB6" s="14">
        <f t="shared" si="49"/>
        <v>0.55230603074536166</v>
      </c>
      <c r="GC6" s="22">
        <f t="shared" si="25"/>
        <v>3.0996523629928521</v>
      </c>
      <c r="GD6" s="62">
        <f t="shared" si="26"/>
        <v>296.43298569632617</v>
      </c>
      <c r="GE6" s="62">
        <f ca="1">AVERAGE(OFFSET($GD$3,0,0,'Données projet'!$E$17+1,1))-AVERAGE(OFFSET($H$3,0,0,'Données projet'!$E$17+1,1))</f>
        <v>70.834027458412379</v>
      </c>
      <c r="GF6" s="62">
        <f t="shared" si="50"/>
        <v>74.346987922112362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1.7333333333333334</v>
      </c>
      <c r="GU6" s="13">
        <f>IF('Données projet'!$A$270&gt;35,GU5+GT6-HC5,IF(A6&lt;'Données projet'!$A$270,$GR$205^A6,IF(A6='Données projet'!$A$270,'Données projet'!$B$270,GU5+GT6-HC5)))</f>
        <v>1.918645191625306</v>
      </c>
      <c r="GV6" s="18">
        <f>GU6*VLOOKUP('Données projet'!$B$18,Paramètres!$A$1:$I$89,3,0)*VLOOKUP('Données projet'!$B$18,Paramètres!$A$1:$I$89,5,0)</f>
        <v>1.4965432494677386</v>
      </c>
      <c r="GW6" s="14">
        <f t="shared" si="51"/>
        <v>0.658053109836362</v>
      </c>
      <c r="GX6" s="22">
        <f t="shared" si="28"/>
        <v>3.7525886591213085</v>
      </c>
      <c r="GY6" s="62">
        <f t="shared" si="29"/>
        <v>297.08592199245464</v>
      </c>
      <c r="GZ6" s="62">
        <f ca="1">AVERAGE(OFFSET($GY$3,0,0,'Données projet'!$E$18+1,1))-AVERAGE(OFFSET($H$3,0,0,'Données projet'!$E$18+1,1))</f>
        <v>99.222094917553648</v>
      </c>
      <c r="HA6" s="62">
        <f t="shared" si="52"/>
        <v>98.371477396766352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</v>
      </c>
      <c r="N7" s="14">
        <f>IF('Données projet'!$A$36&gt;35,N6+M7-V6,IF(A7&lt;'Données projet'!$A$36,$K$205^A7,IF(A7='Données projet'!$A$36,'Données projet'!$B$36,N6+M7-V6)))</f>
        <v>2.0199375756832532</v>
      </c>
      <c r="O7" s="14">
        <f>N7*VLOOKUP('Données projet'!$B$9,Paramètres!$A$1:$I$89,3,0)*VLOOKUP('Données projet'!$B$9,Paramètres!$A$1:$I$89,5,0)</f>
        <v>0.94533078541976245</v>
      </c>
      <c r="P7" s="14">
        <f t="shared" si="33"/>
        <v>0.43850839454619067</v>
      </c>
      <c r="Q7" s="22">
        <f t="shared" si="2"/>
        <v>2.4101865717740352</v>
      </c>
      <c r="R7" s="62">
        <f t="shared" si="0"/>
        <v>295.74351990510735</v>
      </c>
      <c r="S7" s="62">
        <f ca="1">AVERAGE(OFFSET($R$3,0,0,'Données projet'!$E$9+1,1))-AVERAGE(OFFSET($H$3,0,0,'Données projet'!$E$9+1,1))</f>
        <v>181.48161394994878</v>
      </c>
      <c r="T7" s="62">
        <f t="shared" si="34"/>
        <v>141.1874974464024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299.23319508130498</v>
      </c>
      <c r="AN7" s="62">
        <f ca="1">AVERAGE(OFFSET($AM$3,0,0,'Données projet'!$E$10+1,1))-AVERAGE(OFFSET($H$3,0,0,'Données projet'!$E$10+1,1))</f>
        <v>340.81036749486179</v>
      </c>
      <c r="AO7" s="62">
        <f t="shared" si="36"/>
        <v>208.88199836488013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296.93564317983407</v>
      </c>
      <c r="BI7" s="62">
        <f ca="1">AVERAGE(OFFSET($BH$3,0,0,'Données projet'!$E$11+1,1))-AVERAGE(OFFSET($H$3,0,0,'Données projet'!$E$11+1,1))</f>
        <v>257.96727373333601</v>
      </c>
      <c r="BJ7" s="62">
        <f t="shared" si="38"/>
        <v>194.52809733694494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2.1341117843442179</v>
      </c>
      <c r="CA7" s="14">
        <f t="shared" si="39"/>
        <v>0.90042667189585779</v>
      </c>
      <c r="CB7" s="22">
        <f t="shared" si="10"/>
        <v>5.2851544779514645</v>
      </c>
      <c r="CC7" s="62">
        <f t="shared" si="11"/>
        <v>298.61848781128475</v>
      </c>
      <c r="CD7" s="62">
        <f ca="1">AVERAGE(OFFSET($CC$3,0,0,'Données projet'!$E$12+1,1))-AVERAGE(OFFSET($H$3,0,0,'Données projet'!$E$12+1,1))</f>
        <v>292.83612296867898</v>
      </c>
      <c r="CE7" s="62">
        <f t="shared" si="40"/>
        <v>180.48047802041276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1.9623969455769126</v>
      </c>
      <c r="CV7" s="14">
        <f t="shared" si="41"/>
        <v>0.83610059729521113</v>
      </c>
      <c r="CW7" s="22">
        <f t="shared" si="13"/>
        <v>4.8740498871689484</v>
      </c>
      <c r="CX7" s="62">
        <f t="shared" si="14"/>
        <v>298.20738322050227</v>
      </c>
      <c r="CY7" s="62">
        <f ca="1">AVERAGE(OFFSET($CX$3,0,0,'Données projet'!$E$13+1,1))-AVERAGE(OFFSET($H$3,0,0,'Données projet'!$E$13+1,1))</f>
        <v>192.93829651668403</v>
      </c>
      <c r="CZ7" s="62">
        <f t="shared" si="42"/>
        <v>76.592736352376903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1.7232147397057538</v>
      </c>
      <c r="DP7" s="18">
        <f>DO7*VLOOKUP('Données projet'!$B$14,Paramètres!$A$1:$I$89,3,0)*VLOOKUP('Données projet'!$B$14,Paramètres!$A$1:$I$89,5,0)</f>
        <v>1.1559324473946198</v>
      </c>
      <c r="DQ7" s="14">
        <f t="shared" si="43"/>
        <v>0.5237923868804355</v>
      </c>
      <c r="DR7" s="22">
        <f t="shared" si="16"/>
        <v>2.9255207530290543</v>
      </c>
      <c r="DS7" s="62">
        <f t="shared" si="17"/>
        <v>296.25885408636236</v>
      </c>
      <c r="DT7" s="62">
        <f ca="1">AVERAGE(OFFSET($DS$3,0,0,'Données projet'!$E$14+1,1))-AVERAGE(OFFSET($H$3,0,0,'Données projet'!$E$14+1,1))</f>
        <v>66.964554307546564</v>
      </c>
      <c r="DU7" s="62">
        <f t="shared" si="44"/>
        <v>21.162700178818568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1.2</v>
      </c>
      <c r="EJ7" s="13">
        <f>IF('Données projet'!$A$192&gt;35,EJ6+EI7-ER6,IF(A7&lt;'Données projet'!$A$192,$EG$205^A7,IF(A7='Données projet'!$A$192,'Données projet'!$B$192,EJ6+EI7-ER6)))</f>
        <v>1.7232147397057538</v>
      </c>
      <c r="EK7" s="18">
        <f>EJ7*VLOOKUP('Données projet'!$B$15,Paramètres!$A$1:$I$89,3,0)*VLOOKUP('Données projet'!$B$15,Paramètres!$A$1:$I$89,5,0)</f>
        <v>1.6666932962434051</v>
      </c>
      <c r="EL7" s="14">
        <f t="shared" si="45"/>
        <v>0.72374195851500689</v>
      </c>
      <c r="EM7" s="22">
        <f t="shared" si="19"/>
        <v>4.1633414020375676</v>
      </c>
      <c r="EN7" s="62">
        <f t="shared" si="20"/>
        <v>297.4966747353709</v>
      </c>
      <c r="EO7" s="62">
        <f ca="1">AVERAGE(OFFSET($EN$3,0,0,'Données projet'!$E$15+1,1))-AVERAGE(OFFSET($H$3,0,0,'Données projet'!$E$15+1,1))</f>
        <v>146.90952320473599</v>
      </c>
      <c r="EP7" s="62">
        <f t="shared" si="46"/>
        <v>56.347130462109817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1.2</v>
      </c>
      <c r="FE7" s="13">
        <f>IF('Données projet'!$A$218&gt;35,FE6+FD7-FM6,IF(A7&lt;'Données projet'!$A$218,$FB$205^A7,IF(A7='Données projet'!$A$218,'Données projet'!$B$218,FE6+FD7-FM6)))</f>
        <v>1.7232147397057538</v>
      </c>
      <c r="FF7" s="18">
        <f>FE7*VLOOKUP('Données projet'!$B$16,Paramètres!$A$1:$I$89,3,0)*VLOOKUP('Données projet'!$B$16,Paramètres!$A$1:$I$89,5,0)</f>
        <v>1.8548683458192732</v>
      </c>
      <c r="FG7" s="14">
        <f t="shared" si="47"/>
        <v>0.79548777725536501</v>
      </c>
      <c r="FH7" s="22">
        <f t="shared" si="22"/>
        <v>4.6160369143549937</v>
      </c>
      <c r="FI7" s="62">
        <f t="shared" si="23"/>
        <v>297.94937024768831</v>
      </c>
      <c r="FJ7" s="62">
        <f ca="1">AVERAGE(OFFSET($FI$3,0,0,'Données projet'!$E$16+1,1))-AVERAGE(OFFSET($H$3,0,0,'Données projet'!$E$16+1,1))</f>
        <v>176.21892815766847</v>
      </c>
      <c r="FK7" s="62">
        <f t="shared" si="48"/>
        <v>69.239647548491234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0.9</v>
      </c>
      <c r="FZ7" s="13">
        <f>IF('Données projet'!$A$244&gt;35,FZ6+FY7-GH6,IF(A7&lt;'Données projet'!$A$244,$FW$205^A7,IF(A7='Données projet'!$A$244,'Données projet'!$B$244,FZ6+FY7-GH6)))</f>
        <v>1.7826024579660036</v>
      </c>
      <c r="GA7" s="18">
        <f>FZ7*VLOOKUP('Données projet'!$B$17,Paramètres!$A$1:$I$89,3,0)*VLOOKUP('Données projet'!$B$17,Paramètres!$A$1:$I$89,5,0)</f>
        <v>1.4182385155577526</v>
      </c>
      <c r="GB7" s="14">
        <f t="shared" si="49"/>
        <v>0.62753466997779961</v>
      </c>
      <c r="GC7" s="22">
        <f t="shared" si="25"/>
        <v>3.5630549648077534</v>
      </c>
      <c r="GD7" s="62">
        <f t="shared" si="26"/>
        <v>296.89638829814106</v>
      </c>
      <c r="GE7" s="62">
        <f ca="1">AVERAGE(OFFSET($GD$3,0,0,'Données projet'!$E$17+1,1))-AVERAGE(OFFSET($H$3,0,0,'Données projet'!$E$17+1,1))</f>
        <v>70.834027458412379</v>
      </c>
      <c r="GF7" s="62">
        <f t="shared" si="50"/>
        <v>74.346987922112362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1.7333333333333334</v>
      </c>
      <c r="GU7" s="13">
        <f>IF('Données projet'!$A$270&gt;35,GU6+GT7-HC6,IF(A7&lt;'Données projet'!$A$270,$GR$205^A7,IF(A7='Données projet'!$A$270,'Données projet'!$B$270,GU6+GT7-HC6)))</f>
        <v>2.3841096528596739</v>
      </c>
      <c r="GV7" s="18">
        <f>GU7*VLOOKUP('Données projet'!$B$18,Paramètres!$A$1:$I$89,3,0)*VLOOKUP('Données projet'!$B$18,Paramètres!$A$1:$I$89,5,0)</f>
        <v>1.8596055292305458</v>
      </c>
      <c r="GW7" s="14">
        <f t="shared" si="51"/>
        <v>0.79728264243354652</v>
      </c>
      <c r="GX7" s="22">
        <f t="shared" si="28"/>
        <v>4.6274135656482942</v>
      </c>
      <c r="GY7" s="62">
        <f t="shared" si="29"/>
        <v>297.9607468989816</v>
      </c>
      <c r="GZ7" s="62">
        <f ca="1">AVERAGE(OFFSET($GY$3,0,0,'Données projet'!$E$18+1,1))-AVERAGE(OFFSET($H$3,0,0,'Données projet'!$E$18+1,1))</f>
        <v>99.222094917553648</v>
      </c>
      <c r="HA7" s="62">
        <f t="shared" si="52"/>
        <v>98.371477396766352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</v>
      </c>
      <c r="N8" s="14">
        <f>IF('Données projet'!$A$36&gt;35,N7+M8-V7,IF(A8&lt;'Données projet'!$A$36,$K$205^A8,IF(A8='Données projet'!$A$36,'Données projet'!$B$36,N7+M8-V7)))</f>
        <v>2.4080884530367643</v>
      </c>
      <c r="O8" s="14">
        <f>N8*VLOOKUP('Données projet'!$B$9,Paramètres!$A$1:$I$89,3,0)*VLOOKUP('Données projet'!$B$9,Paramètres!$A$1:$I$89,5,0)</f>
        <v>1.1269853960212057</v>
      </c>
      <c r="P8" s="14">
        <f t="shared" si="33"/>
        <v>0.51218524644792107</v>
      </c>
      <c r="Q8" s="22">
        <f t="shared" si="2"/>
        <v>2.8548888689670626</v>
      </c>
      <c r="R8" s="62">
        <f t="shared" si="0"/>
        <v>296.18822220230038</v>
      </c>
      <c r="S8" s="62">
        <f ca="1">AVERAGE(OFFSET($R$3,0,0,'Données projet'!$E$9+1,1))-AVERAGE(OFFSET($H$3,0,0,'Données projet'!$E$9+1,1))</f>
        <v>181.48161394994878</v>
      </c>
      <c r="T8" s="62">
        <f t="shared" si="34"/>
        <v>141.1874974464024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300.59185301917586</v>
      </c>
      <c r="AN8" s="62">
        <f ca="1">AVERAGE(OFFSET($AM$3,0,0,'Données projet'!$E$10+1,1))-AVERAGE(OFFSET($H$3,0,0,'Données projet'!$E$10+1,1))</f>
        <v>340.81036749486179</v>
      </c>
      <c r="AO8" s="62">
        <f t="shared" si="36"/>
        <v>208.88199836488013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297.78187669303162</v>
      </c>
      <c r="BI8" s="62">
        <f ca="1">AVERAGE(OFFSET($BH$3,0,0,'Données projet'!$E$11+1,1))-AVERAGE(OFFSET($H$3,0,0,'Données projet'!$E$11+1,1))</f>
        <v>257.96727373333601</v>
      </c>
      <c r="BJ8" s="62">
        <f t="shared" si="38"/>
        <v>194.52809733694494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2.6447419684939089</v>
      </c>
      <c r="CA8" s="14">
        <f t="shared" si="39"/>
        <v>1.0883534414958294</v>
      </c>
      <c r="CB8" s="22">
        <f t="shared" si="10"/>
        <v>6.5018078390654601</v>
      </c>
      <c r="CC8" s="62">
        <f t="shared" si="11"/>
        <v>299.83514117239878</v>
      </c>
      <c r="CD8" s="62">
        <f ca="1">AVERAGE(OFFSET($CC$3,0,0,'Données projet'!$E$12+1,1))-AVERAGE(OFFSET($H$3,0,0,'Données projet'!$E$12+1,1))</f>
        <v>292.83612296867898</v>
      </c>
      <c r="CE8" s="62">
        <f t="shared" si="40"/>
        <v>180.48047802041276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2.2483903332686932</v>
      </c>
      <c r="CV8" s="14">
        <f t="shared" si="41"/>
        <v>0.94290058961827439</v>
      </c>
      <c r="CW8" s="22">
        <f t="shared" si="13"/>
        <v>5.5581650240281348</v>
      </c>
      <c r="CX8" s="62">
        <f t="shared" si="14"/>
        <v>298.89149835736146</v>
      </c>
      <c r="CY8" s="62">
        <f ca="1">AVERAGE(OFFSET($CX$3,0,0,'Données projet'!$E$13+1,1))-AVERAGE(OFFSET($H$3,0,0,'Données projet'!$E$13+1,1))</f>
        <v>192.93829651668403</v>
      </c>
      <c r="CZ8" s="62">
        <f t="shared" si="42"/>
        <v>76.592736352376903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1.9743504858348202</v>
      </c>
      <c r="DP8" s="18">
        <f>DO8*VLOOKUP('Données projet'!$B$14,Paramètres!$A$1:$I$89,3,0)*VLOOKUP('Données projet'!$B$14,Paramètres!$A$1:$I$89,5,0)</f>
        <v>1.3243943058979974</v>
      </c>
      <c r="DQ8" s="14">
        <f t="shared" si="43"/>
        <v>0.59069943500201205</v>
      </c>
      <c r="DR8" s="22">
        <f t="shared" si="16"/>
        <v>3.3354549320675164</v>
      </c>
      <c r="DS8" s="62">
        <f t="shared" si="17"/>
        <v>296.66878826540085</v>
      </c>
      <c r="DT8" s="62">
        <f ca="1">AVERAGE(OFFSET($DS$3,0,0,'Données projet'!$E$14+1,1))-AVERAGE(OFFSET($H$3,0,0,'Données projet'!$E$14+1,1))</f>
        <v>66.964554307546564</v>
      </c>
      <c r="DU8" s="62">
        <f t="shared" si="44"/>
        <v>21.162700178818568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1.2</v>
      </c>
      <c r="EJ8" s="13">
        <f>IF('Données projet'!$A$192&gt;35,EJ7+EI8-ER7,IF(A8&lt;'Données projet'!$A$192,$EG$205^A8,IF(A8='Données projet'!$A$192,'Données projet'!$B$192,EJ7+EI8-ER7)))</f>
        <v>1.9743504858348202</v>
      </c>
      <c r="EK8" s="18">
        <f>EJ8*VLOOKUP('Données projet'!$B$15,Paramètres!$A$1:$I$89,3,0)*VLOOKUP('Données projet'!$B$15,Paramètres!$A$1:$I$89,5,0)</f>
        <v>1.9095917898994379</v>
      </c>
      <c r="EL8" s="14">
        <f t="shared" si="45"/>
        <v>0.81618972839261894</v>
      </c>
      <c r="EM8" s="22">
        <f t="shared" si="19"/>
        <v>4.7474028110253315</v>
      </c>
      <c r="EN8" s="62">
        <f t="shared" si="20"/>
        <v>298.08073614435864</v>
      </c>
      <c r="EO8" s="62">
        <f ca="1">AVERAGE(OFFSET($EN$3,0,0,'Données projet'!$E$15+1,1))-AVERAGE(OFFSET($H$3,0,0,'Données projet'!$E$15+1,1))</f>
        <v>146.90952320473599</v>
      </c>
      <c r="EP8" s="62">
        <f t="shared" si="46"/>
        <v>56.347130462109817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1.2</v>
      </c>
      <c r="FE8" s="13">
        <f>IF('Données projet'!$A$218&gt;35,FE7+FD8-FM7,IF(A8&lt;'Données projet'!$A$218,$FB$205^A8,IF(A8='Données projet'!$A$218,'Données projet'!$B$218,FE7+FD8-FM7)))</f>
        <v>1.9743504858348202</v>
      </c>
      <c r="FF8" s="18">
        <f>FE8*VLOOKUP('Données projet'!$B$16,Paramètres!$A$1:$I$89,3,0)*VLOOKUP('Données projet'!$B$16,Paramètres!$A$1:$I$89,5,0)</f>
        <v>2.1251908629526004</v>
      </c>
      <c r="FG8" s="14">
        <f t="shared" si="47"/>
        <v>0.89710005785748825</v>
      </c>
      <c r="FH8" s="22">
        <f t="shared" si="22"/>
        <v>5.2638233537442369</v>
      </c>
      <c r="FI8" s="62">
        <f t="shared" si="23"/>
        <v>298.59715668707753</v>
      </c>
      <c r="FJ8" s="62">
        <f ca="1">AVERAGE(OFFSET($FI$3,0,0,'Données projet'!$E$16+1,1))-AVERAGE(OFFSET($H$3,0,0,'Données projet'!$E$16+1,1))</f>
        <v>176.21892815766847</v>
      </c>
      <c r="FK8" s="62">
        <f t="shared" si="48"/>
        <v>69.239647548491234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0.9</v>
      </c>
      <c r="FZ8" s="13">
        <f>IF('Données projet'!$A$244&gt;35,FZ7+FY8-GH7,IF(A8&lt;'Données projet'!$A$244,$FW$205^A8,IF(A8='Données projet'!$A$244,'Données projet'!$B$244,FZ7+FY8-GH7)))</f>
        <v>2.0597671439071181</v>
      </c>
      <c r="GA8" s="18">
        <f>FZ8*VLOOKUP('Données projet'!$B$17,Paramètres!$A$1:$I$89,3,0)*VLOOKUP('Données projet'!$B$17,Paramètres!$A$1:$I$89,5,0)</f>
        <v>1.6387507396925032</v>
      </c>
      <c r="GB8" s="14">
        <f t="shared" si="49"/>
        <v>0.71301007068978661</v>
      </c>
      <c r="GC8" s="22">
        <f t="shared" si="25"/>
        <v>4.0959834114158209</v>
      </c>
      <c r="GD8" s="62">
        <f t="shared" si="26"/>
        <v>297.42931674474914</v>
      </c>
      <c r="GE8" s="62">
        <f ca="1">AVERAGE(OFFSET($GD$3,0,0,'Données projet'!$E$17+1,1))-AVERAGE(OFFSET($H$3,0,0,'Données projet'!$E$17+1,1))</f>
        <v>70.834027458412379</v>
      </c>
      <c r="GF8" s="62">
        <f t="shared" si="50"/>
        <v>74.346987922112362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1.7333333333333334</v>
      </c>
      <c r="GU8" s="13">
        <f>IF('Données projet'!$A$270&gt;35,GU7+GT8-HC7,IF(A8&lt;'Données projet'!$A$270,$GR$205^A8,IF(A8='Données projet'!$A$270,'Données projet'!$B$270,GU7+GT8-HC7)))</f>
        <v>2.9624960684073702</v>
      </c>
      <c r="GV8" s="18">
        <f>GU8*VLOOKUP('Données projet'!$B$18,Paramètres!$A$1:$I$89,3,0)*VLOOKUP('Données projet'!$B$18,Paramètres!$A$1:$I$89,5,0)</f>
        <v>2.3107469333577488</v>
      </c>
      <c r="GW8" s="14">
        <f t="shared" si="51"/>
        <v>0.96597007509604749</v>
      </c>
      <c r="GX8" s="22">
        <f t="shared" si="28"/>
        <v>5.7069487897236959</v>
      </c>
      <c r="GY8" s="62">
        <f t="shared" si="29"/>
        <v>299.04028212305701</v>
      </c>
      <c r="GZ8" s="62">
        <f ca="1">AVERAGE(OFFSET($GY$3,0,0,'Données projet'!$E$18+1,1))-AVERAGE(OFFSET($H$3,0,0,'Données projet'!$E$18+1,1))</f>
        <v>99.222094917553648</v>
      </c>
      <c r="HA8" s="62">
        <f t="shared" si="52"/>
        <v>98.371477396766352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</v>
      </c>
      <c r="N9" s="14">
        <f>IF('Données projet'!$A$36&gt;35,N8+M9-V8,IF(A9&lt;'Données projet'!$A$36,$K$205^A9,IF(A9='Données projet'!$A$36,'Données projet'!$B$36,N8+M9-V8)))</f>
        <v>2.8708263401097907</v>
      </c>
      <c r="O9" s="14">
        <f>N9*VLOOKUP('Données projet'!$B$9,Paramètres!$A$1:$I$89,3,0)*VLOOKUP('Données projet'!$B$9,Paramètres!$A$1:$I$89,5,0)</f>
        <v>1.3435467271713821</v>
      </c>
      <c r="P9" s="14">
        <f t="shared" si="33"/>
        <v>0.59824105978724762</v>
      </c>
      <c r="Q9" s="22">
        <f t="shared" si="2"/>
        <v>3.3819470622862799</v>
      </c>
      <c r="R9" s="62">
        <f t="shared" si="0"/>
        <v>296.71528039561957</v>
      </c>
      <c r="S9" s="62">
        <f ca="1">AVERAGE(OFFSET($R$3,0,0,'Données projet'!$E$9+1,1))-AVERAGE(OFFSET($H$3,0,0,'Données projet'!$E$9+1,1))</f>
        <v>181.48161394994878</v>
      </c>
      <c r="T9" s="62">
        <f t="shared" si="34"/>
        <v>141.1874974464024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302.26453514848305</v>
      </c>
      <c r="AN9" s="62">
        <f ca="1">AVERAGE(OFFSET($AM$3,0,0,'Données projet'!$E$10+1,1))-AVERAGE(OFFSET($H$3,0,0,'Données projet'!$E$10+1,1))</f>
        <v>340.81036749486179</v>
      </c>
      <c r="AO9" s="62">
        <f t="shared" si="36"/>
        <v>208.88199836488013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298.82765185669996</v>
      </c>
      <c r="BI9" s="62">
        <f ca="1">AVERAGE(OFFSET($BH$3,0,0,'Données projet'!$E$11+1,1))-AVERAGE(OFFSET($H$3,0,0,'Données projet'!$E$11+1,1))</f>
        <v>257.96727373333601</v>
      </c>
      <c r="BJ9" s="62">
        <f t="shared" si="38"/>
        <v>194.52809733694494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3.2775509376901719</v>
      </c>
      <c r="CA9" s="14">
        <f t="shared" si="39"/>
        <v>1.315502139804245</v>
      </c>
      <c r="CB9" s="22">
        <f t="shared" si="10"/>
        <v>7.9995674433027766</v>
      </c>
      <c r="CC9" s="62">
        <f t="shared" si="11"/>
        <v>301.33290077663611</v>
      </c>
      <c r="CD9" s="62">
        <f ca="1">AVERAGE(OFFSET($CC$3,0,0,'Données projet'!$E$12+1,1))-AVERAGE(OFFSET($H$3,0,0,'Données projet'!$E$12+1,1))</f>
        <v>292.83612296867898</v>
      </c>
      <c r="CE9" s="62">
        <f t="shared" si="40"/>
        <v>180.48047802041276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2.5760634728515348</v>
      </c>
      <c r="CV9" s="14">
        <f t="shared" si="41"/>
        <v>1.0633427661439394</v>
      </c>
      <c r="CW9" s="22">
        <f t="shared" si="13"/>
        <v>6.3386325329171171</v>
      </c>
      <c r="CX9" s="62">
        <f t="shared" si="14"/>
        <v>299.67196586625045</v>
      </c>
      <c r="CY9" s="62">
        <f ca="1">AVERAGE(OFFSET($CX$3,0,0,'Données projet'!$E$13+1,1))-AVERAGE(OFFSET($H$3,0,0,'Données projet'!$E$13+1,1))</f>
        <v>192.93829651668403</v>
      </c>
      <c r="CZ9" s="62">
        <f t="shared" si="42"/>
        <v>76.592736352376903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1.2</v>
      </c>
      <c r="DO9" s="13">
        <f>IF('Données projet'!$A$166&gt;35,DO8+DN9-DW8,IF(A9&lt;'Données projet'!$A$166,$DL$205^A9,IF(A9='Données projet'!$A$166,'Données projet'!$B$166,DO8+DN9-DW8)))</f>
        <v>2.2620859438457455</v>
      </c>
      <c r="DP9" s="18">
        <f>DO9*VLOOKUP('Données projet'!$B$14,Paramètres!$A$1:$I$89,3,0)*VLOOKUP('Données projet'!$B$14,Paramètres!$A$1:$I$89,5,0)</f>
        <v>1.517407251131726</v>
      </c>
      <c r="DQ9" s="14">
        <f t="shared" si="43"/>
        <v>0.66615290953311335</v>
      </c>
      <c r="DR9" s="22">
        <f t="shared" si="16"/>
        <v>3.8030339464912619</v>
      </c>
      <c r="DS9" s="62">
        <f t="shared" si="17"/>
        <v>297.13636727982458</v>
      </c>
      <c r="DT9" s="62">
        <f ca="1">AVERAGE(OFFSET($DS$3,0,0,'Données projet'!$E$14+1,1))-AVERAGE(OFFSET($H$3,0,0,'Données projet'!$E$14+1,1))</f>
        <v>66.964554307546564</v>
      </c>
      <c r="DU9" s="62">
        <f t="shared" si="44"/>
        <v>21.162700178818568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1.2</v>
      </c>
      <c r="EJ9" s="13">
        <f>IF('Données projet'!$A$192&gt;35,EJ8+EI9-ER8,IF(A9&lt;'Données projet'!$A$192,$EG$205^A9,IF(A9='Données projet'!$A$192,'Données projet'!$B$192,EJ8+EI9-ER8)))</f>
        <v>2.2620859438457455</v>
      </c>
      <c r="EK9" s="18">
        <f>EJ9*VLOOKUP('Données projet'!$B$15,Paramètres!$A$1:$I$89,3,0)*VLOOKUP('Données projet'!$B$15,Paramètres!$A$1:$I$89,5,0)</f>
        <v>2.1878895248876051</v>
      </c>
      <c r="EL9" s="14">
        <f t="shared" si="45"/>
        <v>0.92044638962272363</v>
      </c>
      <c r="EM9" s="22">
        <f t="shared" si="19"/>
        <v>5.4136850511054888</v>
      </c>
      <c r="EN9" s="62">
        <f t="shared" si="20"/>
        <v>298.74701838443877</v>
      </c>
      <c r="EO9" s="62">
        <f ca="1">AVERAGE(OFFSET($EN$3,0,0,'Données projet'!$E$15+1,1))-AVERAGE(OFFSET($H$3,0,0,'Données projet'!$E$15+1,1))</f>
        <v>146.90952320473599</v>
      </c>
      <c r="EP9" s="62">
        <f t="shared" si="46"/>
        <v>56.347130462109817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1.2</v>
      </c>
      <c r="FE9" s="13">
        <f>IF('Données projet'!$A$218&gt;35,FE8+FD9-FM8,IF(A9&lt;'Données projet'!$A$218,$FB$205^A9,IF(A9='Données projet'!$A$218,'Données projet'!$B$218,FE8+FD9-FM8)))</f>
        <v>2.2620859438457455</v>
      </c>
      <c r="FF9" s="18">
        <f>FE9*VLOOKUP('Données projet'!$B$16,Paramètres!$A$1:$I$89,3,0)*VLOOKUP('Données projet'!$B$16,Paramètres!$A$1:$I$89,5,0)</f>
        <v>2.4349093099555601</v>
      </c>
      <c r="FG9" s="14">
        <f t="shared" si="47"/>
        <v>1.0116918660706939</v>
      </c>
      <c r="FH9" s="22">
        <f t="shared" si="22"/>
        <v>6.0028303815790593</v>
      </c>
      <c r="FI9" s="62">
        <f t="shared" si="23"/>
        <v>299.33616371491235</v>
      </c>
      <c r="FJ9" s="62">
        <f ca="1">AVERAGE(OFFSET($FI$3,0,0,'Données projet'!$E$16+1,1))-AVERAGE(OFFSET($H$3,0,0,'Données projet'!$E$16+1,1))</f>
        <v>176.21892815766847</v>
      </c>
      <c r="FK9" s="62">
        <f t="shared" si="48"/>
        <v>69.239647548491234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0.9</v>
      </c>
      <c r="FZ9" s="13">
        <f>IF('Données projet'!$A$244&gt;35,FZ8+FY9-GH8,IF(A9&lt;'Données projet'!$A$244,$FW$205^A9,IF(A9='Données projet'!$A$244,'Données projet'!$B$244,FZ8+FY9-GH8)))</f>
        <v>2.3800262745964411</v>
      </c>
      <c r="GA9" s="18">
        <f>FZ9*VLOOKUP('Données projet'!$B$17,Paramètres!$A$1:$I$89,3,0)*VLOOKUP('Données projet'!$B$17,Paramètres!$A$1:$I$89,5,0)</f>
        <v>1.8935489040689286</v>
      </c>
      <c r="GB9" s="14">
        <f t="shared" si="49"/>
        <v>0.81012792635511222</v>
      </c>
      <c r="GC9" s="22">
        <f t="shared" si="25"/>
        <v>4.7089038129885372</v>
      </c>
      <c r="GD9" s="62">
        <f t="shared" si="26"/>
        <v>298.04223714632184</v>
      </c>
      <c r="GE9" s="62">
        <f ca="1">AVERAGE(OFFSET($GD$3,0,0,'Données projet'!$E$17+1,1))-AVERAGE(OFFSET($H$3,0,0,'Données projet'!$E$17+1,1))</f>
        <v>70.834027458412379</v>
      </c>
      <c r="GF9" s="62">
        <f t="shared" si="50"/>
        <v>74.346987922112362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1.7333333333333334</v>
      </c>
      <c r="GU9" s="13">
        <f>IF('Données projet'!$A$270&gt;35,GU8+GT9-HC8,IF(A9&lt;'Données projet'!$A$270,$GR$205^A9,IF(A9='Données projet'!$A$270,'Données projet'!$B$270,GU8+GT9-HC8)))</f>
        <v>3.6811993713469078</v>
      </c>
      <c r="GV9" s="18">
        <f>GU9*VLOOKUP('Données projet'!$B$18,Paramètres!$A$1:$I$89,3,0)*VLOOKUP('Données projet'!$B$18,Paramètres!$A$1:$I$89,5,0)</f>
        <v>2.8713355096505881</v>
      </c>
      <c r="GW9" s="14">
        <f t="shared" si="51"/>
        <v>1.1703480501381132</v>
      </c>
      <c r="GX9" s="22">
        <f t="shared" si="28"/>
        <v>7.0392655332986545</v>
      </c>
      <c r="GY9" s="62">
        <f t="shared" si="29"/>
        <v>300.37259886663196</v>
      </c>
      <c r="GZ9" s="62">
        <f ca="1">AVERAGE(OFFSET($GY$3,0,0,'Données projet'!$E$18+1,1))-AVERAGE(OFFSET($H$3,0,0,'Données projet'!$E$18+1,1))</f>
        <v>99.222094917553648</v>
      </c>
      <c r="HA9" s="62">
        <f t="shared" si="52"/>
        <v>98.371477396766352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</v>
      </c>
      <c r="N10" s="14">
        <f>IF('Données projet'!$A$36&gt;35,N9+M10-V9,IF(A10&lt;'Données projet'!$A$36,$K$205^A10,IF(A10='Données projet'!$A$36,'Données projet'!$B$36,N9+M10-V9)))</f>
        <v>3.4224838646084192</v>
      </c>
      <c r="O10" s="14">
        <f>N10*VLOOKUP('Données projet'!$B$9,Paramètres!$A$1:$I$89,3,0)*VLOOKUP('Données projet'!$B$9,Paramètres!$A$1:$I$89,5,0)</f>
        <v>1.6017224486367401</v>
      </c>
      <c r="P10" s="14">
        <f t="shared" si="33"/>
        <v>0.69875571016034643</v>
      </c>
      <c r="Q10" s="22">
        <f t="shared" si="2"/>
        <v>4.0066661265715924</v>
      </c>
      <c r="R10" s="62">
        <f t="shared" si="0"/>
        <v>297.3399994599049</v>
      </c>
      <c r="S10" s="62">
        <f ca="1">AVERAGE(OFFSET($R$3,0,0,'Données projet'!$E$9+1,1))-AVERAGE(OFFSET($H$3,0,0,'Données projet'!$E$9+1,1))</f>
        <v>181.48161394994878</v>
      </c>
      <c r="T10" s="62">
        <f t="shared" si="34"/>
        <v>141.1874974464024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304.32406934343595</v>
      </c>
      <c r="AN10" s="62">
        <f ca="1">AVERAGE(OFFSET($AM$3,0,0,'Données projet'!$E$10+1,1))-AVERAGE(OFFSET($H$3,0,0,'Données projet'!$E$10+1,1))</f>
        <v>340.81036749486179</v>
      </c>
      <c r="AO10" s="62">
        <f t="shared" si="36"/>
        <v>208.88199836488013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300.12018685543694</v>
      </c>
      <c r="BI10" s="62">
        <f ca="1">AVERAGE(OFFSET($BH$3,0,0,'Données projet'!$E$11+1,1))-AVERAGE(OFFSET($H$3,0,0,'Données projet'!$E$11+1,1))</f>
        <v>257.96727373333601</v>
      </c>
      <c r="BJ10" s="62">
        <f t="shared" si="38"/>
        <v>194.52809733694494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4.0617724818240486</v>
      </c>
      <c r="CA10" s="14">
        <f t="shared" si="39"/>
        <v>1.590058719758437</v>
      </c>
      <c r="CB10" s="22">
        <f t="shared" si="10"/>
        <v>9.8436060094228282</v>
      </c>
      <c r="CC10" s="62">
        <f t="shared" si="11"/>
        <v>303.17693934275616</v>
      </c>
      <c r="CD10" s="62">
        <f ca="1">AVERAGE(OFFSET($CC$3,0,0,'Données projet'!$E$12+1,1))-AVERAGE(OFFSET($H$3,0,0,'Données projet'!$E$12+1,1))</f>
        <v>292.83612296867898</v>
      </c>
      <c r="CE10" s="62">
        <f t="shared" si="40"/>
        <v>180.48047802041276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2.9514906366424349</v>
      </c>
      <c r="CV10" s="14">
        <f t="shared" si="41"/>
        <v>1.1991697224077444</v>
      </c>
      <c r="CW10" s="22">
        <f t="shared" si="13"/>
        <v>7.2290667920123957</v>
      </c>
      <c r="CX10" s="62">
        <f t="shared" si="14"/>
        <v>300.56240012534573</v>
      </c>
      <c r="CY10" s="62">
        <f ca="1">AVERAGE(OFFSET($CX$3,0,0,'Données projet'!$E$13+1,1))-AVERAGE(OFFSET($H$3,0,0,'Données projet'!$E$13+1,1))</f>
        <v>192.93829651668403</v>
      </c>
      <c r="CZ10" s="62">
        <f t="shared" si="42"/>
        <v>76.592736352376903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1.2</v>
      </c>
      <c r="DO10" s="13">
        <f>IF('Données projet'!$A$166&gt;35,DO9+DN10-DW9,IF(A10&lt;'Données projet'!$A$166,$DL$205^A10,IF(A10='Données projet'!$A$166,'Données projet'!$B$166,DO9+DN10-DW9)))</f>
        <v>2.5917550374450604</v>
      </c>
      <c r="DP10" s="18">
        <f>DO10*VLOOKUP('Données projet'!$B$14,Paramètres!$A$1:$I$89,3,0)*VLOOKUP('Données projet'!$B$14,Paramètres!$A$1:$I$89,5,0)</f>
        <v>1.7385492791181465</v>
      </c>
      <c r="DQ10" s="14">
        <f t="shared" si="43"/>
        <v>0.75124449522779846</v>
      </c>
      <c r="DR10" s="22">
        <f t="shared" si="16"/>
        <v>4.3363908236525202</v>
      </c>
      <c r="DS10" s="62">
        <f t="shared" si="17"/>
        <v>297.66972415698581</v>
      </c>
      <c r="DT10" s="62">
        <f ca="1">AVERAGE(OFFSET($DS$3,0,0,'Données projet'!$E$14+1,1))-AVERAGE(OFFSET($H$3,0,0,'Données projet'!$E$14+1,1))</f>
        <v>66.964554307546564</v>
      </c>
      <c r="DU10" s="62">
        <f t="shared" si="44"/>
        <v>21.162700178818568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1.2</v>
      </c>
      <c r="EJ10" s="13">
        <f>IF('Données projet'!$A$192&gt;35,EJ9+EI10-ER9,IF(A10&lt;'Données projet'!$A$192,$EG$205^A10,IF(A10='Données projet'!$A$192,'Données projet'!$B$192,EJ9+EI10-ER9)))</f>
        <v>2.5917550374450604</v>
      </c>
      <c r="EK10" s="18">
        <f>EJ10*VLOOKUP('Données projet'!$B$15,Paramètres!$A$1:$I$89,3,0)*VLOOKUP('Données projet'!$B$15,Paramètres!$A$1:$I$89,5,0)</f>
        <v>2.5067454722168625</v>
      </c>
      <c r="EL10" s="14">
        <f t="shared" si="45"/>
        <v>1.038020360582093</v>
      </c>
      <c r="EM10" s="22">
        <f t="shared" si="19"/>
        <v>6.1738004921248475</v>
      </c>
      <c r="EN10" s="62">
        <f t="shared" si="20"/>
        <v>299.50713382545814</v>
      </c>
      <c r="EO10" s="62">
        <f ca="1">AVERAGE(OFFSET($EN$3,0,0,'Données projet'!$E$15+1,1))-AVERAGE(OFFSET($H$3,0,0,'Données projet'!$E$15+1,1))</f>
        <v>146.90952320473599</v>
      </c>
      <c r="EP10" s="62">
        <f t="shared" si="46"/>
        <v>56.347130462109817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1.2</v>
      </c>
      <c r="FE10" s="13">
        <f>IF('Données projet'!$A$218&gt;35,FE9+FD10-FM9,IF(A10&lt;'Données projet'!$A$218,$FB$205^A10,IF(A10='Données projet'!$A$218,'Données projet'!$B$218,FE9+FD10-FM9)))</f>
        <v>2.5917550374450604</v>
      </c>
      <c r="FF10" s="18">
        <f>FE10*VLOOKUP('Données projet'!$B$16,Paramètres!$A$1:$I$89,3,0)*VLOOKUP('Données projet'!$B$16,Paramètres!$A$1:$I$89,5,0)</f>
        <v>2.7897651223058633</v>
      </c>
      <c r="FG10" s="14">
        <f t="shared" si="47"/>
        <v>1.1409211524498617</v>
      </c>
      <c r="FH10" s="22">
        <f t="shared" si="22"/>
        <v>6.8459452618662198</v>
      </c>
      <c r="FI10" s="62">
        <f t="shared" si="23"/>
        <v>300.17927859519955</v>
      </c>
      <c r="FJ10" s="62">
        <f ca="1">AVERAGE(OFFSET($FI$3,0,0,'Données projet'!$E$16+1,1))-AVERAGE(OFFSET($H$3,0,0,'Données projet'!$E$16+1,1))</f>
        <v>176.21892815766847</v>
      </c>
      <c r="FK10" s="62">
        <f t="shared" si="48"/>
        <v>69.239647548491234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0.9</v>
      </c>
      <c r="FZ10" s="13">
        <f>IF('Données projet'!$A$244&gt;35,FZ9+FY10-GH9,IF(A10&lt;'Données projet'!$A$244,$FW$205^A10,IF(A10='Données projet'!$A$244,'Données projet'!$B$244,FZ9+FY10-GH9)))</f>
        <v>2.7500803110319185</v>
      </c>
      <c r="GA10" s="18">
        <f>FZ10*VLOOKUP('Données projet'!$B$17,Paramètres!$A$1:$I$89,3,0)*VLOOKUP('Données projet'!$B$17,Paramètres!$A$1:$I$89,5,0)</f>
        <v>2.1879638954569947</v>
      </c>
      <c r="GB10" s="14">
        <f t="shared" si="49"/>
        <v>0.9204740354165033</v>
      </c>
      <c r="GC10" s="22">
        <f t="shared" si="25"/>
        <v>5.4138627296046744</v>
      </c>
      <c r="GD10" s="62">
        <f t="shared" si="26"/>
        <v>298.74719606293797</v>
      </c>
      <c r="GE10" s="62">
        <f ca="1">AVERAGE(OFFSET($GD$3,0,0,'Données projet'!$E$17+1,1))-AVERAGE(OFFSET($H$3,0,0,'Données projet'!$E$17+1,1))</f>
        <v>70.834027458412379</v>
      </c>
      <c r="GF10" s="62">
        <f t="shared" si="50"/>
        <v>74.346987922112362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1.7333333333333334</v>
      </c>
      <c r="GU10" s="13">
        <f>IF('Données projet'!$A$270&gt;35,GU9+GT10-HC9,IF(A10&lt;'Données projet'!$A$270,$GR$205^A10,IF(A10='Données projet'!$A$270,'Données projet'!$B$270,GU9+GT10-HC9)))</f>
        <v>4.574260521766691</v>
      </c>
      <c r="GV10" s="18">
        <f>GU10*VLOOKUP('Données projet'!$B$18,Paramètres!$A$1:$I$89,3,0)*VLOOKUP('Données projet'!$B$18,Paramètres!$A$1:$I$89,5,0)</f>
        <v>3.5679232069780191</v>
      </c>
      <c r="GW10" s="14">
        <f t="shared" si="51"/>
        <v>1.4179678996017462</v>
      </c>
      <c r="GX10" s="22">
        <f t="shared" si="28"/>
        <v>8.6837603439597579</v>
      </c>
      <c r="GY10" s="62">
        <f t="shared" si="29"/>
        <v>302.01709367729308</v>
      </c>
      <c r="GZ10" s="62">
        <f ca="1">AVERAGE(OFFSET($GY$3,0,0,'Données projet'!$E$18+1,1))-AVERAGE(OFFSET($H$3,0,0,'Données projet'!$E$18+1,1))</f>
        <v>99.222094917553648</v>
      </c>
      <c r="HA10" s="62">
        <f t="shared" si="52"/>
        <v>98.371477396766352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</v>
      </c>
      <c r="N11" s="14">
        <f>IF('Données projet'!$A$36&gt;35,N10+M11-V10,IF(A11&lt;'Données projet'!$A$36,$K$205^A11,IF(A11='Données projet'!$A$36,'Données projet'!$B$36,N10+M11-V10)))</f>
        <v>4.080147809657138</v>
      </c>
      <c r="O11" s="14">
        <f>N11*VLOOKUP('Données projet'!$B$9,Paramètres!$A$1:$I$89,3,0)*VLOOKUP('Données projet'!$B$9,Paramètres!$A$1:$I$89,5,0)</f>
        <v>1.9095091749195405</v>
      </c>
      <c r="P11" s="14">
        <f t="shared" si="33"/>
        <v>0.81615852755965934</v>
      </c>
      <c r="Q11" s="22">
        <f t="shared" si="2"/>
        <v>4.7472045818179396</v>
      </c>
      <c r="R11" s="62">
        <f t="shared" si="0"/>
        <v>298.08053791515124</v>
      </c>
      <c r="S11" s="62">
        <f ca="1">AVERAGE(OFFSET($R$3,0,0,'Données projet'!$E$9+1,1))-AVERAGE(OFFSET($H$3,0,0,'Données projet'!$E$9+1,1))</f>
        <v>181.48161394994878</v>
      </c>
      <c r="T11" s="62">
        <f t="shared" si="34"/>
        <v>141.1874974464024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306.86022716374464</v>
      </c>
      <c r="AN11" s="62">
        <f ca="1">AVERAGE(OFFSET($AM$3,0,0,'Données projet'!$E$10+1,1))-AVERAGE(OFFSET($H$3,0,0,'Données projet'!$E$10+1,1))</f>
        <v>340.81036749486179</v>
      </c>
      <c r="AO11" s="62">
        <f t="shared" si="36"/>
        <v>208.88199836488013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301.71791003464585</v>
      </c>
      <c r="BI11" s="62">
        <f ca="1">AVERAGE(OFFSET($BH$3,0,0,'Données projet'!$E$11+1,1))-AVERAGE(OFFSET($H$3,0,0,'Données projet'!$E$11+1,1))</f>
        <v>257.96727373333601</v>
      </c>
      <c r="BJ11" s="62">
        <f t="shared" si="38"/>
        <v>194.52809733694494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5.0336351769196082</v>
      </c>
      <c r="CA11" s="14">
        <f t="shared" si="39"/>
        <v>1.9219176128866391</v>
      </c>
      <c r="CB11" s="22">
        <f t="shared" si="10"/>
        <v>12.11425444224588</v>
      </c>
      <c r="CC11" s="62">
        <f t="shared" si="11"/>
        <v>305.44758777557922</v>
      </c>
      <c r="CD11" s="62">
        <f ca="1">AVERAGE(OFFSET($CC$3,0,0,'Données projet'!$E$12+1,1))-AVERAGE(OFFSET($H$3,0,0,'Données projet'!$E$12+1,1))</f>
        <v>292.83612296867898</v>
      </c>
      <c r="CE11" s="62">
        <f t="shared" si="40"/>
        <v>180.48047802041276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3.3816313417716857</v>
      </c>
      <c r="CV11" s="14">
        <f t="shared" si="41"/>
        <v>1.3523466458084794</v>
      </c>
      <c r="CW11" s="22">
        <f t="shared" si="13"/>
        <v>8.2450116617021205</v>
      </c>
      <c r="CX11" s="62">
        <f t="shared" si="14"/>
        <v>301.57834499503542</v>
      </c>
      <c r="CY11" s="62">
        <f ca="1">AVERAGE(OFFSET($CX$3,0,0,'Données projet'!$E$13+1,1))-AVERAGE(OFFSET($H$3,0,0,'Données projet'!$E$13+1,1))</f>
        <v>192.93829651668403</v>
      </c>
      <c r="CZ11" s="62">
        <f t="shared" si="42"/>
        <v>76.592736352376903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1.2</v>
      </c>
      <c r="DO11" s="13">
        <f>IF('Données projet'!$A$166&gt;35,DO10+DN11-DW10,IF(A11&lt;'Données projet'!$A$166,$DL$205^A11,IF(A11='Données projet'!$A$166,'Données projet'!$B$166,DO10+DN11-DW10)))</f>
        <v>2.9694690391391689</v>
      </c>
      <c r="DP11" s="18">
        <f>DO11*VLOOKUP('Données projet'!$B$14,Paramètres!$A$1:$I$89,3,0)*VLOOKUP('Données projet'!$B$14,Paramètres!$A$1:$I$89,5,0)</f>
        <v>1.9919198314545545</v>
      </c>
      <c r="DQ11" s="14">
        <f t="shared" si="43"/>
        <v>0.84720532408335292</v>
      </c>
      <c r="DR11" s="22">
        <f t="shared" si="16"/>
        <v>4.9448096458951891</v>
      </c>
      <c r="DS11" s="62">
        <f t="shared" si="17"/>
        <v>298.27814297922851</v>
      </c>
      <c r="DT11" s="62">
        <f ca="1">AVERAGE(OFFSET($DS$3,0,0,'Données projet'!$E$14+1,1))-AVERAGE(OFFSET($H$3,0,0,'Données projet'!$E$14+1,1))</f>
        <v>66.964554307546564</v>
      </c>
      <c r="DU11" s="62">
        <f t="shared" si="44"/>
        <v>21.162700178818568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1.2</v>
      </c>
      <c r="EJ11" s="13">
        <f>IF('Données projet'!$A$192&gt;35,EJ10+EI11-ER10,IF(A11&lt;'Données projet'!$A$192,$EG$205^A11,IF(A11='Données projet'!$A$192,'Données projet'!$B$192,EJ10+EI11-ER10)))</f>
        <v>2.9694690391391689</v>
      </c>
      <c r="EK11" s="18">
        <f>EJ11*VLOOKUP('Données projet'!$B$15,Paramètres!$A$1:$I$89,3,0)*VLOOKUP('Données projet'!$B$15,Paramètres!$A$1:$I$89,5,0)</f>
        <v>2.8720704546554043</v>
      </c>
      <c r="EL11" s="14">
        <f t="shared" si="45"/>
        <v>1.1706127387002112</v>
      </c>
      <c r="EM11" s="22">
        <f t="shared" si="19"/>
        <v>7.04100656176103</v>
      </c>
      <c r="EN11" s="62">
        <f t="shared" si="20"/>
        <v>300.37433989509435</v>
      </c>
      <c r="EO11" s="62">
        <f ca="1">AVERAGE(OFFSET($EN$3,0,0,'Données projet'!$E$15+1,1))-AVERAGE(OFFSET($H$3,0,0,'Données projet'!$E$15+1,1))</f>
        <v>146.90952320473599</v>
      </c>
      <c r="EP11" s="62">
        <f t="shared" si="46"/>
        <v>56.347130462109817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1.2</v>
      </c>
      <c r="FE11" s="13">
        <f>IF('Données projet'!$A$218&gt;35,FE10+FD11-FM10,IF(A11&lt;'Données projet'!$A$218,$FB$205^A11,IF(A11='Données projet'!$A$218,'Données projet'!$B$218,FE10+FD11-FM10)))</f>
        <v>2.9694690391391689</v>
      </c>
      <c r="FF11" s="18">
        <f>FE11*VLOOKUP('Données projet'!$B$16,Paramètres!$A$1:$I$89,3,0)*VLOOKUP('Données projet'!$B$16,Paramètres!$A$1:$I$89,5,0)</f>
        <v>3.1963364737294016</v>
      </c>
      <c r="FG11" s="14">
        <f t="shared" si="47"/>
        <v>1.28665764721742</v>
      </c>
      <c r="FH11" s="22">
        <f t="shared" si="22"/>
        <v>7.8078814273157144</v>
      </c>
      <c r="FI11" s="62">
        <f t="shared" si="23"/>
        <v>301.14121476064901</v>
      </c>
      <c r="FJ11" s="62">
        <f ca="1">AVERAGE(OFFSET($FI$3,0,0,'Données projet'!$E$16+1,1))-AVERAGE(OFFSET($H$3,0,0,'Données projet'!$E$16+1,1))</f>
        <v>176.21892815766847</v>
      </c>
      <c r="FK11" s="62">
        <f t="shared" si="48"/>
        <v>69.239647548491234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0.9</v>
      </c>
      <c r="FZ11" s="13">
        <f>IF('Données projet'!$A$244&gt;35,FZ10+FY11-GH10,IF(A11&lt;'Données projet'!$A$244,$FW$205^A11,IF(A11='Données projet'!$A$244,'Données projet'!$B$244,FZ10+FY11-GH10)))</f>
        <v>3.1776715231464374</v>
      </c>
      <c r="GA11" s="18">
        <f>FZ11*VLOOKUP('Données projet'!$B$17,Paramètres!$A$1:$I$89,3,0)*VLOOKUP('Données projet'!$B$17,Paramètres!$A$1:$I$89,5,0)</f>
        <v>2.5281554638153056</v>
      </c>
      <c r="GB11" s="14">
        <f t="shared" si="49"/>
        <v>1.0458501951512136</v>
      </c>
      <c r="GC11" s="22">
        <f t="shared" si="25"/>
        <v>6.2247265227000206</v>
      </c>
      <c r="GD11" s="62">
        <f t="shared" si="26"/>
        <v>299.55805985603331</v>
      </c>
      <c r="GE11" s="62">
        <f ca="1">AVERAGE(OFFSET($GD$3,0,0,'Données projet'!$E$17+1,1))-AVERAGE(OFFSET($H$3,0,0,'Données projet'!$E$17+1,1))</f>
        <v>70.834027458412379</v>
      </c>
      <c r="GF11" s="62">
        <f t="shared" si="50"/>
        <v>74.346987922112362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1.7333333333333334</v>
      </c>
      <c r="GU11" s="13">
        <f>IF('Données projet'!$A$270&gt;35,GU10+GT11-HC10,IF(A11&lt;'Données projet'!$A$270,$GR$205^A11,IF(A11='Données projet'!$A$270,'Données projet'!$B$270,GU10+GT11-HC10)))</f>
        <v>5.6839788368586746</v>
      </c>
      <c r="GV11" s="18">
        <f>GU11*VLOOKUP('Données projet'!$B$18,Paramètres!$A$1:$I$89,3,0)*VLOOKUP('Données projet'!$B$18,Paramètres!$A$1:$I$89,5,0)</f>
        <v>4.4335034927497663</v>
      </c>
      <c r="GW11" s="14">
        <f t="shared" si="51"/>
        <v>1.7179786509352601</v>
      </c>
      <c r="GX11" s="22">
        <f t="shared" si="28"/>
        <v>10.71383140025142</v>
      </c>
      <c r="GY11" s="62">
        <f t="shared" si="29"/>
        <v>304.04716473358474</v>
      </c>
      <c r="GZ11" s="62">
        <f ca="1">AVERAGE(OFFSET($GY$3,0,0,'Données projet'!$E$18+1,1))-AVERAGE(OFFSET($H$3,0,0,'Données projet'!$E$18+1,1))</f>
        <v>99.222094917553648</v>
      </c>
      <c r="HA11" s="62">
        <f t="shared" si="52"/>
        <v>98.371477396766352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</v>
      </c>
      <c r="N12" s="14">
        <f>IF('Données projet'!$A$36&gt;35,N11+M12-V11,IF(A12&lt;'Données projet'!$A$36,$K$205^A12,IF(A12='Données projet'!$A$36,'Données projet'!$B$36,N11+M12-V11)))</f>
        <v>4.8641883518579174</v>
      </c>
      <c r="O12" s="14">
        <f>N12*VLOOKUP('Données projet'!$B$9,Paramètres!$A$1:$I$89,3,0)*VLOOKUP('Données projet'!$B$9,Paramètres!$A$1:$I$89,5,0)</f>
        <v>2.2764401486695052</v>
      </c>
      <c r="P12" s="14">
        <f t="shared" si="33"/>
        <v>0.95328701064281096</v>
      </c>
      <c r="Q12" s="22">
        <f t="shared" si="2"/>
        <v>5.6251081358022832</v>
      </c>
      <c r="R12" s="62">
        <f t="shared" si="0"/>
        <v>298.95844146913561</v>
      </c>
      <c r="S12" s="62">
        <f ca="1">AVERAGE(OFFSET($R$3,0,0,'Données projet'!$E$9+1,1))-AVERAGE(OFFSET($H$3,0,0,'Données projet'!$E$9+1,1))</f>
        <v>181.48161394994878</v>
      </c>
      <c r="T12" s="62">
        <f t="shared" si="34"/>
        <v>141.1874974464024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309.9836774071448</v>
      </c>
      <c r="AN12" s="62">
        <f ca="1">AVERAGE(OFFSET($AM$3,0,0,'Données projet'!$E$10+1,1))-AVERAGE(OFFSET($H$3,0,0,'Données projet'!$E$10+1,1))</f>
        <v>340.81036749486179</v>
      </c>
      <c r="AO12" s="62">
        <f t="shared" si="36"/>
        <v>208.88199836488013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303.69312942710241</v>
      </c>
      <c r="BI12" s="62">
        <f ca="1">AVERAGE(OFFSET($BH$3,0,0,'Données projet'!$E$11+1,1))-AVERAGE(OFFSET($H$3,0,0,'Données projet'!$E$11+1,1))</f>
        <v>257.96727373333601</v>
      </c>
      <c r="BJ12" s="62">
        <f t="shared" si="38"/>
        <v>194.52809733694494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6.2380360317336141</v>
      </c>
      <c r="CA12" s="14">
        <f t="shared" si="39"/>
        <v>2.3230383034439352</v>
      </c>
      <c r="CB12" s="22">
        <f t="shared" si="10"/>
        <v>14.910537800434229</v>
      </c>
      <c r="CC12" s="62">
        <f t="shared" si="11"/>
        <v>308.24387113376753</v>
      </c>
      <c r="CD12" s="62">
        <f ca="1">AVERAGE(OFFSET($CC$3,0,0,'Données projet'!$E$12+1,1))-AVERAGE(OFFSET($H$3,0,0,'Données projet'!$E$12+1,1))</f>
        <v>292.83612296867898</v>
      </c>
      <c r="CE12" s="62">
        <f t="shared" si="40"/>
        <v>180.48047802041276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3.8744593629005446</v>
      </c>
      <c r="CV12" s="14">
        <f t="shared" si="41"/>
        <v>1.5250897485615453</v>
      </c>
      <c r="CW12" s="22">
        <f t="shared" si="13"/>
        <v>9.4042147024631397</v>
      </c>
      <c r="CX12" s="62">
        <f t="shared" si="14"/>
        <v>302.73754803579646</v>
      </c>
      <c r="CY12" s="62">
        <f ca="1">AVERAGE(OFFSET($CX$3,0,0,'Données projet'!$E$13+1,1))-AVERAGE(OFFSET($H$3,0,0,'Données projet'!$E$13+1,1))</f>
        <v>192.93829651668403</v>
      </c>
      <c r="CZ12" s="62">
        <f t="shared" si="42"/>
        <v>76.592736352376903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1.2</v>
      </c>
      <c r="DO12" s="13">
        <f>IF('Données projet'!$A$166&gt;35,DO11+DN12-DW11,IF(A12&lt;'Données projet'!$A$166,$DL$205^A12,IF(A12='Données projet'!$A$166,'Données projet'!$B$166,DO11+DN12-DW11)))</f>
        <v>3.4022298585357786</v>
      </c>
      <c r="DP12" s="18">
        <f>DO12*VLOOKUP('Données projet'!$B$14,Paramètres!$A$1:$I$89,3,0)*VLOOKUP('Données projet'!$B$14,Paramètres!$A$1:$I$89,5,0)</f>
        <v>2.2822157891058001</v>
      </c>
      <c r="DQ12" s="14">
        <f t="shared" si="43"/>
        <v>0.95542378774773573</v>
      </c>
      <c r="DR12" s="22">
        <f t="shared" si="16"/>
        <v>5.6388889296865754</v>
      </c>
      <c r="DS12" s="62">
        <f t="shared" si="17"/>
        <v>298.97222226301989</v>
      </c>
      <c r="DT12" s="62">
        <f ca="1">AVERAGE(OFFSET($DS$3,0,0,'Données projet'!$E$14+1,1))-AVERAGE(OFFSET($H$3,0,0,'Données projet'!$E$14+1,1))</f>
        <v>66.964554307546564</v>
      </c>
      <c r="DU12" s="62">
        <f t="shared" si="44"/>
        <v>21.162700178818568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1.2</v>
      </c>
      <c r="EJ12" s="13">
        <f>IF('Données projet'!$A$192&gt;35,EJ11+EI12-ER11,IF(A12&lt;'Données projet'!$A$192,$EG$205^A12,IF(A12='Données projet'!$A$192,'Données projet'!$B$192,EJ11+EI12-ER11)))</f>
        <v>3.4022298585357786</v>
      </c>
      <c r="EK12" s="18">
        <f>EJ12*VLOOKUP('Données projet'!$B$15,Paramètres!$A$1:$I$89,3,0)*VLOOKUP('Données projet'!$B$15,Paramètres!$A$1:$I$89,5,0)</f>
        <v>3.2906367191758048</v>
      </c>
      <c r="EL12" s="14">
        <f t="shared" si="45"/>
        <v>1.3201419124753617</v>
      </c>
      <c r="EM12" s="22">
        <f t="shared" si="19"/>
        <v>8.0304394501257814</v>
      </c>
      <c r="EN12" s="62">
        <f t="shared" si="20"/>
        <v>301.36377278345907</v>
      </c>
      <c r="EO12" s="62">
        <f ca="1">AVERAGE(OFFSET($EN$3,0,0,'Données projet'!$E$15+1,1))-AVERAGE(OFFSET($H$3,0,0,'Données projet'!$E$15+1,1))</f>
        <v>146.90952320473599</v>
      </c>
      <c r="EP12" s="62">
        <f t="shared" si="46"/>
        <v>56.347130462109817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1.2</v>
      </c>
      <c r="FE12" s="13">
        <f>IF('Données projet'!$A$218&gt;35,FE11+FD12-FM11,IF(A12&lt;'Données projet'!$A$218,$FB$205^A12,IF(A12='Données projet'!$A$218,'Données projet'!$B$218,FE11+FD12-FM11)))</f>
        <v>3.4022298585357786</v>
      </c>
      <c r="FF12" s="18">
        <f>FE12*VLOOKUP('Données projet'!$B$16,Paramètres!$A$1:$I$89,3,0)*VLOOKUP('Données projet'!$B$16,Paramètres!$A$1:$I$89,5,0)</f>
        <v>3.6621602197279119</v>
      </c>
      <c r="FG12" s="14">
        <f t="shared" si="47"/>
        <v>1.4510099121120625</v>
      </c>
      <c r="FH12" s="22">
        <f t="shared" si="22"/>
        <v>8.9054379796212881</v>
      </c>
      <c r="FI12" s="62">
        <f t="shared" si="23"/>
        <v>302.23877131295461</v>
      </c>
      <c r="FJ12" s="62">
        <f ca="1">AVERAGE(OFFSET($FI$3,0,0,'Données projet'!$E$16+1,1))-AVERAGE(OFFSET($H$3,0,0,'Données projet'!$E$16+1,1))</f>
        <v>176.21892815766847</v>
      </c>
      <c r="FK12" s="62">
        <f t="shared" si="48"/>
        <v>69.239647548491234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0.9</v>
      </c>
      <c r="FZ12" s="13">
        <f>IF('Données projet'!$A$244&gt;35,FZ11+FY12-GH11,IF(A12&lt;'Données projet'!$A$244,$FW$205^A12,IF(A12='Données projet'!$A$244,'Données projet'!$B$244,FZ11+FY12-GH11)))</f>
        <v>3.6717459735664435</v>
      </c>
      <c r="GA12" s="18">
        <f>FZ12*VLOOKUP('Données projet'!$B$17,Paramètres!$A$1:$I$89,3,0)*VLOOKUP('Données projet'!$B$17,Paramètres!$A$1:$I$89,5,0)</f>
        <v>2.9212410965694628</v>
      </c>
      <c r="GB12" s="14">
        <f t="shared" si="49"/>
        <v>1.1883036224947934</v>
      </c>
      <c r="GC12" s="22">
        <f t="shared" si="25"/>
        <v>7.1574570523702468</v>
      </c>
      <c r="GD12" s="62">
        <f t="shared" si="26"/>
        <v>300.49079038570358</v>
      </c>
      <c r="GE12" s="62">
        <f ca="1">AVERAGE(OFFSET($GD$3,0,0,'Données projet'!$E$17+1,1))-AVERAGE(OFFSET($H$3,0,0,'Données projet'!$E$17+1,1))</f>
        <v>70.834027458412379</v>
      </c>
      <c r="GF12" s="62">
        <f t="shared" si="50"/>
        <v>74.346987922112362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1.7333333333333334</v>
      </c>
      <c r="GU12" s="13">
        <f>IF('Données projet'!$A$270&gt;35,GU11+GT12-HC11,IF(A12&lt;'Données projet'!$A$270,$GR$205^A12,IF(A12='Données projet'!$A$270,'Données projet'!$B$270,GU11+GT12-HC11)))</f>
        <v>7.0629154732488439</v>
      </c>
      <c r="GV12" s="18">
        <f>GU12*VLOOKUP('Données projet'!$B$18,Paramètres!$A$1:$I$89,3,0)*VLOOKUP('Données projet'!$B$18,Paramètres!$A$1:$I$89,5,0)</f>
        <v>5.5090740691340985</v>
      </c>
      <c r="GW12" s="14">
        <f t="shared" si="51"/>
        <v>2.0814650641233041</v>
      </c>
      <c r="GX12" s="22">
        <f t="shared" si="28"/>
        <v>13.22018899042331</v>
      </c>
      <c r="GY12" s="62">
        <f t="shared" si="29"/>
        <v>306.55352232375662</v>
      </c>
      <c r="GZ12" s="62">
        <f ca="1">AVERAGE(OFFSET($GY$3,0,0,'Données projet'!$E$18+1,1))-AVERAGE(OFFSET($H$3,0,0,'Données projet'!$E$18+1,1))</f>
        <v>99.222094917553648</v>
      </c>
      <c r="HA12" s="62">
        <f t="shared" si="52"/>
        <v>98.371477396766352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</v>
      </c>
      <c r="N13" s="14">
        <f>IF('Données projet'!$A$36&gt;35,N12+M13-V12,IF(A13&lt;'Données projet'!$A$36,$K$205^A13,IF(A13='Données projet'!$A$36,'Données projet'!$B$36,N12+M13-V12)))</f>
        <v>5.7988899976489963</v>
      </c>
      <c r="O13" s="14">
        <f>N13*VLOOKUP('Données projet'!$B$9,Paramètres!$A$1:$I$89,3,0)*VLOOKUP('Données projet'!$B$9,Paramètres!$A$1:$I$89,5,0)</f>
        <v>2.7138805188997304</v>
      </c>
      <c r="P13" s="14">
        <f t="shared" si="33"/>
        <v>1.1134554059951043</v>
      </c>
      <c r="Q13" s="22">
        <f t="shared" si="2"/>
        <v>6.66594340252517</v>
      </c>
      <c r="R13" s="62">
        <f t="shared" si="0"/>
        <v>299.99927673585847</v>
      </c>
      <c r="S13" s="62">
        <f ca="1">AVERAGE(OFFSET($R$3,0,0,'Données projet'!$E$9+1,1))-AVERAGE(OFFSET($H$3,0,0,'Données projet'!$E$9+1,1))</f>
        <v>181.48161394994878</v>
      </c>
      <c r="T13" s="62">
        <f t="shared" si="34"/>
        <v>141.1874974464024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313.83086464029793</v>
      </c>
      <c r="AN13" s="62">
        <f ca="1">AVERAGE(OFFSET($AM$3,0,0,'Données projet'!$E$10+1,1))-AVERAGE(OFFSET($H$3,0,0,'Données projet'!$E$10+1,1))</f>
        <v>340.81036749486179</v>
      </c>
      <c r="AO13" s="62">
        <f t="shared" si="36"/>
        <v>208.88199836488013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306.13533976477066</v>
      </c>
      <c r="BI13" s="62">
        <f ca="1">AVERAGE(OFFSET($BH$3,0,0,'Données projet'!$E$11+1,1))-AVERAGE(OFFSET($H$3,0,0,'Données projet'!$E$11+1,1))</f>
        <v>257.96727373333601</v>
      </c>
      <c r="BJ13" s="62">
        <f t="shared" si="38"/>
        <v>194.52809733694494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7.7306145887633031</v>
      </c>
      <c r="CA13" s="14">
        <f t="shared" si="39"/>
        <v>2.8078763226288115</v>
      </c>
      <c r="CB13" s="22">
        <f t="shared" si="10"/>
        <v>18.354538337341264</v>
      </c>
      <c r="CC13" s="62">
        <f t="shared" si="11"/>
        <v>311.68787167067455</v>
      </c>
      <c r="CD13" s="62">
        <f ca="1">AVERAGE(OFFSET($CC$3,0,0,'Données projet'!$E$12+1,1))-AVERAGE(OFFSET($H$3,0,0,'Données projet'!$E$12+1,1))</f>
        <v>292.83612296867898</v>
      </c>
      <c r="CE13" s="62">
        <f t="shared" si="40"/>
        <v>180.48047802041276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4.4391105468353587</v>
      </c>
      <c r="CV13" s="14">
        <f t="shared" si="41"/>
        <v>1.7198983325588202</v>
      </c>
      <c r="CW13" s="22">
        <f t="shared" si="13"/>
        <v>10.72694046494486</v>
      </c>
      <c r="CX13" s="62">
        <f t="shared" si="14"/>
        <v>304.06027379827816</v>
      </c>
      <c r="CY13" s="62">
        <f ca="1">AVERAGE(OFFSET($CX$3,0,0,'Données projet'!$E$13+1,1))-AVERAGE(OFFSET($H$3,0,0,'Données projet'!$E$13+1,1))</f>
        <v>192.93829651668403</v>
      </c>
      <c r="CZ13" s="62">
        <f t="shared" si="42"/>
        <v>76.592736352376903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1.2</v>
      </c>
      <c r="DO13" s="13">
        <f>IF('Données projet'!$A$166&gt;35,DO12+DN13-DW12,IF(A13&lt;'Données projet'!$A$166,$DL$205^A13,IF(A13='Données projet'!$A$166,'Données projet'!$B$166,DO12+DN13-DW12)))</f>
        <v>3.8980598409161908</v>
      </c>
      <c r="DP13" s="18">
        <f>DO13*VLOOKUP('Données projet'!$B$14,Paramètres!$A$1:$I$89,3,0)*VLOOKUP('Données projet'!$B$14,Paramètres!$A$1:$I$89,5,0)</f>
        <v>2.614818541286581</v>
      </c>
      <c r="DQ13" s="14">
        <f t="shared" si="43"/>
        <v>1.0774656252094335</v>
      </c>
      <c r="DR13" s="22">
        <f t="shared" si="16"/>
        <v>6.4307282566472246</v>
      </c>
      <c r="DS13" s="62">
        <f t="shared" si="17"/>
        <v>299.76406158998054</v>
      </c>
      <c r="DT13" s="62">
        <f ca="1">AVERAGE(OFFSET($DS$3,0,0,'Données projet'!$E$14+1,1))-AVERAGE(OFFSET($H$3,0,0,'Données projet'!$E$14+1,1))</f>
        <v>66.964554307546564</v>
      </c>
      <c r="DU13" s="62">
        <f t="shared" si="44"/>
        <v>21.162700178818568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1.2</v>
      </c>
      <c r="EJ13" s="13">
        <f>IF('Données projet'!$A$192&gt;35,EJ12+EI13-ER12,IF(A13&lt;'Données projet'!$A$192,$EG$205^A13,IF(A13='Données projet'!$A$192,'Données projet'!$B$192,EJ12+EI13-ER12)))</f>
        <v>3.8980598409161908</v>
      </c>
      <c r="EK13" s="18">
        <f>EJ13*VLOOKUP('Données projet'!$B$15,Paramètres!$A$1:$I$89,3,0)*VLOOKUP('Données projet'!$B$15,Paramètres!$A$1:$I$89,5,0)</f>
        <v>3.7702034781341398</v>
      </c>
      <c r="EL13" s="14">
        <f t="shared" si="45"/>
        <v>1.4887713173266797</v>
      </c>
      <c r="EM13" s="22">
        <f t="shared" si="19"/>
        <v>9.1593811020942599</v>
      </c>
      <c r="EN13" s="62">
        <f t="shared" si="20"/>
        <v>302.49271443542756</v>
      </c>
      <c r="EO13" s="62">
        <f ca="1">AVERAGE(OFFSET($EN$3,0,0,'Données projet'!$E$15+1,1))-AVERAGE(OFFSET($H$3,0,0,'Données projet'!$E$15+1,1))</f>
        <v>146.90952320473599</v>
      </c>
      <c r="EP13" s="62">
        <f t="shared" si="46"/>
        <v>56.347130462109817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1.2</v>
      </c>
      <c r="FE13" s="13">
        <f>IF('Données projet'!$A$218&gt;35,FE12+FD13-FM12,IF(A13&lt;'Données projet'!$A$218,$FB$205^A13,IF(A13='Données projet'!$A$218,'Données projet'!$B$218,FE12+FD13-FM12)))</f>
        <v>3.8980598409161908</v>
      </c>
      <c r="FF13" s="18">
        <f>FE13*VLOOKUP('Données projet'!$B$16,Paramètres!$A$1:$I$89,3,0)*VLOOKUP('Données projet'!$B$16,Paramètres!$A$1:$I$89,5,0)</f>
        <v>4.1958716127621871</v>
      </c>
      <c r="FG13" s="14">
        <f t="shared" si="47"/>
        <v>1.63635584772744</v>
      </c>
      <c r="FH13" s="22">
        <f t="shared" si="22"/>
        <v>10.157796160352767</v>
      </c>
      <c r="FI13" s="62">
        <f t="shared" si="23"/>
        <v>303.49112949368606</v>
      </c>
      <c r="FJ13" s="62">
        <f ca="1">AVERAGE(OFFSET($FI$3,0,0,'Données projet'!$E$16+1,1))-AVERAGE(OFFSET($H$3,0,0,'Données projet'!$E$16+1,1))</f>
        <v>176.21892815766847</v>
      </c>
      <c r="FK13" s="62">
        <f t="shared" si="48"/>
        <v>69.239647548491234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0.9</v>
      </c>
      <c r="FZ13" s="13">
        <f>IF('Données projet'!$A$244&gt;35,FZ12+FY13-GH12,IF(A13&lt;'Données projet'!$A$244,$FW$205^A13,IF(A13='Données projet'!$A$244,'Données projet'!$B$244,FZ12+FY13-GH12)))</f>
        <v>4.2426406871192865</v>
      </c>
      <c r="GA13" s="18">
        <f>FZ13*VLOOKUP('Données projet'!$B$17,Paramètres!$A$1:$I$89,3,0)*VLOOKUP('Données projet'!$B$17,Paramètres!$A$1:$I$89,5,0)</f>
        <v>3.3754449306721046</v>
      </c>
      <c r="GB13" s="14">
        <f t="shared" si="49"/>
        <v>1.3501603822238479</v>
      </c>
      <c r="GC13" s="22">
        <f t="shared" si="25"/>
        <v>8.2304292532937833</v>
      </c>
      <c r="GD13" s="62">
        <f t="shared" si="26"/>
        <v>301.56376258662709</v>
      </c>
      <c r="GE13" s="62">
        <f ca="1">AVERAGE(OFFSET($GD$3,0,0,'Données projet'!$E$17+1,1))-AVERAGE(OFFSET($H$3,0,0,'Données projet'!$E$17+1,1))</f>
        <v>70.834027458412379</v>
      </c>
      <c r="GF13" s="62">
        <f t="shared" si="50"/>
        <v>74.346987922112362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1.7333333333333334</v>
      </c>
      <c r="GU13" s="13">
        <f>IF('Données projet'!$A$270&gt;35,GU12+GT13-HC12,IF(A13&lt;'Données projet'!$A$270,$GR$205^A13,IF(A13='Données projet'!$A$270,'Données projet'!$B$270,GU12+GT13-HC12)))</f>
        <v>8.7763829553291259</v>
      </c>
      <c r="GV13" s="18">
        <f>GU13*VLOOKUP('Données projet'!$B$18,Paramètres!$A$1:$I$89,3,0)*VLOOKUP('Données projet'!$B$18,Paramètres!$A$1:$I$89,5,0)</f>
        <v>6.8455787051567185</v>
      </c>
      <c r="GW13" s="14">
        <f t="shared" si="51"/>
        <v>2.5218571900222622</v>
      </c>
      <c r="GX13" s="22">
        <f t="shared" si="28"/>
        <v>16.314950850770057</v>
      </c>
      <c r="GY13" s="62">
        <f t="shared" si="29"/>
        <v>309.64828418410337</v>
      </c>
      <c r="GZ13" s="62">
        <f ca="1">AVERAGE(OFFSET($GY$3,0,0,'Données projet'!$E$18+1,1))-AVERAGE(OFFSET($H$3,0,0,'Données projet'!$E$18+1,1))</f>
        <v>99.222094917553648</v>
      </c>
      <c r="HA13" s="62">
        <f t="shared" si="52"/>
        <v>98.371477396766352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</v>
      </c>
      <c r="N14" s="14">
        <f>IF('Données projet'!$A$36&gt;35,N13+M14-V13,IF(A14&lt;'Données projet'!$A$36,$K$205^A14,IF(A14='Données projet'!$A$36,'Données projet'!$B$36,N13+M14-V13)))</f>
        <v>6.9132037602921814</v>
      </c>
      <c r="O14" s="14">
        <f>N14*VLOOKUP('Données projet'!$B$9,Paramètres!$A$1:$I$89,3,0)*VLOOKUP('Données projet'!$B$9,Paramètres!$A$1:$I$89,5,0)</f>
        <v>3.2353793598167409</v>
      </c>
      <c r="P14" s="14">
        <f t="shared" si="33"/>
        <v>1.3005348098719234</v>
      </c>
      <c r="Q14" s="22">
        <f t="shared" si="2"/>
        <v>7.9000505122077564</v>
      </c>
      <c r="R14" s="62">
        <f t="shared" si="0"/>
        <v>301.23338384554108</v>
      </c>
      <c r="S14" s="62">
        <f ca="1">AVERAGE(OFFSET($R$3,0,0,'Données projet'!$E$9+1,1))-AVERAGE(OFFSET($H$3,0,0,'Données projet'!$E$9+1,1))</f>
        <v>181.48161394994878</v>
      </c>
      <c r="T14" s="62">
        <f t="shared" si="34"/>
        <v>141.1874974464024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318.57002964729838</v>
      </c>
      <c r="AN14" s="62">
        <f ca="1">AVERAGE(OFFSET($AM$3,0,0,'Données projet'!$E$10+1,1))-AVERAGE(OFFSET($H$3,0,0,'Données projet'!$E$10+1,1))</f>
        <v>340.81036749486179</v>
      </c>
      <c r="AO14" s="62">
        <f t="shared" si="36"/>
        <v>208.88199836488013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309.15531959729486</v>
      </c>
      <c r="BI14" s="62">
        <f ca="1">AVERAGE(OFFSET($BH$3,0,0,'Données projet'!$E$11+1,1))-AVERAGE(OFFSET($H$3,0,0,'Données projet'!$E$11+1,1))</f>
        <v>257.96727373333601</v>
      </c>
      <c r="BJ14" s="62">
        <f t="shared" si="38"/>
        <v>194.52809733694494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9.5803232966244067</v>
      </c>
      <c r="CA14" s="14">
        <f t="shared" si="39"/>
        <v>3.3939041949894282</v>
      </c>
      <c r="CB14" s="22">
        <f t="shared" si="10"/>
        <v>22.596779547894098</v>
      </c>
      <c r="CC14" s="62">
        <f t="shared" si="11"/>
        <v>315.93011288122739</v>
      </c>
      <c r="CD14" s="62">
        <f ca="1">AVERAGE(OFFSET($CC$3,0,0,'Données projet'!$E$12+1,1))-AVERAGE(OFFSET($H$3,0,0,'Données projet'!$E$12+1,1))</f>
        <v>292.83612296867898</v>
      </c>
      <c r="CE14" s="62">
        <f t="shared" si="40"/>
        <v>180.48047802041276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5.0860521691657636</v>
      </c>
      <c r="CV14" s="14">
        <f t="shared" si="41"/>
        <v>1.9395909500595778</v>
      </c>
      <c r="CW14" s="22">
        <f t="shared" si="13"/>
        <v>12.236328432650803</v>
      </c>
      <c r="CX14" s="62">
        <f t="shared" si="14"/>
        <v>305.56966176598411</v>
      </c>
      <c r="CY14" s="62">
        <f ca="1">AVERAGE(OFFSET($CX$3,0,0,'Données projet'!$E$13+1,1))-AVERAGE(OFFSET($H$3,0,0,'Données projet'!$E$13+1,1))</f>
        <v>192.93829651668403</v>
      </c>
      <c r="CZ14" s="62">
        <f t="shared" si="42"/>
        <v>76.592736352376903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1.2</v>
      </c>
      <c r="DO14" s="13">
        <f>IF('Données projet'!$A$166&gt;35,DO13+DN14-DW13,IF(A14&lt;'Données projet'!$A$166,$DL$205^A14,IF(A14='Données projet'!$A$166,'Données projet'!$B$166,DO13+DN14-DW13)))</f>
        <v>4.4661504822319662</v>
      </c>
      <c r="DP14" s="18">
        <f>DO14*VLOOKUP('Données projet'!$B$14,Paramètres!$A$1:$I$89,3,0)*VLOOKUP('Données projet'!$B$14,Paramètres!$A$1:$I$89,5,0)</f>
        <v>2.995893743481203</v>
      </c>
      <c r="DQ14" s="14">
        <f t="shared" si="43"/>
        <v>1.2150965764047741</v>
      </c>
      <c r="DR14" s="22">
        <f t="shared" si="16"/>
        <v>7.3341414738014095</v>
      </c>
      <c r="DS14" s="62">
        <f t="shared" si="17"/>
        <v>300.66747480713474</v>
      </c>
      <c r="DT14" s="62">
        <f ca="1">AVERAGE(OFFSET($DS$3,0,0,'Données projet'!$E$14+1,1))-AVERAGE(OFFSET($H$3,0,0,'Données projet'!$E$14+1,1))</f>
        <v>66.964554307546564</v>
      </c>
      <c r="DU14" s="62">
        <f t="shared" si="44"/>
        <v>21.162700178818568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1.2</v>
      </c>
      <c r="EJ14" s="13">
        <f>IF('Données projet'!$A$192&gt;35,EJ13+EI14-ER13,IF(A14&lt;'Données projet'!$A$192,$EG$205^A14,IF(A14='Données projet'!$A$192,'Données projet'!$B$192,EJ13+EI14-ER13)))</f>
        <v>4.4661504822319662</v>
      </c>
      <c r="EK14" s="18">
        <f>EJ14*VLOOKUP('Données projet'!$B$15,Paramètres!$A$1:$I$89,3,0)*VLOOKUP('Données projet'!$B$15,Paramètres!$A$1:$I$89,5,0)</f>
        <v>4.3196607464147583</v>
      </c>
      <c r="EL14" s="14">
        <f t="shared" si="45"/>
        <v>1.6789407368626241</v>
      </c>
      <c r="EM14" s="22">
        <f t="shared" si="19"/>
        <v>10.44756425004144</v>
      </c>
      <c r="EN14" s="62">
        <f t="shared" si="20"/>
        <v>303.78089758337478</v>
      </c>
      <c r="EO14" s="62">
        <f ca="1">AVERAGE(OFFSET($EN$3,0,0,'Données projet'!$E$15+1,1))-AVERAGE(OFFSET($H$3,0,0,'Données projet'!$E$15+1,1))</f>
        <v>146.90952320473599</v>
      </c>
      <c r="EP14" s="62">
        <f t="shared" si="46"/>
        <v>56.347130462109817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1.2</v>
      </c>
      <c r="FE14" s="13">
        <f>IF('Données projet'!$A$218&gt;35,FE13+FD14-FM13,IF(A14&lt;'Données projet'!$A$218,$FB$205^A14,IF(A14='Données projet'!$A$218,'Données projet'!$B$218,FE13+FD14-FM13)))</f>
        <v>4.4661504822319662</v>
      </c>
      <c r="FF14" s="18">
        <f>FE14*VLOOKUP('Données projet'!$B$16,Paramètres!$A$1:$I$89,3,0)*VLOOKUP('Données projet'!$B$16,Paramètres!$A$1:$I$89,5,0)</f>
        <v>4.8073643790744889</v>
      </c>
      <c r="FG14" s="14">
        <f t="shared" si="47"/>
        <v>1.8453770977306692</v>
      </c>
      <c r="FH14" s="22">
        <f t="shared" si="22"/>
        <v>11.586858072102316</v>
      </c>
      <c r="FI14" s="62">
        <f t="shared" si="23"/>
        <v>304.92019140543562</v>
      </c>
      <c r="FJ14" s="62">
        <f ca="1">AVERAGE(OFFSET($FI$3,0,0,'Données projet'!$E$16+1,1))-AVERAGE(OFFSET($H$3,0,0,'Données projet'!$E$16+1,1))</f>
        <v>176.21892815766847</v>
      </c>
      <c r="FK14" s="62">
        <f t="shared" si="48"/>
        <v>69.239647548491234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0.9</v>
      </c>
      <c r="FZ14" s="13">
        <f>IF('Données projet'!$A$244&gt;35,FZ13+FY14-GH13,IF(A14&lt;'Données projet'!$A$244,$FW$205^A14,IF(A14='Données projet'!$A$244,'Données projet'!$B$244,FZ13+FY14-GH13)))</f>
        <v>4.9022999220494095</v>
      </c>
      <c r="GA14" s="18">
        <f>FZ14*VLOOKUP('Données projet'!$B$17,Paramètres!$A$1:$I$89,3,0)*VLOOKUP('Données projet'!$B$17,Paramètres!$A$1:$I$89,5,0)</f>
        <v>3.9002698179825104</v>
      </c>
      <c r="GB14" s="14">
        <f t="shared" si="49"/>
        <v>1.5340633683331502</v>
      </c>
      <c r="GC14" s="22">
        <f t="shared" si="25"/>
        <v>9.4647969661664408</v>
      </c>
      <c r="GD14" s="62">
        <f t="shared" si="26"/>
        <v>302.79813029949975</v>
      </c>
      <c r="GE14" s="62">
        <f ca="1">AVERAGE(OFFSET($GD$3,0,0,'Données projet'!$E$17+1,1))-AVERAGE(OFFSET($H$3,0,0,'Données projet'!$E$17+1,1))</f>
        <v>70.834027458412379</v>
      </c>
      <c r="GF14" s="62">
        <f t="shared" si="50"/>
        <v>74.346987922112362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1.7333333333333334</v>
      </c>
      <c r="GU14" s="13">
        <f>IF('Données projet'!$A$270&gt;35,GU13+GT14-HC13,IF(A14&lt;'Données projet'!$A$270,$GR$205^A14,IF(A14='Données projet'!$A$270,'Données projet'!$B$270,GU13+GT14-HC13)))</f>
        <v>10.905538664638895</v>
      </c>
      <c r="GV14" s="18">
        <f>GU14*VLOOKUP('Données projet'!$B$18,Paramètres!$A$1:$I$89,3,0)*VLOOKUP('Données projet'!$B$18,Paramètres!$A$1:$I$89,5,0)</f>
        <v>8.5063201584183386</v>
      </c>
      <c r="GW14" s="14">
        <f t="shared" si="51"/>
        <v>3.0554265822115338</v>
      </c>
      <c r="GX14" s="22">
        <f t="shared" si="28"/>
        <v>20.136708906597026</v>
      </c>
      <c r="GY14" s="62">
        <f t="shared" si="29"/>
        <v>313.47004223993036</v>
      </c>
      <c r="GZ14" s="62">
        <f ca="1">AVERAGE(OFFSET($GY$3,0,0,'Données projet'!$E$18+1,1))-AVERAGE(OFFSET($H$3,0,0,'Données projet'!$E$18+1,1))</f>
        <v>99.222094917553648</v>
      </c>
      <c r="HA14" s="62">
        <f t="shared" si="52"/>
        <v>98.371477396766352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</v>
      </c>
      <c r="N15" s="14">
        <f>IF('Données projet'!$A$36&gt;35,N14+M15-V14,IF(A15&lt;'Données projet'!$A$36,$K$205^A15,IF(A15='Données projet'!$A$36,'Données projet'!$B$36,N14+M15-V14)))</f>
        <v>8.2416438750681742</v>
      </c>
      <c r="O15" s="14">
        <f>N15*VLOOKUP('Données projet'!$B$9,Paramètres!$A$1:$I$89,3,0)*VLOOKUP('Données projet'!$B$9,Paramètres!$A$1:$I$89,5,0)</f>
        <v>3.8570893335319059</v>
      </c>
      <c r="P15" s="14">
        <f t="shared" si="33"/>
        <v>1.5190467283932132</v>
      </c>
      <c r="Q15" s="22">
        <f t="shared" si="2"/>
        <v>9.3634369745195816</v>
      </c>
      <c r="R15" s="62">
        <f t="shared" si="0"/>
        <v>302.69677030785289</v>
      </c>
      <c r="S15" s="62">
        <f ca="1">AVERAGE(OFFSET($R$3,0,0,'Données projet'!$E$9+1,1))-AVERAGE(OFFSET($H$3,0,0,'Données projet'!$E$9+1,1))</f>
        <v>181.48161394994878</v>
      </c>
      <c r="T15" s="62">
        <f t="shared" si="34"/>
        <v>141.1874974464024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324.40863972786531</v>
      </c>
      <c r="AN15" s="62">
        <f ca="1">AVERAGE(OFFSET($AM$3,0,0,'Données projet'!$E$10+1,1))-AVERAGE(OFFSET($H$3,0,0,'Données projet'!$E$10+1,1))</f>
        <v>340.81036749486179</v>
      </c>
      <c r="AO15" s="62">
        <f t="shared" si="36"/>
        <v>208.88199836488013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312.8902077629582</v>
      </c>
      <c r="BI15" s="62">
        <f ca="1">AVERAGE(OFFSET($BH$3,0,0,'Données projet'!$E$11+1,1))-AVERAGE(OFFSET($H$3,0,0,'Données projet'!$E$11+1,1))</f>
        <v>257.96727373333601</v>
      </c>
      <c r="BJ15" s="62">
        <f t="shared" si="38"/>
        <v>194.52809733694494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11.872612896942668</v>
      </c>
      <c r="CA15" s="14">
        <f t="shared" si="39"/>
        <v>4.1022411108131784</v>
      </c>
      <c r="CB15" s="22">
        <f t="shared" si="10"/>
        <v>27.822870730174767</v>
      </c>
      <c r="CC15" s="62">
        <f t="shared" si="11"/>
        <v>321.15620406350808</v>
      </c>
      <c r="CD15" s="62">
        <f ca="1">AVERAGE(OFFSET($CC$3,0,0,'Données projet'!$E$12+1,1))-AVERAGE(OFFSET($H$3,0,0,'Données projet'!$E$12+1,1))</f>
        <v>292.83612296867898</v>
      </c>
      <c r="CE15" s="62">
        <f t="shared" si="40"/>
        <v>180.48047802041276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5.827276972391914</v>
      </c>
      <c r="CV15" s="14">
        <f t="shared" si="41"/>
        <v>2.1873461833967758</v>
      </c>
      <c r="CW15" s="22">
        <f t="shared" si="13"/>
        <v>13.958801996331969</v>
      </c>
      <c r="CX15" s="62">
        <f t="shared" si="14"/>
        <v>307.29213532966526</v>
      </c>
      <c r="CY15" s="62">
        <f ca="1">AVERAGE(OFFSET($CX$3,0,0,'Données projet'!$E$13+1,1))-AVERAGE(OFFSET($H$3,0,0,'Données projet'!$E$13+1,1))</f>
        <v>192.93829651668403</v>
      </c>
      <c r="CZ15" s="62">
        <f t="shared" si="42"/>
        <v>76.592736352376903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1.2</v>
      </c>
      <c r="DO15" s="13">
        <f>IF('Données projet'!$A$166&gt;35,DO14+DN15-DW14,IF(A15&lt;'Données projet'!$A$166,$DL$205^A15,IF(A15='Données projet'!$A$166,'Données projet'!$B$166,DO14+DN15-DW14)))</f>
        <v>5.1170328173444979</v>
      </c>
      <c r="DP15" s="18">
        <f>DO15*VLOOKUP('Données projet'!$B$14,Paramètres!$A$1:$I$89,3,0)*VLOOKUP('Données projet'!$B$14,Paramètres!$A$1:$I$89,5,0)</f>
        <v>3.4325056138746892</v>
      </c>
      <c r="DQ15" s="14">
        <f t="shared" si="43"/>
        <v>1.3703079295022655</v>
      </c>
      <c r="DR15" s="22">
        <f t="shared" si="16"/>
        <v>8.3649002547148612</v>
      </c>
      <c r="DS15" s="62">
        <f t="shared" si="17"/>
        <v>301.6982335880482</v>
      </c>
      <c r="DT15" s="62">
        <f ca="1">AVERAGE(OFFSET($DS$3,0,0,'Données projet'!$E$14+1,1))-AVERAGE(OFFSET($H$3,0,0,'Données projet'!$E$14+1,1))</f>
        <v>66.964554307546564</v>
      </c>
      <c r="DU15" s="62">
        <f t="shared" si="44"/>
        <v>21.162700178818568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1.2</v>
      </c>
      <c r="EJ15" s="13">
        <f>IF('Données projet'!$A$192&gt;35,EJ14+EI15-ER14,IF(A15&lt;'Données projet'!$A$192,$EG$205^A15,IF(A15='Données projet'!$A$192,'Données projet'!$B$192,EJ14+EI15-ER14)))</f>
        <v>5.1170328173444979</v>
      </c>
      <c r="EK15" s="18">
        <f>EJ15*VLOOKUP('Données projet'!$B$15,Paramètres!$A$1:$I$89,3,0)*VLOOKUP('Données projet'!$B$15,Paramètres!$A$1:$I$89,5,0)</f>
        <v>4.9491941409355986</v>
      </c>
      <c r="EL15" s="14">
        <f t="shared" si="45"/>
        <v>1.8934016024425293</v>
      </c>
      <c r="EM15" s="22">
        <f t="shared" si="19"/>
        <v>11.917520919716907</v>
      </c>
      <c r="EN15" s="62">
        <f t="shared" si="20"/>
        <v>305.25085425305019</v>
      </c>
      <c r="EO15" s="62">
        <f ca="1">AVERAGE(OFFSET($EN$3,0,0,'Données projet'!$E$15+1,1))-AVERAGE(OFFSET($H$3,0,0,'Données projet'!$E$15+1,1))</f>
        <v>146.90952320473599</v>
      </c>
      <c r="EP15" s="62">
        <f t="shared" si="46"/>
        <v>56.347130462109817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1.2</v>
      </c>
      <c r="FE15" s="13">
        <f>IF('Données projet'!$A$218&gt;35,FE14+FD15-FM14,IF(A15&lt;'Données projet'!$A$218,$FB$205^A15,IF(A15='Données projet'!$A$218,'Données projet'!$B$218,FE14+FD15-FM14)))</f>
        <v>5.1170328173444979</v>
      </c>
      <c r="FF15" s="18">
        <f>FE15*VLOOKUP('Données projet'!$B$16,Paramètres!$A$1:$I$89,3,0)*VLOOKUP('Données projet'!$B$16,Paramètres!$A$1:$I$89,5,0)</f>
        <v>5.5079741245896177</v>
      </c>
      <c r="FG15" s="14">
        <f t="shared" si="47"/>
        <v>2.0810978477317659</v>
      </c>
      <c r="FH15" s="22">
        <f t="shared" si="22"/>
        <v>13.217633685126408</v>
      </c>
      <c r="FI15" s="62">
        <f t="shared" si="23"/>
        <v>306.55096701845974</v>
      </c>
      <c r="FJ15" s="62">
        <f ca="1">AVERAGE(OFFSET($FI$3,0,0,'Données projet'!$E$16+1,1))-AVERAGE(OFFSET($H$3,0,0,'Données projet'!$E$16+1,1))</f>
        <v>176.21892815766847</v>
      </c>
      <c r="FK15" s="62">
        <f t="shared" si="48"/>
        <v>69.239647548491234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0.9</v>
      </c>
      <c r="FZ15" s="13">
        <f>IF('Données projet'!$A$244&gt;35,FZ14+FY15-GH14,IF(A15&lt;'Données projet'!$A$244,$FW$205^A15,IF(A15='Données projet'!$A$244,'Données projet'!$B$244,FZ14+FY15-GH14)))</f>
        <v>5.6645250677694134</v>
      </c>
      <c r="GA15" s="18">
        <f>FZ15*VLOOKUP('Données projet'!$B$17,Paramètres!$A$1:$I$89,3,0)*VLOOKUP('Données projet'!$B$17,Paramètres!$A$1:$I$89,5,0)</f>
        <v>4.5066961439173454</v>
      </c>
      <c r="GB15" s="14">
        <f t="shared" si="49"/>
        <v>1.7430154587897546</v>
      </c>
      <c r="GC15" s="22">
        <f t="shared" si="25"/>
        <v>10.884914374714866</v>
      </c>
      <c r="GD15" s="62">
        <f t="shared" si="26"/>
        <v>304.21824770804818</v>
      </c>
      <c r="GE15" s="62">
        <f ca="1">AVERAGE(OFFSET($GD$3,0,0,'Données projet'!$E$17+1,1))-AVERAGE(OFFSET($H$3,0,0,'Données projet'!$E$17+1,1))</f>
        <v>70.834027458412379</v>
      </c>
      <c r="GF15" s="62">
        <f t="shared" si="50"/>
        <v>74.346987922112362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1.7333333333333334</v>
      </c>
      <c r="GU15" s="13">
        <f>IF('Données projet'!$A$270&gt;35,GU14+GT15-HC14,IF(A15&lt;'Données projet'!$A$270,$GR$205^A15,IF(A15='Données projet'!$A$270,'Données projet'!$B$270,GU14+GT15-HC14)))</f>
        <v>13.551228811604867</v>
      </c>
      <c r="GV15" s="18">
        <f>GU15*VLOOKUP('Données projet'!$B$18,Paramètres!$A$1:$I$89,3,0)*VLOOKUP('Données projet'!$B$18,Paramètres!$A$1:$I$89,5,0)</f>
        <v>10.569958473051797</v>
      </c>
      <c r="GW15" s="14">
        <f t="shared" si="51"/>
        <v>3.701887496334574</v>
      </c>
      <c r="GX15" s="22">
        <f t="shared" si="28"/>
        <v>24.85679839668126</v>
      </c>
      <c r="GY15" s="62">
        <f t="shared" si="29"/>
        <v>318.19013173001457</v>
      </c>
      <c r="GZ15" s="62">
        <f ca="1">AVERAGE(OFFSET($GY$3,0,0,'Données projet'!$E$18+1,1))-AVERAGE(OFFSET($H$3,0,0,'Données projet'!$E$18+1,1))</f>
        <v>99.222094917553648</v>
      </c>
      <c r="HA15" s="62">
        <f t="shared" si="52"/>
        <v>98.371477396766352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</v>
      </c>
      <c r="N16" s="14">
        <f>IF('Données projet'!$A$36&gt;35,N15+M16-V15,IF(A16&lt;'Données projet'!$A$36,$K$205^A16,IF(A16='Données projet'!$A$36,'Données projet'!$B$36,N15+M16-V15)))</f>
        <v>9.8253568271186005</v>
      </c>
      <c r="O16" s="14">
        <f>N16*VLOOKUP('Données projet'!$B$9,Paramètres!$A$1:$I$89,3,0)*VLOOKUP('Données projet'!$B$9,Paramètres!$A$1:$I$89,5,0)</f>
        <v>4.5982669950915049</v>
      </c>
      <c r="P16" s="14">
        <f t="shared" si="33"/>
        <v>1.7742723574383734</v>
      </c>
      <c r="Q16" s="22">
        <f t="shared" si="2"/>
        <v>11.098839372322871</v>
      </c>
      <c r="R16" s="62">
        <f t="shared" si="0"/>
        <v>304.43217270565617</v>
      </c>
      <c r="S16" s="62">
        <f ca="1">AVERAGE(OFFSET($R$3,0,0,'Données projet'!$E$9+1,1))-AVERAGE(OFFSET($H$3,0,0,'Données projet'!$E$9+1,1))</f>
        <v>181.48161394994878</v>
      </c>
      <c r="T16" s="62">
        <f t="shared" si="34"/>
        <v>141.1874974464024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331.60255978040777</v>
      </c>
      <c r="AN16" s="62">
        <f ca="1">AVERAGE(OFFSET($AM$3,0,0,'Données projet'!$E$10+1,1))-AVERAGE(OFFSET($H$3,0,0,'Données projet'!$E$10+1,1))</f>
        <v>340.81036749486179</v>
      </c>
      <c r="AO16" s="62">
        <f t="shared" si="36"/>
        <v>208.88199836488013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317.50979388947383</v>
      </c>
      <c r="BI16" s="62">
        <f ca="1">AVERAGE(OFFSET($BH$3,0,0,'Données projet'!$E$11+1,1))-AVERAGE(OFFSET($H$3,0,0,'Données projet'!$E$11+1,1))</f>
        <v>257.96727373333601</v>
      </c>
      <c r="BJ16" s="62">
        <f t="shared" si="38"/>
        <v>194.52809733694494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14.713379980643843</v>
      </c>
      <c r="CA16" s="14">
        <f t="shared" si="39"/>
        <v>4.9584140165447881</v>
      </c>
      <c r="CB16" s="22">
        <f t="shared" si="10"/>
        <v>34.261707878436859</v>
      </c>
      <c r="CC16" s="62">
        <f t="shared" si="11"/>
        <v>327.59504121177019</v>
      </c>
      <c r="CD16" s="62">
        <f ca="1">AVERAGE(OFFSET($CC$3,0,0,'Données projet'!$E$12+1,1))-AVERAGE(OFFSET($H$3,0,0,'Données projet'!$E$12+1,1))</f>
        <v>292.83612296867898</v>
      </c>
      <c r="CE16" s="62">
        <f t="shared" si="40"/>
        <v>180.48047802041276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6.6765254825411819</v>
      </c>
      <c r="CV16" s="14">
        <f t="shared" si="41"/>
        <v>2.4667486337124225</v>
      </c>
      <c r="CW16" s="22">
        <f t="shared" si="13"/>
        <v>15.924535752475025</v>
      </c>
      <c r="CX16" s="62">
        <f t="shared" si="14"/>
        <v>309.25786908580835</v>
      </c>
      <c r="CY16" s="62">
        <f ca="1">AVERAGE(OFFSET($CX$3,0,0,'Données projet'!$E$13+1,1))-AVERAGE(OFFSET($H$3,0,0,'Données projet'!$E$13+1,1))</f>
        <v>192.93829651668403</v>
      </c>
      <c r="CZ16" s="62">
        <f t="shared" si="42"/>
        <v>76.592736352376903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1.2</v>
      </c>
      <c r="DO16" s="13">
        <f>IF('Données projet'!$A$166&gt;35,DO15+DN16-DW15,IF(A16&lt;'Données projet'!$A$166,$DL$205^A16,IF(A16='Données projet'!$A$166,'Données projet'!$B$166,DO15+DN16-DW15)))</f>
        <v>5.8627726400958746</v>
      </c>
      <c r="DP16" s="18">
        <f>DO16*VLOOKUP('Données projet'!$B$14,Paramètres!$A$1:$I$89,3,0)*VLOOKUP('Données projet'!$B$14,Paramètres!$A$1:$I$89,5,0)</f>
        <v>3.9327478869763128</v>
      </c>
      <c r="DQ16" s="14">
        <f t="shared" si="43"/>
        <v>1.5453453314901533</v>
      </c>
      <c r="DR16" s="22">
        <f t="shared" si="16"/>
        <v>9.5410123554957611</v>
      </c>
      <c r="DS16" s="62">
        <f t="shared" si="17"/>
        <v>302.87434568882907</v>
      </c>
      <c r="DT16" s="62">
        <f ca="1">AVERAGE(OFFSET($DS$3,0,0,'Données projet'!$E$14+1,1))-AVERAGE(OFFSET($H$3,0,0,'Données projet'!$E$14+1,1))</f>
        <v>66.964554307546564</v>
      </c>
      <c r="DU16" s="62">
        <f t="shared" si="44"/>
        <v>21.162700178818568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1.2</v>
      </c>
      <c r="EJ16" s="13">
        <f>IF('Données projet'!$A$192&gt;35,EJ15+EI16-ER15,IF(A16&lt;'Données projet'!$A$192,$EG$205^A16,IF(A16='Données projet'!$A$192,'Données projet'!$B$192,EJ15+EI16-ER15)))</f>
        <v>5.8627726400958746</v>
      </c>
      <c r="EK16" s="18">
        <f>EJ16*VLOOKUP('Données projet'!$B$15,Paramètres!$A$1:$I$89,3,0)*VLOOKUP('Données projet'!$B$15,Paramètres!$A$1:$I$89,5,0)</f>
        <v>5.6704736975007304</v>
      </c>
      <c r="EL16" s="14">
        <f t="shared" si="45"/>
        <v>2.1352568017564701</v>
      </c>
      <c r="EM16" s="22">
        <f t="shared" si="19"/>
        <v>13.594980619539625</v>
      </c>
      <c r="EN16" s="62">
        <f t="shared" si="20"/>
        <v>306.92831395287294</v>
      </c>
      <c r="EO16" s="62">
        <f ca="1">AVERAGE(OFFSET($EN$3,0,0,'Données projet'!$E$15+1,1))-AVERAGE(OFFSET($H$3,0,0,'Données projet'!$E$15+1,1))</f>
        <v>146.90952320473599</v>
      </c>
      <c r="EP16" s="62">
        <f t="shared" si="46"/>
        <v>56.347130462109817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1.2</v>
      </c>
      <c r="FE16" s="13">
        <f>IF('Données projet'!$A$218&gt;35,FE15+FD16-FM15,IF(A16&lt;'Données projet'!$A$218,$FB$205^A16,IF(A16='Données projet'!$A$218,'Données projet'!$B$218,FE15+FD16-FM15)))</f>
        <v>5.8627726400958746</v>
      </c>
      <c r="FF16" s="18">
        <f>FE16*VLOOKUP('Données projet'!$B$16,Paramètres!$A$1:$I$89,3,0)*VLOOKUP('Données projet'!$B$16,Paramètres!$A$1:$I$89,5,0)</f>
        <v>6.3106884697991985</v>
      </c>
      <c r="FG16" s="14">
        <f t="shared" si="47"/>
        <v>2.346928580158357</v>
      </c>
      <c r="FH16" s="22">
        <f t="shared" si="22"/>
        <v>15.078683028676075</v>
      </c>
      <c r="FI16" s="62">
        <f t="shared" si="23"/>
        <v>308.41201636200941</v>
      </c>
      <c r="FJ16" s="62">
        <f ca="1">AVERAGE(OFFSET($FI$3,0,0,'Données projet'!$E$16+1,1))-AVERAGE(OFFSET($H$3,0,0,'Données projet'!$E$16+1,1))</f>
        <v>176.21892815766847</v>
      </c>
      <c r="FK16" s="62">
        <f t="shared" si="48"/>
        <v>69.239647548491234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0.9</v>
      </c>
      <c r="FZ16" s="13">
        <f>IF('Données projet'!$A$244&gt;35,FZ15+FY16-GH15,IF(A16&lt;'Données projet'!$A$244,$FW$205^A16,IF(A16='Données projet'!$A$244,'Données projet'!$B$244,FZ15+FY16-GH15)))</f>
        <v>6.5452633975063188</v>
      </c>
      <c r="GA16" s="18">
        <f>FZ16*VLOOKUP('Données projet'!$B$17,Paramètres!$A$1:$I$89,3,0)*VLOOKUP('Données projet'!$B$17,Paramètres!$A$1:$I$89,5,0)</f>
        <v>5.2074115590560277</v>
      </c>
      <c r="GB16" s="14">
        <f t="shared" si="49"/>
        <v>1.9804285483207489</v>
      </c>
      <c r="GC16" s="22">
        <f t="shared" si="25"/>
        <v>12.518821520347885</v>
      </c>
      <c r="GD16" s="62">
        <f t="shared" si="26"/>
        <v>305.85215485368121</v>
      </c>
      <c r="GE16" s="62">
        <f ca="1">AVERAGE(OFFSET($GD$3,0,0,'Données projet'!$E$17+1,1))-AVERAGE(OFFSET($H$3,0,0,'Données projet'!$E$17+1,1))</f>
        <v>70.834027458412379</v>
      </c>
      <c r="GF16" s="62">
        <f t="shared" si="50"/>
        <v>74.346987922112362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1.7333333333333334</v>
      </c>
      <c r="GU16" s="13">
        <f>IF('Données projet'!$A$270&gt;35,GU15+GT16-HC15,IF(A16&lt;'Données projet'!$A$270,$GR$205^A16,IF(A16='Données projet'!$A$270,'Données projet'!$B$270,GU15+GT16-HC15)))</f>
        <v>16.838764957104519</v>
      </c>
      <c r="GV16" s="18">
        <f>GU16*VLOOKUP('Données projet'!$B$18,Paramètres!$A$1:$I$89,3,0)*VLOOKUP('Données projet'!$B$18,Paramètres!$A$1:$I$89,5,0)</f>
        <v>13.134236666541526</v>
      </c>
      <c r="GW16" s="14">
        <f t="shared" si="51"/>
        <v>4.4851252899682699</v>
      </c>
      <c r="GX16" s="22">
        <f t="shared" si="28"/>
        <v>30.687055407587891</v>
      </c>
      <c r="GY16" s="62">
        <f t="shared" si="29"/>
        <v>324.02038874092119</v>
      </c>
      <c r="GZ16" s="62">
        <f ca="1">AVERAGE(OFFSET($GY$3,0,0,'Données projet'!$E$18+1,1))-AVERAGE(OFFSET($H$3,0,0,'Données projet'!$E$18+1,1))</f>
        <v>99.222094917553648</v>
      </c>
      <c r="HA16" s="62">
        <f t="shared" si="52"/>
        <v>98.371477396766352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</v>
      </c>
      <c r="N17" s="14">
        <f>IF('Données projet'!$A$36&gt;35,N16+M17-V16,IF(A17&lt;'Données projet'!$A$36,$K$205^A17,IF(A17='Données projet'!$A$36,'Données projet'!$B$36,N16+M17-V16)))</f>
        <v>11.71339580350498</v>
      </c>
      <c r="O17" s="14">
        <f>N17*VLOOKUP('Données projet'!$B$9,Paramètres!$A$1:$I$89,3,0)*VLOOKUP('Données projet'!$B$9,Paramètres!$A$1:$I$89,5,0)</f>
        <v>5.4818692360403301</v>
      </c>
      <c r="P17" s="14">
        <f t="shared" si="33"/>
        <v>2.0723802234180093</v>
      </c>
      <c r="Q17" s="22">
        <f t="shared" si="2"/>
        <v>13.156984475223274</v>
      </c>
      <c r="R17" s="62">
        <f t="shared" si="0"/>
        <v>306.4903178085566</v>
      </c>
      <c r="S17" s="62">
        <f ca="1">AVERAGE(OFFSET($R$3,0,0,'Données projet'!$E$9+1,1))-AVERAGE(OFFSET($H$3,0,0,'Données projet'!$E$9+1,1))</f>
        <v>181.48161394994878</v>
      </c>
      <c r="T17" s="62">
        <f t="shared" si="34"/>
        <v>141.1874974464024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340.46737295239302</v>
      </c>
      <c r="AN17" s="62">
        <f ca="1">AVERAGE(OFFSET($AM$3,0,0,'Données projet'!$E$10+1,1))-AVERAGE(OFFSET($H$3,0,0,'Données projet'!$E$10+1,1))</f>
        <v>340.81036749486179</v>
      </c>
      <c r="AO17" s="62">
        <f t="shared" si="36"/>
        <v>208.88199836488013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323.2243139626886</v>
      </c>
      <c r="BI17" s="62">
        <f ca="1">AVERAGE(OFFSET($BH$3,0,0,'Données projet'!$E$11+1,1))-AVERAGE(OFFSET($H$3,0,0,'Données projet'!$E$11+1,1))</f>
        <v>257.96727373333601</v>
      </c>
      <c r="BJ17" s="62">
        <f t="shared" si="38"/>
        <v>194.52809733694494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18.233859078363277</v>
      </c>
      <c r="CA17" s="14">
        <f t="shared" si="39"/>
        <v>5.9932775513027368</v>
      </c>
      <c r="CB17" s="22">
        <f t="shared" si="10"/>
        <v>42.195596296668306</v>
      </c>
      <c r="CC17" s="62">
        <f t="shared" si="11"/>
        <v>335.52892963000164</v>
      </c>
      <c r="CD17" s="62">
        <f ca="1">AVERAGE(OFFSET($CC$3,0,0,'Données projet'!$E$12+1,1))-AVERAGE(OFFSET($H$3,0,0,'Données projet'!$E$12+1,1))</f>
        <v>292.83612296867898</v>
      </c>
      <c r="CE17" s="62">
        <f t="shared" si="40"/>
        <v>180.48047802041276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7.6495407254899579</v>
      </c>
      <c r="CV17" s="14">
        <f t="shared" si="41"/>
        <v>2.7818407841015893</v>
      </c>
      <c r="CW17" s="22">
        <f t="shared" si="13"/>
        <v>18.16798946253861</v>
      </c>
      <c r="CX17" s="62">
        <f t="shared" si="14"/>
        <v>311.50132279587194</v>
      </c>
      <c r="CY17" s="62">
        <f ca="1">AVERAGE(OFFSET($CX$3,0,0,'Données projet'!$E$13+1,1))-AVERAGE(OFFSET($H$3,0,0,'Données projet'!$E$13+1,1))</f>
        <v>192.93829651668403</v>
      </c>
      <c r="CZ17" s="62">
        <f t="shared" si="42"/>
        <v>76.592736352376903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1.2</v>
      </c>
      <c r="DO17" s="13">
        <f>IF('Données projet'!$A$166&gt;35,DO16+DN17-DW16,IF(A17&lt;'Données projet'!$A$166,$DL$205^A17,IF(A17='Données projet'!$A$166,'Données projet'!$B$166,DO16+DN17-DW16)))</f>
        <v>6.7171941741218459</v>
      </c>
      <c r="DP17" s="18">
        <f>DO17*VLOOKUP('Données projet'!$B$14,Paramètres!$A$1:$I$89,3,0)*VLOOKUP('Données projet'!$B$14,Paramètres!$A$1:$I$89,5,0)</f>
        <v>4.5058938520009342</v>
      </c>
      <c r="DQ17" s="14">
        <f t="shared" si="43"/>
        <v>1.7427412789078978</v>
      </c>
      <c r="DR17" s="22">
        <f t="shared" si="16"/>
        <v>10.883039519666218</v>
      </c>
      <c r="DS17" s="62">
        <f t="shared" si="17"/>
        <v>304.21637285299954</v>
      </c>
      <c r="DT17" s="62">
        <f ca="1">AVERAGE(OFFSET($DS$3,0,0,'Données projet'!$E$14+1,1))-AVERAGE(OFFSET($H$3,0,0,'Données projet'!$E$14+1,1))</f>
        <v>66.964554307546564</v>
      </c>
      <c r="DU17" s="62">
        <f t="shared" si="44"/>
        <v>21.162700178818568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1.2</v>
      </c>
      <c r="EJ17" s="13">
        <f>IF('Données projet'!$A$192&gt;35,EJ16+EI17-ER16,IF(A17&lt;'Données projet'!$A$192,$EG$205^A17,IF(A17='Données projet'!$A$192,'Données projet'!$B$192,EJ16+EI17-ER16)))</f>
        <v>6.7171941741218459</v>
      </c>
      <c r="EK17" s="18">
        <f>EJ17*VLOOKUP('Données projet'!$B$15,Paramètres!$A$1:$I$89,3,0)*VLOOKUP('Données projet'!$B$15,Paramètres!$A$1:$I$89,5,0)</f>
        <v>6.4968702052106497</v>
      </c>
      <c r="EL17" s="14">
        <f t="shared" si="45"/>
        <v>2.4080055723865681</v>
      </c>
      <c r="EM17" s="22">
        <f t="shared" si="19"/>
        <v>15.509325312648487</v>
      </c>
      <c r="EN17" s="62">
        <f t="shared" si="20"/>
        <v>308.84265864598183</v>
      </c>
      <c r="EO17" s="62">
        <f ca="1">AVERAGE(OFFSET($EN$3,0,0,'Données projet'!$E$15+1,1))-AVERAGE(OFFSET($H$3,0,0,'Données projet'!$E$15+1,1))</f>
        <v>146.90952320473599</v>
      </c>
      <c r="EP17" s="62">
        <f t="shared" si="46"/>
        <v>56.347130462109817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1.2</v>
      </c>
      <c r="FE17" s="13">
        <f>IF('Données projet'!$A$218&gt;35,FE16+FD17-FM16,IF(A17&lt;'Données projet'!$A$218,$FB$205^A17,IF(A17='Données projet'!$A$218,'Données projet'!$B$218,FE16+FD17-FM16)))</f>
        <v>6.7171941741218459</v>
      </c>
      <c r="FF17" s="18">
        <f>FE17*VLOOKUP('Données projet'!$B$16,Paramètres!$A$1:$I$89,3,0)*VLOOKUP('Données projet'!$B$16,Paramètres!$A$1:$I$89,5,0)</f>
        <v>7.2303878090247551</v>
      </c>
      <c r="FG17" s="14">
        <f t="shared" si="47"/>
        <v>2.6467154181950132</v>
      </c>
      <c r="FH17" s="22">
        <f t="shared" si="22"/>
        <v>17.202621454074428</v>
      </c>
      <c r="FI17" s="62">
        <f t="shared" si="23"/>
        <v>310.53595478740772</v>
      </c>
      <c r="FJ17" s="62">
        <f ca="1">AVERAGE(OFFSET($FI$3,0,0,'Données projet'!$E$16+1,1))-AVERAGE(OFFSET($H$3,0,0,'Données projet'!$E$16+1,1))</f>
        <v>176.21892815766847</v>
      </c>
      <c r="FK17" s="62">
        <f t="shared" si="48"/>
        <v>69.239647548491234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0.9</v>
      </c>
      <c r="FZ17" s="13">
        <f>IF('Données projet'!$A$244&gt;35,FZ16+FY17-GH16,IF(A17&lt;'Données projet'!$A$244,$FW$205^A17,IF(A17='Données projet'!$A$244,'Données projet'!$B$244,FZ16+FY17-GH16)))</f>
        <v>7.5629417171254145</v>
      </c>
      <c r="GA17" s="18">
        <f>FZ17*VLOOKUP('Données projet'!$B$17,Paramètres!$A$1:$I$89,3,0)*VLOOKUP('Données projet'!$B$17,Paramètres!$A$1:$I$89,5,0)</f>
        <v>6.0170764301449804</v>
      </c>
      <c r="GB17" s="14">
        <f t="shared" si="49"/>
        <v>2.250179259871337</v>
      </c>
      <c r="GC17" s="22">
        <f t="shared" si="25"/>
        <v>14.398803660111751</v>
      </c>
      <c r="GD17" s="62">
        <f t="shared" si="26"/>
        <v>307.73213699344507</v>
      </c>
      <c r="GE17" s="62">
        <f ca="1">AVERAGE(OFFSET($GD$3,0,0,'Données projet'!$E$17+1,1))-AVERAGE(OFFSET($H$3,0,0,'Données projet'!$E$17+1,1))</f>
        <v>70.834027458412379</v>
      </c>
      <c r="GF17" s="62">
        <f t="shared" si="50"/>
        <v>74.346987922112362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1.7333333333333334</v>
      </c>
      <c r="GU17" s="13">
        <f>IF('Données projet'!$A$270&gt;35,GU16+GT17-HC16,IF(A17&lt;'Données projet'!$A$270,$GR$205^A17,IF(A17='Données projet'!$A$270,'Données projet'!$B$270,GU16+GT17-HC16)))</f>
        <v>20.92385932099328</v>
      </c>
      <c r="GV17" s="18">
        <f>GU17*VLOOKUP('Données projet'!$B$18,Paramètres!$A$1:$I$89,3,0)*VLOOKUP('Données projet'!$B$18,Paramètres!$A$1:$I$89,5,0)</f>
        <v>16.320610270374758</v>
      </c>
      <c r="GW17" s="14">
        <f t="shared" si="51"/>
        <v>5.4340789358485804</v>
      </c>
      <c r="GX17" s="22">
        <f t="shared" si="28"/>
        <v>37.889417034172318</v>
      </c>
      <c r="GY17" s="62">
        <f t="shared" si="29"/>
        <v>331.22275036750563</v>
      </c>
      <c r="GZ17" s="62">
        <f ca="1">AVERAGE(OFFSET($GY$3,0,0,'Données projet'!$E$18+1,1))-AVERAGE(OFFSET($H$3,0,0,'Données projet'!$E$18+1,1))</f>
        <v>99.222094917553648</v>
      </c>
      <c r="HA17" s="62">
        <f t="shared" si="52"/>
        <v>98.371477396766352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</v>
      </c>
      <c r="N18" s="14">
        <f>IF('Données projet'!$A$36&gt;35,N17+M18-V17,IF(A18&lt;'Données projet'!$A$36,$K$205^A18,IF(A18='Données projet'!$A$36,'Données projet'!$B$36,N17+M18-V17)))</f>
        <v>13.964240043768939</v>
      </c>
      <c r="O18" s="14">
        <f>N18*VLOOKUP('Données projet'!$B$9,Paramètres!$A$1:$I$89,3,0)*VLOOKUP('Données projet'!$B$9,Paramètres!$A$1:$I$89,5,0)</f>
        <v>6.5352643404838631</v>
      </c>
      <c r="P18" s="14">
        <f t="shared" si="33"/>
        <v>2.4205752698614362</v>
      </c>
      <c r="Q18" s="22">
        <f t="shared" si="2"/>
        <v>15.598087321351393</v>
      </c>
      <c r="R18" s="62">
        <f t="shared" si="0"/>
        <v>308.9314206546847</v>
      </c>
      <c r="S18" s="62">
        <f ca="1">AVERAGE(OFFSET($R$3,0,0,'Données projet'!$E$9+1,1))-AVERAGE(OFFSET($H$3,0,0,'Données projet'!$E$9+1,1))</f>
        <v>181.48161394994878</v>
      </c>
      <c r="T18" s="62">
        <f t="shared" si="34"/>
        <v>141.1874974464024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351.39235583545371</v>
      </c>
      <c r="AN18" s="62">
        <f ca="1">AVERAGE(OFFSET($AM$3,0,0,'Données projet'!$E$10+1,1))-AVERAGE(OFFSET($H$3,0,0,'Données projet'!$E$10+1,1))</f>
        <v>340.81036749486179</v>
      </c>
      <c r="AO18" s="62">
        <f t="shared" si="36"/>
        <v>208.88199836488013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330.29411192516659</v>
      </c>
      <c r="BI18" s="62">
        <f ca="1">AVERAGE(OFFSET($BH$3,0,0,'Données projet'!$E$11+1,1))-AVERAGE(OFFSET($H$3,0,0,'Données projet'!$E$11+1,1))</f>
        <v>257.96727373333601</v>
      </c>
      <c r="BJ18" s="62">
        <f t="shared" si="38"/>
        <v>194.52809733694494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22.596685284210423</v>
      </c>
      <c r="CA18" s="14">
        <f t="shared" si="39"/>
        <v>7.2441259820371586</v>
      </c>
      <c r="CB18" s="22">
        <f t="shared" si="10"/>
        <v>51.972746288714539</v>
      </c>
      <c r="CC18" s="62">
        <f t="shared" si="11"/>
        <v>345.30607962204783</v>
      </c>
      <c r="CD18" s="62">
        <f ca="1">AVERAGE(OFFSET($CC$3,0,0,'Données projet'!$E$12+1,1))-AVERAGE(OFFSET($H$3,0,0,'Données projet'!$E$12+1,1))</f>
        <v>292.83612296867898</v>
      </c>
      <c r="CE18" s="62">
        <f t="shared" si="40"/>
        <v>180.48047802041276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8.7643600648188649</v>
      </c>
      <c r="CV18" s="14">
        <f t="shared" si="41"/>
        <v>3.1371814875374633</v>
      </c>
      <c r="CW18" s="22">
        <f t="shared" si="13"/>
        <v>20.728518203687273</v>
      </c>
      <c r="CX18" s="62">
        <f t="shared" si="14"/>
        <v>314.06185153702057</v>
      </c>
      <c r="CY18" s="62">
        <f ca="1">AVERAGE(OFFSET($CX$3,0,0,'Données projet'!$E$13+1,1))-AVERAGE(OFFSET($H$3,0,0,'Données projet'!$E$13+1,1))</f>
        <v>192.93829651668403</v>
      </c>
      <c r="CZ18" s="62">
        <f t="shared" si="42"/>
        <v>76.592736352376903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1.2</v>
      </c>
      <c r="DO18" s="13">
        <f>IF('Données projet'!$A$166&gt;35,DO17+DN18-DW17,IF(A18&lt;'Données projet'!$A$166,$DL$205^A18,IF(A18='Données projet'!$A$166,'Données projet'!$B$166,DO17+DN18-DW17)))</f>
        <v>7.6961363407260848</v>
      </c>
      <c r="DP18" s="18">
        <f>DO18*VLOOKUP('Données projet'!$B$14,Paramètres!$A$1:$I$89,3,0)*VLOOKUP('Données projet'!$B$14,Paramètres!$A$1:$I$89,5,0)</f>
        <v>5.1625682573590579</v>
      </c>
      <c r="DQ18" s="14">
        <f t="shared" si="43"/>
        <v>1.9653517588077616</v>
      </c>
      <c r="DR18" s="22">
        <f t="shared" si="16"/>
        <v>12.414460694823878</v>
      </c>
      <c r="DS18" s="62">
        <f t="shared" si="17"/>
        <v>305.74779402815722</v>
      </c>
      <c r="DT18" s="62">
        <f ca="1">AVERAGE(OFFSET($DS$3,0,0,'Données projet'!$E$14+1,1))-AVERAGE(OFFSET($H$3,0,0,'Données projet'!$E$14+1,1))</f>
        <v>66.964554307546564</v>
      </c>
      <c r="DU18" s="62">
        <f t="shared" si="44"/>
        <v>21.162700178818568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1.2</v>
      </c>
      <c r="EJ18" s="13">
        <f>IF('Données projet'!$A$192&gt;35,EJ17+EI18-ER17,IF(A18&lt;'Données projet'!$A$192,$EG$205^A18,IF(A18='Données projet'!$A$192,'Données projet'!$B$192,EJ17+EI18-ER17)))</f>
        <v>7.6961363407260848</v>
      </c>
      <c r="EK18" s="18">
        <f>EJ18*VLOOKUP('Données projet'!$B$15,Paramètres!$A$1:$I$89,3,0)*VLOOKUP('Données projet'!$B$15,Paramètres!$A$1:$I$89,5,0)</f>
        <v>7.4437030687502697</v>
      </c>
      <c r="EL18" s="14">
        <f t="shared" si="45"/>
        <v>2.7155941298840056</v>
      </c>
      <c r="EM18" s="22">
        <f t="shared" si="19"/>
        <v>17.694109287621362</v>
      </c>
      <c r="EN18" s="62">
        <f t="shared" si="20"/>
        <v>311.02744262095467</v>
      </c>
      <c r="EO18" s="62">
        <f ca="1">AVERAGE(OFFSET($EN$3,0,0,'Données projet'!$E$15+1,1))-AVERAGE(OFFSET($H$3,0,0,'Données projet'!$E$15+1,1))</f>
        <v>146.90952320473599</v>
      </c>
      <c r="EP18" s="62">
        <f t="shared" si="46"/>
        <v>56.347130462109817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1.2</v>
      </c>
      <c r="FE18" s="13">
        <f>IF('Données projet'!$A$218&gt;35,FE17+FD18-FM17,IF(A18&lt;'Données projet'!$A$218,$FB$205^A18,IF(A18='Données projet'!$A$218,'Données projet'!$B$218,FE17+FD18-FM17)))</f>
        <v>7.6961363407260848</v>
      </c>
      <c r="FF18" s="18">
        <f>FE18*VLOOKUP('Données projet'!$B$16,Paramètres!$A$1:$I$89,3,0)*VLOOKUP('Données projet'!$B$16,Paramètres!$A$1:$I$89,5,0)</f>
        <v>8.284121157157557</v>
      </c>
      <c r="FG18" s="14">
        <f t="shared" si="47"/>
        <v>2.9847957727109624</v>
      </c>
      <c r="FH18" s="22">
        <f t="shared" si="22"/>
        <v>19.626696986187671</v>
      </c>
      <c r="FI18" s="62">
        <f t="shared" si="23"/>
        <v>312.96003031952097</v>
      </c>
      <c r="FJ18" s="62">
        <f ca="1">AVERAGE(OFFSET($FI$3,0,0,'Données projet'!$E$16+1,1))-AVERAGE(OFFSET($H$3,0,0,'Données projet'!$E$16+1,1))</f>
        <v>176.21892815766847</v>
      </c>
      <c r="FK18" s="62">
        <f t="shared" si="48"/>
        <v>69.239647548491234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0.9</v>
      </c>
      <c r="FZ18" s="13">
        <f>IF('Données projet'!$A$244&gt;35,FZ17+FY18-GH17,IF(A18&lt;'Données projet'!$A$244,$FW$205^A18,IF(A18='Données projet'!$A$244,'Données projet'!$B$244,FZ17+FY18-GH17)))</f>
        <v>8.7388518907318247</v>
      </c>
      <c r="GA18" s="18">
        <f>FZ18*VLOOKUP('Données projet'!$B$17,Paramètres!$A$1:$I$89,3,0)*VLOOKUP('Données projet'!$B$17,Paramètres!$A$1:$I$89,5,0)</f>
        <v>6.9526305642662409</v>
      </c>
      <c r="GB18" s="14">
        <f t="shared" si="49"/>
        <v>2.556672244423265</v>
      </c>
      <c r="GC18" s="22">
        <f t="shared" si="25"/>
        <v>16.562035725134223</v>
      </c>
      <c r="GD18" s="62">
        <f t="shared" si="26"/>
        <v>309.89536905846751</v>
      </c>
      <c r="GE18" s="62">
        <f ca="1">AVERAGE(OFFSET($GD$3,0,0,'Données projet'!$E$17+1,1))-AVERAGE(OFFSET($H$3,0,0,'Données projet'!$E$17+1,1))</f>
        <v>70.834027458412379</v>
      </c>
      <c r="GF18" s="62">
        <f t="shared" si="50"/>
        <v>74.346987922112362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>
        <f>VLOOKUP(A18,'Données projet'!$A$269:$I$289,2,0)</f>
        <v>26</v>
      </c>
      <c r="GS18" s="13">
        <f>VLOOKUP(A18,'Données projet'!$A$269:$I$289,9,0)</f>
        <v>1.7333333333333334</v>
      </c>
      <c r="GT18" s="13">
        <f t="array" ref="GT18">INDEX(GS:GS,MIN(IF(ISNUMBER(GS18:GS214),ROW(GS18:GS214),"")))</f>
        <v>1.7333333333333334</v>
      </c>
      <c r="GU18" s="13">
        <f>IF('Données projet'!$A$270&gt;35,GU17+GT18-HC17,IF(A18&lt;'Données projet'!$A$270,$GR$205^A18,IF(A18='Données projet'!$A$270,'Données projet'!$B$270,GU17+GT18-HC17)))</f>
        <v>26</v>
      </c>
      <c r="GV18" s="18">
        <f>GU18*VLOOKUP('Données projet'!$B$18,Paramètres!$A$1:$I$89,3,0)*VLOOKUP('Données projet'!$B$18,Paramètres!$A$1:$I$89,5,0)</f>
        <v>20.28</v>
      </c>
      <c r="GW18" s="14">
        <f t="shared" si="51"/>
        <v>6.5838102554415308</v>
      </c>
      <c r="GX18" s="22">
        <f t="shared" si="28"/>
        <v>46.787802861560664</v>
      </c>
      <c r="GY18" s="62">
        <f t="shared" si="29"/>
        <v>340.12113619489401</v>
      </c>
      <c r="GZ18" s="62">
        <f ca="1">AVERAGE(OFFSET($GY$3,0,0,'Données projet'!$E$18+1,1))-AVERAGE(OFFSET($H$3,0,0,'Données projet'!$E$18+1,1))</f>
        <v>99.222094917553648</v>
      </c>
      <c r="HA18" s="62">
        <f t="shared" si="52"/>
        <v>98.371477396766352</v>
      </c>
      <c r="HB18" s="16">
        <f>IF(ISNA(VLOOKUP(A18,'Données projet'!$A$269:$I$289,3,0)),0,VLOOKUP(A18,'Données projet'!$A$269:$I$289,3,0))</f>
        <v>1</v>
      </c>
      <c r="HC18" s="16">
        <f>IF(ISNA(VLOOKUP(A18,'Données projet'!$A$269:$I$289,4,0)),0,VLOOKUP(A18,'Données projet'!$A$269:$I$289,4,0))</f>
        <v>2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1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1.4719019867844054</v>
      </c>
      <c r="HJ18" s="24">
        <f t="shared" si="30"/>
        <v>1.4719019867844054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</v>
      </c>
      <c r="N19" s="14">
        <f>IF('Données projet'!$A$36&gt;35,N18+M19-V18,IF(A19&lt;'Données projet'!$A$36,$K$205^A19,IF(A19='Données projet'!$A$36,'Données projet'!$B$36,N18+M19-V18)))</f>
        <v>16.647606148649942</v>
      </c>
      <c r="O19" s="14">
        <f>N19*VLOOKUP('Données projet'!$B$9,Paramètres!$A$1:$I$89,3,0)*VLOOKUP('Données projet'!$B$9,Paramètres!$A$1:$I$89,5,0)</f>
        <v>7.791079677568173</v>
      </c>
      <c r="P19" s="14">
        <f t="shared" si="33"/>
        <v>2.8272729930809319</v>
      </c>
      <c r="Q19" s="22">
        <f t="shared" si="2"/>
        <v>18.493630901380524</v>
      </c>
      <c r="R19" s="62">
        <f t="shared" si="0"/>
        <v>311.82696423471384</v>
      </c>
      <c r="S19" s="62">
        <f ca="1">AVERAGE(OFFSET($R$3,0,0,'Données projet'!$E$9+1,1))-AVERAGE(OFFSET($H$3,0,0,'Données projet'!$E$9+1,1))</f>
        <v>181.48161394994878</v>
      </c>
      <c r="T19" s="62">
        <f t="shared" si="34"/>
        <v>141.1874974464024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364.8577320573234</v>
      </c>
      <c r="AN19" s="62">
        <f ca="1">AVERAGE(OFFSET($AM$3,0,0,'Données projet'!$E$10+1,1))-AVERAGE(OFFSET($H$3,0,0,'Données projet'!$E$10+1,1))</f>
        <v>340.81036749486179</v>
      </c>
      <c r="AO19" s="62">
        <f t="shared" si="36"/>
        <v>208.88199836488013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339.04161502361472</v>
      </c>
      <c r="BI19" s="62">
        <f ca="1">AVERAGE(OFFSET($BH$3,0,0,'Données projet'!$E$11+1,1))-AVERAGE(OFFSET($H$3,0,0,'Données projet'!$E$11+1,1))</f>
        <v>257.96727373333601</v>
      </c>
      <c r="BJ19" s="62">
        <f t="shared" si="38"/>
        <v>194.52809733694494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28.003407487093821</v>
      </c>
      <c r="CA19" s="14">
        <f t="shared" si="39"/>
        <v>8.7560372090925433</v>
      </c>
      <c r="CB19" s="22">
        <f t="shared" si="10"/>
        <v>64.022699512524582</v>
      </c>
      <c r="CC19" s="62">
        <f t="shared" si="11"/>
        <v>357.3560328458579</v>
      </c>
      <c r="CD19" s="62">
        <f ca="1">AVERAGE(OFFSET($CC$3,0,0,'Données projet'!$E$12+1,1))-AVERAGE(OFFSET($H$3,0,0,'Données projet'!$E$12+1,1))</f>
        <v>292.83612296867898</v>
      </c>
      <c r="CE19" s="62">
        <f t="shared" si="40"/>
        <v>180.48047802041276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10.041649571173666</v>
      </c>
      <c r="CV19" s="14">
        <f t="shared" si="41"/>
        <v>3.537911925799258</v>
      </c>
      <c r="CW19" s="22">
        <f t="shared" si="13"/>
        <v>23.651069607227843</v>
      </c>
      <c r="CX19" s="62">
        <f t="shared" si="14"/>
        <v>316.98440294056115</v>
      </c>
      <c r="CY19" s="62">
        <f ca="1">AVERAGE(OFFSET($CX$3,0,0,'Données projet'!$E$13+1,1))-AVERAGE(OFFSET($H$3,0,0,'Données projet'!$E$13+1,1))</f>
        <v>192.93829651668403</v>
      </c>
      <c r="CZ19" s="62">
        <f t="shared" si="42"/>
        <v>76.592736352376903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1.2</v>
      </c>
      <c r="DO19" s="13">
        <f>IF('Données projet'!$A$166&gt;35,DO18+DN19-DW18,IF(A19&lt;'Données projet'!$A$166,$DL$205^A19,IF(A19='Données projet'!$A$166,'Données projet'!$B$166,DO18+DN19-DW18)))</f>
        <v>8.8177463744060987</v>
      </c>
      <c r="DP19" s="18">
        <f>DO19*VLOOKUP('Données projet'!$B$14,Paramètres!$A$1:$I$89,3,0)*VLOOKUP('Données projet'!$B$14,Paramètres!$A$1:$I$89,5,0)</f>
        <v>5.9149442679516113</v>
      </c>
      <c r="DQ19" s="14">
        <f t="shared" si="43"/>
        <v>2.2163975700795318</v>
      </c>
      <c r="DR19" s="22">
        <f t="shared" si="16"/>
        <v>14.162087034570909</v>
      </c>
      <c r="DS19" s="62">
        <f t="shared" si="17"/>
        <v>307.49542036790422</v>
      </c>
      <c r="DT19" s="62">
        <f ca="1">AVERAGE(OFFSET($DS$3,0,0,'Données projet'!$E$14+1,1))-AVERAGE(OFFSET($H$3,0,0,'Données projet'!$E$14+1,1))</f>
        <v>66.964554307546564</v>
      </c>
      <c r="DU19" s="62">
        <f t="shared" si="44"/>
        <v>21.162700178818568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1.2</v>
      </c>
      <c r="EJ19" s="13">
        <f>IF('Données projet'!$A$192&gt;35,EJ18+EI19-ER18,IF(A19&lt;'Données projet'!$A$192,$EG$205^A19,IF(A19='Données projet'!$A$192,'Données projet'!$B$192,EJ18+EI19-ER18)))</f>
        <v>8.8177463744060987</v>
      </c>
      <c r="EK19" s="18">
        <f>EJ19*VLOOKUP('Données projet'!$B$15,Paramètres!$A$1:$I$89,3,0)*VLOOKUP('Données projet'!$B$15,Paramètres!$A$1:$I$89,5,0)</f>
        <v>8.528524293325578</v>
      </c>
      <c r="EL19" s="14">
        <f t="shared" si="45"/>
        <v>3.0624727628647754</v>
      </c>
      <c r="EM19" s="22">
        <f t="shared" si="19"/>
        <v>20.187653206198199</v>
      </c>
      <c r="EN19" s="62">
        <f t="shared" si="20"/>
        <v>313.52098653953152</v>
      </c>
      <c r="EO19" s="62">
        <f ca="1">AVERAGE(OFFSET($EN$3,0,0,'Données projet'!$E$15+1,1))-AVERAGE(OFFSET($H$3,0,0,'Données projet'!$E$15+1,1))</f>
        <v>146.90952320473599</v>
      </c>
      <c r="EP19" s="62">
        <f t="shared" si="46"/>
        <v>56.347130462109817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1.2</v>
      </c>
      <c r="FE19" s="13">
        <f>IF('Données projet'!$A$218&gt;35,FE18+FD19-FM18,IF(A19&lt;'Données projet'!$A$218,$FB$205^A19,IF(A19='Données projet'!$A$218,'Données projet'!$B$218,FE18+FD19-FM18)))</f>
        <v>8.8177463744060987</v>
      </c>
      <c r="FF19" s="18">
        <f>FE19*VLOOKUP('Données projet'!$B$16,Paramètres!$A$1:$I$89,3,0)*VLOOKUP('Données projet'!$B$16,Paramètres!$A$1:$I$89,5,0)</f>
        <v>9.4914221974107242</v>
      </c>
      <c r="FG19" s="14">
        <f t="shared" si="47"/>
        <v>3.3660610972935361</v>
      </c>
      <c r="FH19" s="22">
        <f t="shared" si="22"/>
        <v>22.393450071609919</v>
      </c>
      <c r="FI19" s="62">
        <f t="shared" si="23"/>
        <v>315.72678340494326</v>
      </c>
      <c r="FJ19" s="62">
        <f ca="1">AVERAGE(OFFSET($FI$3,0,0,'Données projet'!$E$16+1,1))-AVERAGE(OFFSET($H$3,0,0,'Données projet'!$E$16+1,1))</f>
        <v>176.21892815766847</v>
      </c>
      <c r="FK19" s="62">
        <f t="shared" si="48"/>
        <v>69.239647548491234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0.9</v>
      </c>
      <c r="FZ19" s="13">
        <f>IF('Données projet'!$A$244&gt;35,FZ18+FY19-GH18,IF(A19&lt;'Données projet'!$A$244,$FW$205^A19,IF(A19='Données projet'!$A$244,'Données projet'!$B$244,FZ18+FY19-GH18)))</f>
        <v>10.097596309015799</v>
      </c>
      <c r="GA19" s="18">
        <f>FZ19*VLOOKUP('Données projet'!$B$17,Paramètres!$A$1:$I$89,3,0)*VLOOKUP('Données projet'!$B$17,Paramètres!$A$1:$I$89,5,0)</f>
        <v>8.0336476234529695</v>
      </c>
      <c r="GB19" s="14">
        <f t="shared" si="49"/>
        <v>2.9049121027708913</v>
      </c>
      <c r="GC19" s="22">
        <f t="shared" si="25"/>
        <v>19.051324856506557</v>
      </c>
      <c r="GD19" s="62">
        <f t="shared" si="26"/>
        <v>312.38465818983985</v>
      </c>
      <c r="GE19" s="62">
        <f ca="1">AVERAGE(OFFSET($GD$3,0,0,'Données projet'!$E$17+1,1))-AVERAGE(OFFSET($H$3,0,0,'Données projet'!$E$17+1,1))</f>
        <v>70.834027458412379</v>
      </c>
      <c r="GF19" s="62">
        <f t="shared" si="50"/>
        <v>74.346987922112362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6.2</v>
      </c>
      <c r="GU19" s="13">
        <f>IF('Données projet'!$A$270&gt;35,GU18+GT19-HC18,IF(A19&lt;'Données projet'!$A$270,$GR$205^A19,IF(A19='Données projet'!$A$270,'Données projet'!$B$270,GU18+GT19-HC18)))</f>
        <v>30.200000000000003</v>
      </c>
      <c r="GV19" s="18">
        <f>GU19*VLOOKUP('Données projet'!$B$18,Paramètres!$A$1:$I$89,3,0)*VLOOKUP('Données projet'!$B$18,Paramètres!$A$1:$I$89,5,0)</f>
        <v>23.556000000000004</v>
      </c>
      <c r="GW19" s="14">
        <f t="shared" si="51"/>
        <v>7.515207748296552</v>
      </c>
      <c r="GX19" s="22">
        <f t="shared" si="28"/>
        <v>54.115686828283167</v>
      </c>
      <c r="GY19" s="62">
        <f t="shared" si="29"/>
        <v>347.44902016161649</v>
      </c>
      <c r="GZ19" s="62">
        <f ca="1">AVERAGE(OFFSET($GY$3,0,0,'Données projet'!$E$18+1,1))-AVERAGE(OFFSET($H$3,0,0,'Données projet'!$E$18+1,1))</f>
        <v>99.222094917553648</v>
      </c>
      <c r="HA19" s="62">
        <f t="shared" si="52"/>
        <v>98.371477396766352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1.0407918760972052</v>
      </c>
      <c r="HJ19" s="24">
        <f t="shared" si="30"/>
        <v>1.0407918760972052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</v>
      </c>
      <c r="N20" s="14">
        <f>IF('Données projet'!$A$36&gt;35,N19+M20-V19,IF(A20&lt;'Données projet'!$A$36,$K$205^A20,IF(A20='Données projet'!$A$36,'Données projet'!$B$36,N19+M20-V19)))</f>
        <v>19.846607449592845</v>
      </c>
      <c r="O20" s="14">
        <f>N20*VLOOKUP('Données projet'!$B$9,Paramètres!$A$1:$I$89,3,0)*VLOOKUP('Données projet'!$B$9,Paramètres!$A$1:$I$89,5,0)</f>
        <v>9.2882122864094523</v>
      </c>
      <c r="P20" s="14">
        <f t="shared" si="33"/>
        <v>3.3023028355827138</v>
      </c>
      <c r="Q20" s="22">
        <f t="shared" si="2"/>
        <v>21.928480504136356</v>
      </c>
      <c r="R20" s="62">
        <f t="shared" si="0"/>
        <v>315.26181383746967</v>
      </c>
      <c r="S20" s="62">
        <f ca="1">AVERAGE(OFFSET($R$3,0,0,'Données projet'!$E$9+1,1))-AVERAGE(OFFSET($H$3,0,0,'Données projet'!$E$9+1,1))</f>
        <v>181.48161394994878</v>
      </c>
      <c r="T20" s="62">
        <f t="shared" si="34"/>
        <v>141.1874974464024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381.45597503324353</v>
      </c>
      <c r="AN20" s="62">
        <f ca="1">AVERAGE(OFFSET($AM$3,0,0,'Données projet'!$E$10+1,1))-AVERAGE(OFFSET($H$3,0,0,'Données projet'!$E$10+1,1))</f>
        <v>340.81036749486179</v>
      </c>
      <c r="AO20" s="62">
        <f t="shared" si="36"/>
        <v>208.88199836488013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349.8661782737675</v>
      </c>
      <c r="BI20" s="62">
        <f ca="1">AVERAGE(OFFSET($BH$3,0,0,'Données projet'!$E$11+1,1))-AVERAGE(OFFSET($H$3,0,0,'Données projet'!$E$11+1,1))</f>
        <v>257.96727373333601</v>
      </c>
      <c r="BJ20" s="62">
        <f t="shared" si="38"/>
        <v>194.52809733694494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34.703799297332367</v>
      </c>
      <c r="CA20" s="14">
        <f t="shared" si="39"/>
        <v>10.583497277259243</v>
      </c>
      <c r="CB20" s="22">
        <f t="shared" si="10"/>
        <v>78.875374867413711</v>
      </c>
      <c r="CC20" s="62">
        <f t="shared" si="11"/>
        <v>372.20870820074703</v>
      </c>
      <c r="CD20" s="62">
        <f ca="1">AVERAGE(OFFSET($CC$3,0,0,'Données projet'!$E$12+1,1))-AVERAGE(OFFSET($H$3,0,0,'Données projet'!$E$12+1,1))</f>
        <v>292.83612296867898</v>
      </c>
      <c r="CE20" s="62">
        <f t="shared" si="40"/>
        <v>180.48047802041276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11.505087121536034</v>
      </c>
      <c r="CV20" s="14">
        <f t="shared" si="41"/>
        <v>3.9898299937176129</v>
      </c>
      <c r="CW20" s="22">
        <f t="shared" si="13"/>
        <v>26.986980642400102</v>
      </c>
      <c r="CX20" s="62">
        <f t="shared" si="14"/>
        <v>320.32031397573343</v>
      </c>
      <c r="CY20" s="62">
        <f ca="1">AVERAGE(OFFSET($CX$3,0,0,'Données projet'!$E$13+1,1))-AVERAGE(OFFSET($H$3,0,0,'Données projet'!$E$13+1,1))</f>
        <v>192.93829651668403</v>
      </c>
      <c r="CZ20" s="62">
        <f t="shared" si="42"/>
        <v>76.592736352376903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1.2</v>
      </c>
      <c r="DO20" s="13">
        <f>IF('Données projet'!$A$166&gt;35,DO19+DN20-DW19,IF(A20&lt;'Données projet'!$A$166,$DL$205^A20,IF(A20='Données projet'!$A$166,'Données projet'!$B$166,DO19+DN20-DW19)))</f>
        <v>10.102816228956828</v>
      </c>
      <c r="DP20" s="18">
        <f>DO20*VLOOKUP('Données projet'!$B$14,Paramètres!$A$1:$I$89,3,0)*VLOOKUP('Données projet'!$B$14,Paramètres!$A$1:$I$89,5,0)</f>
        <v>6.7769691263842402</v>
      </c>
      <c r="DQ20" s="14">
        <f t="shared" si="43"/>
        <v>2.4995109229883949</v>
      </c>
      <c r="DR20" s="22">
        <f t="shared" si="16"/>
        <v>16.15653608599067</v>
      </c>
      <c r="DS20" s="62">
        <f t="shared" si="17"/>
        <v>309.48986941932401</v>
      </c>
      <c r="DT20" s="62">
        <f ca="1">AVERAGE(OFFSET($DS$3,0,0,'Données projet'!$E$14+1,1))-AVERAGE(OFFSET($H$3,0,0,'Données projet'!$E$14+1,1))</f>
        <v>66.964554307546564</v>
      </c>
      <c r="DU20" s="62">
        <f t="shared" si="44"/>
        <v>21.162700178818568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1.2</v>
      </c>
      <c r="EJ20" s="13">
        <f>IF('Données projet'!$A$192&gt;35,EJ19+EI20-ER19,IF(A20&lt;'Données projet'!$A$192,$EG$205^A20,IF(A20='Données projet'!$A$192,'Données projet'!$B$192,EJ19+EI20-ER19)))</f>
        <v>10.102816228956828</v>
      </c>
      <c r="EK20" s="18">
        <f>EJ20*VLOOKUP('Données projet'!$B$15,Paramètres!$A$1:$I$89,3,0)*VLOOKUP('Données projet'!$B$15,Paramètres!$A$1:$I$89,5,0)</f>
        <v>9.7714438566470445</v>
      </c>
      <c r="EL20" s="14">
        <f t="shared" si="45"/>
        <v>3.4536602211941068</v>
      </c>
      <c r="EM20" s="22">
        <f t="shared" si="19"/>
        <v>23.033722935573341</v>
      </c>
      <c r="EN20" s="62">
        <f t="shared" si="20"/>
        <v>316.36705626890665</v>
      </c>
      <c r="EO20" s="62">
        <f ca="1">AVERAGE(OFFSET($EN$3,0,0,'Données projet'!$E$15+1,1))-AVERAGE(OFFSET($H$3,0,0,'Données projet'!$E$15+1,1))</f>
        <v>146.90952320473599</v>
      </c>
      <c r="EP20" s="62">
        <f t="shared" si="46"/>
        <v>56.347130462109817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1.2</v>
      </c>
      <c r="FE20" s="13">
        <f>IF('Données projet'!$A$218&gt;35,FE19+FD20-FM19,IF(A20&lt;'Données projet'!$A$218,$FB$205^A20,IF(A20='Données projet'!$A$218,'Données projet'!$B$218,FE19+FD20-FM19)))</f>
        <v>10.102816228956828</v>
      </c>
      <c r="FF20" s="18">
        <f>FE20*VLOOKUP('Données projet'!$B$16,Paramètres!$A$1:$I$89,3,0)*VLOOKUP('Données projet'!$B$16,Paramètres!$A$1:$I$89,5,0)</f>
        <v>10.874671388849128</v>
      </c>
      <c r="FG20" s="14">
        <f t="shared" si="47"/>
        <v>3.7960276593470508</v>
      </c>
      <c r="FH20" s="22">
        <f t="shared" si="22"/>
        <v>25.551467508941673</v>
      </c>
      <c r="FI20" s="62">
        <f t="shared" si="23"/>
        <v>318.88480084227501</v>
      </c>
      <c r="FJ20" s="62">
        <f ca="1">AVERAGE(OFFSET($FI$3,0,0,'Données projet'!$E$16+1,1))-AVERAGE(OFFSET($H$3,0,0,'Données projet'!$E$16+1,1))</f>
        <v>176.21892815766847</v>
      </c>
      <c r="FK20" s="62">
        <f t="shared" si="48"/>
        <v>69.239647548491234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0.9</v>
      </c>
      <c r="FZ20" s="13">
        <f>IF('Données projet'!$A$244&gt;35,FZ19+FY20-GH19,IF(A20&lt;'Données projet'!$A$244,$FW$205^A20,IF(A20='Données projet'!$A$244,'Données projet'!$B$244,FZ19+FY20-GH19)))</f>
        <v>11.667602620429678</v>
      </c>
      <c r="GA20" s="18">
        <f>FZ20*VLOOKUP('Données projet'!$B$17,Paramètres!$A$1:$I$89,3,0)*VLOOKUP('Données projet'!$B$17,Paramètres!$A$1:$I$89,5,0)</f>
        <v>9.2827446448138513</v>
      </c>
      <c r="GB20" s="14">
        <f t="shared" si="49"/>
        <v>3.3005851036366867</v>
      </c>
      <c r="GC20" s="22">
        <f t="shared" si="25"/>
        <v>21.915965978551355</v>
      </c>
      <c r="GD20" s="62">
        <f t="shared" si="26"/>
        <v>315.24929931188467</v>
      </c>
      <c r="GE20" s="62">
        <f ca="1">AVERAGE(OFFSET($GD$3,0,0,'Données projet'!$E$17+1,1))-AVERAGE(OFFSET($H$3,0,0,'Données projet'!$E$17+1,1))</f>
        <v>70.834027458412379</v>
      </c>
      <c r="GF20" s="62">
        <f t="shared" si="50"/>
        <v>74.346987922112362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6.2</v>
      </c>
      <c r="GU20" s="13">
        <f>IF('Données projet'!$A$270&gt;35,GU19+GT20-HC19,IF(A20&lt;'Données projet'!$A$270,$GR$205^A20,IF(A20='Données projet'!$A$270,'Données projet'!$B$270,GU19+GT20-HC19)))</f>
        <v>36.400000000000006</v>
      </c>
      <c r="GV20" s="18">
        <f>GU20*VLOOKUP('Données projet'!$B$18,Paramètres!$A$1:$I$89,3,0)*VLOOKUP('Données projet'!$B$18,Paramètres!$A$1:$I$89,5,0)</f>
        <v>28.392000000000007</v>
      </c>
      <c r="GW20" s="14">
        <f t="shared" si="51"/>
        <v>8.8633120224605495</v>
      </c>
      <c r="GX20" s="22">
        <f t="shared" si="28"/>
        <v>64.886335105785463</v>
      </c>
      <c r="GY20" s="62">
        <f t="shared" si="29"/>
        <v>358.21966843911878</v>
      </c>
      <c r="GZ20" s="62">
        <f ca="1">AVERAGE(OFFSET($GY$3,0,0,'Données projet'!$E$18+1,1))-AVERAGE(OFFSET($H$3,0,0,'Données projet'!$E$18+1,1))</f>
        <v>99.222094917553648</v>
      </c>
      <c r="HA20" s="62">
        <f t="shared" si="52"/>
        <v>98.371477396766352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0.73595099339220282</v>
      </c>
      <c r="HJ20" s="24">
        <f t="shared" si="30"/>
        <v>0.73595099339220282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</v>
      </c>
      <c r="N21" s="14">
        <f>IF('Données projet'!$A$36&gt;35,N20+M21-V20,IF(A21&lt;'Données projet'!$A$36,$K$205^A21,IF(A21='Données projet'!$A$36,'Données projet'!$B$36,N20+M21-V20)))</f>
        <v>23.660328322350242</v>
      </c>
      <c r="O21" s="14">
        <f>N21*VLOOKUP('Données projet'!$B$9,Paramètres!$A$1:$I$89,3,0)*VLOOKUP('Données projet'!$B$9,Paramètres!$A$1:$I$89,5,0)</f>
        <v>11.073033654859913</v>
      </c>
      <c r="P21" s="14">
        <f t="shared" si="33"/>
        <v>3.8571457530226052</v>
      </c>
      <c r="Q21" s="22">
        <f t="shared" si="2"/>
        <v>26.003395802062048</v>
      </c>
      <c r="R21" s="62">
        <f t="shared" si="0"/>
        <v>319.33672913539539</v>
      </c>
      <c r="S21" s="62">
        <f ca="1">AVERAGE(OFFSET($R$3,0,0,'Données projet'!$E$9+1,1))-AVERAGE(OFFSET($H$3,0,0,'Données projet'!$E$9+1,1))</f>
        <v>181.48161394994878</v>
      </c>
      <c r="T21" s="62">
        <f t="shared" si="34"/>
        <v>141.1874974464024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401.91811220908329</v>
      </c>
      <c r="AN21" s="62">
        <f ca="1">AVERAGE(OFFSET($AM$3,0,0,'Données projet'!$E$10+1,1))-AVERAGE(OFFSET($H$3,0,0,'Données projet'!$E$10+1,1))</f>
        <v>340.81036749486179</v>
      </c>
      <c r="AO21" s="62">
        <f t="shared" si="36"/>
        <v>208.88199836488013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363.26248699382734</v>
      </c>
      <c r="BI21" s="62">
        <f ca="1">AVERAGE(OFFSET($BH$3,0,0,'Données projet'!$E$11+1,1))-AVERAGE(OFFSET($H$3,0,0,'Données projet'!$E$11+1,1))</f>
        <v>257.96727373333601</v>
      </c>
      <c r="BJ21" s="62">
        <f t="shared" si="38"/>
        <v>194.52809733694494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43.007397804163212</v>
      </c>
      <c r="CA21" s="14">
        <f t="shared" si="39"/>
        <v>12.792363936215189</v>
      </c>
      <c r="CB21" s="22">
        <f t="shared" si="10"/>
        <v>97.184585031159045</v>
      </c>
      <c r="CC21" s="62">
        <f t="shared" si="11"/>
        <v>390.51791836449235</v>
      </c>
      <c r="CD21" s="62">
        <f ca="1">AVERAGE(OFFSET($CC$3,0,0,'Données projet'!$E$12+1,1))-AVERAGE(OFFSET($H$3,0,0,'Données projet'!$E$12+1,1))</f>
        <v>292.83612296867898</v>
      </c>
      <c r="CE21" s="62">
        <f t="shared" si="40"/>
        <v>180.48047802041276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13.181801330143742</v>
      </c>
      <c r="CV21" s="14">
        <f t="shared" si="41"/>
        <v>4.4994741849523159</v>
      </c>
      <c r="CW21" s="22">
        <f t="shared" si="13"/>
        <v>30.794888188792299</v>
      </c>
      <c r="CX21" s="62">
        <f t="shared" si="14"/>
        <v>324.12822152212561</v>
      </c>
      <c r="CY21" s="62">
        <f ca="1">AVERAGE(OFFSET($CX$3,0,0,'Données projet'!$E$13+1,1))-AVERAGE(OFFSET($H$3,0,0,'Données projet'!$E$13+1,1))</f>
        <v>192.93829651668403</v>
      </c>
      <c r="CZ21" s="62">
        <f t="shared" si="42"/>
        <v>76.592736352376903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1.2</v>
      </c>
      <c r="DO21" s="13">
        <f>IF('Données projet'!$A$166&gt;35,DO20+DN21-DW20,IF(A21&lt;'Données projet'!$A$166,$DL$205^A21,IF(A21='Données projet'!$A$166,'Données projet'!$B$166,DO20+DN21-DW20)))</f>
        <v>11.575168010312384</v>
      </c>
      <c r="DP21" s="18">
        <f>DO21*VLOOKUP('Données projet'!$B$14,Paramètres!$A$1:$I$89,3,0)*VLOOKUP('Données projet'!$B$14,Paramètres!$A$1:$I$89,5,0)</f>
        <v>7.7646227013175473</v>
      </c>
      <c r="DQ21" s="14">
        <f t="shared" si="43"/>
        <v>2.8187879911428144</v>
      </c>
      <c r="DR21" s="22">
        <f t="shared" si="16"/>
        <v>18.432773622701795</v>
      </c>
      <c r="DS21" s="62">
        <f t="shared" si="17"/>
        <v>311.76610695603512</v>
      </c>
      <c r="DT21" s="62">
        <f ca="1">AVERAGE(OFFSET($DS$3,0,0,'Données projet'!$E$14+1,1))-AVERAGE(OFFSET($H$3,0,0,'Données projet'!$E$14+1,1))</f>
        <v>66.964554307546564</v>
      </c>
      <c r="DU21" s="62">
        <f t="shared" si="44"/>
        <v>21.162700178818568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1.2</v>
      </c>
      <c r="EJ21" s="13">
        <f>IF('Données projet'!$A$192&gt;35,EJ20+EI21-ER20,IF(A21&lt;'Données projet'!$A$192,$EG$205^A21,IF(A21='Données projet'!$A$192,'Données projet'!$B$192,EJ20+EI21-ER20)))</f>
        <v>11.575168010312384</v>
      </c>
      <c r="EK21" s="18">
        <f>EJ21*VLOOKUP('Données projet'!$B$15,Paramètres!$A$1:$I$89,3,0)*VLOOKUP('Données projet'!$B$15,Paramètres!$A$1:$I$89,5,0)</f>
        <v>11.195502499574138</v>
      </c>
      <c r="EL21" s="14">
        <f t="shared" si="45"/>
        <v>3.8948163288481799</v>
      </c>
      <c r="EM21" s="22">
        <f t="shared" si="19"/>
        <v>26.282305292835535</v>
      </c>
      <c r="EN21" s="62">
        <f t="shared" si="20"/>
        <v>319.61563862616885</v>
      </c>
      <c r="EO21" s="62">
        <f ca="1">AVERAGE(OFFSET($EN$3,0,0,'Données projet'!$E$15+1,1))-AVERAGE(OFFSET($H$3,0,0,'Données projet'!$E$15+1,1))</f>
        <v>146.90952320473599</v>
      </c>
      <c r="EP21" s="62">
        <f t="shared" si="46"/>
        <v>56.347130462109817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1.2</v>
      </c>
      <c r="FE21" s="13">
        <f>IF('Données projet'!$A$218&gt;35,FE20+FD21-FM20,IF(A21&lt;'Données projet'!$A$218,$FB$205^A21,IF(A21='Données projet'!$A$218,'Données projet'!$B$218,FE20+FD21-FM20)))</f>
        <v>11.575168010312384</v>
      </c>
      <c r="FF21" s="18">
        <f>FE21*VLOOKUP('Données projet'!$B$16,Paramètres!$A$1:$I$89,3,0)*VLOOKUP('Données projet'!$B$16,Paramètres!$A$1:$I$89,5,0)</f>
        <v>12.459510846300249</v>
      </c>
      <c r="FG21" s="14">
        <f t="shared" si="47"/>
        <v>4.2809163511957635</v>
      </c>
      <c r="FH21" s="22">
        <f t="shared" si="22"/>
        <v>29.156244035638881</v>
      </c>
      <c r="FI21" s="62">
        <f t="shared" si="23"/>
        <v>322.48957736897222</v>
      </c>
      <c r="FJ21" s="62">
        <f ca="1">AVERAGE(OFFSET($FI$3,0,0,'Données projet'!$E$16+1,1))-AVERAGE(OFFSET($H$3,0,0,'Données projet'!$E$16+1,1))</f>
        <v>176.21892815766847</v>
      </c>
      <c r="FK21" s="62">
        <f t="shared" si="48"/>
        <v>69.239647548491234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0.9</v>
      </c>
      <c r="FZ21" s="13">
        <f>IF('Données projet'!$A$244&gt;35,FZ20+FY21-GH20,IF(A21&lt;'Données projet'!$A$244,$FW$205^A21,IF(A21='Données projet'!$A$244,'Données projet'!$B$244,FZ20+FY21-GH20)))</f>
        <v>13.48171849440139</v>
      </c>
      <c r="GA21" s="18">
        <f>FZ21*VLOOKUP('Données projet'!$B$17,Paramètres!$A$1:$I$89,3,0)*VLOOKUP('Données projet'!$B$17,Paramètres!$A$1:$I$89,5,0)</f>
        <v>10.726055234145747</v>
      </c>
      <c r="GB21" s="14">
        <f t="shared" si="49"/>
        <v>3.750152032468431</v>
      </c>
      <c r="GC21" s="22">
        <f t="shared" si="25"/>
        <v>25.212727656019695</v>
      </c>
      <c r="GD21" s="62">
        <f t="shared" si="26"/>
        <v>318.54606098935301</v>
      </c>
      <c r="GE21" s="62">
        <f ca="1">AVERAGE(OFFSET($GD$3,0,0,'Données projet'!$E$17+1,1))-AVERAGE(OFFSET($H$3,0,0,'Données projet'!$E$17+1,1))</f>
        <v>70.834027458412379</v>
      </c>
      <c r="GF21" s="62">
        <f t="shared" si="50"/>
        <v>74.346987922112362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6.2</v>
      </c>
      <c r="GU21" s="13">
        <f>IF('Données projet'!$A$270&gt;35,GU20+GT21-HC20,IF(A21&lt;'Données projet'!$A$270,$GR$205^A21,IF(A21='Données projet'!$A$270,'Données projet'!$B$270,GU20+GT21-HC20)))</f>
        <v>42.600000000000009</v>
      </c>
      <c r="GV21" s="18">
        <f>GU21*VLOOKUP('Données projet'!$B$18,Paramètres!$A$1:$I$89,3,0)*VLOOKUP('Données projet'!$B$18,Paramètres!$A$1:$I$89,5,0)</f>
        <v>33.228000000000009</v>
      </c>
      <c r="GW21" s="14">
        <f t="shared" si="51"/>
        <v>10.184815769674017</v>
      </c>
      <c r="GX21" s="22">
        <f t="shared" si="28"/>
        <v>75.610654132182262</v>
      </c>
      <c r="GY21" s="62">
        <f t="shared" si="29"/>
        <v>368.94398746551559</v>
      </c>
      <c r="GZ21" s="62">
        <f ca="1">AVERAGE(OFFSET($GY$3,0,0,'Données projet'!$E$18+1,1))-AVERAGE(OFFSET($H$3,0,0,'Données projet'!$E$18+1,1))</f>
        <v>99.222094917553648</v>
      </c>
      <c r="HA21" s="62">
        <f t="shared" si="52"/>
        <v>98.371477396766352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0.52039593804860274</v>
      </c>
      <c r="HJ21" s="24">
        <f t="shared" si="30"/>
        <v>0.52039593804860274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</v>
      </c>
      <c r="N22" s="14">
        <f>IF('Données projet'!$A$36&gt;35,N21+M22-V21,IF(A22&lt;'Données projet'!$A$36,$K$205^A22,IF(A22='Données projet'!$A$36,'Données projet'!$B$36,N21+M22-V21)))</f>
        <v>28.206893180269638</v>
      </c>
      <c r="O22" s="14">
        <f>N22*VLOOKUP('Données projet'!$B$9,Paramètres!$A$1:$I$89,3,0)*VLOOKUP('Données projet'!$B$9,Paramètres!$A$1:$I$89,5,0)</f>
        <v>13.200826008366192</v>
      </c>
      <c r="P22" s="14">
        <f t="shared" si="33"/>
        <v>4.5052116964418483</v>
      </c>
      <c r="Q22" s="22">
        <f t="shared" si="2"/>
        <v>30.838015669207337</v>
      </c>
      <c r="R22" s="62">
        <f t="shared" si="0"/>
        <v>324.17134900254064</v>
      </c>
      <c r="S22" s="62">
        <f ca="1">AVERAGE(OFFSET($R$3,0,0,'Données projet'!$E$9+1,1))-AVERAGE(OFFSET($H$3,0,0,'Données projet'!$E$9+1,1))</f>
        <v>181.48161394994878</v>
      </c>
      <c r="T22" s="62">
        <f t="shared" si="34"/>
        <v>141.1874974464024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427.14620754720647</v>
      </c>
      <c r="AN22" s="62">
        <f ca="1">AVERAGE(OFFSET($AM$3,0,0,'Données projet'!$E$10+1,1))-AVERAGE(OFFSET($H$3,0,0,'Données projet'!$E$10+1,1))</f>
        <v>340.81036749486179</v>
      </c>
      <c r="AO22" s="62">
        <f t="shared" si="36"/>
        <v>208.88199836488013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379.84337213080869</v>
      </c>
      <c r="BI22" s="62">
        <f ca="1">AVERAGE(OFFSET($BH$3,0,0,'Données projet'!$E$11+1,1))-AVERAGE(OFFSET($H$3,0,0,'Données projet'!$E$11+1,1))</f>
        <v>257.96727373333601</v>
      </c>
      <c r="BJ22" s="62">
        <f t="shared" si="38"/>
        <v>194.52809733694494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53.297803218557732</v>
      </c>
      <c r="CA22" s="14">
        <f t="shared" si="39"/>
        <v>15.462240012873817</v>
      </c>
      <c r="CB22" s="22">
        <f t="shared" si="10"/>
        <v>119.75707529474329</v>
      </c>
      <c r="CC22" s="62">
        <f t="shared" si="11"/>
        <v>413.0904086280766</v>
      </c>
      <c r="CD22" s="62">
        <f ca="1">AVERAGE(OFFSET($CC$3,0,0,'Données projet'!$E$12+1,1))-AVERAGE(OFFSET($H$3,0,0,'Données projet'!$E$12+1,1))</f>
        <v>292.83612296867898</v>
      </c>
      <c r="CE22" s="62">
        <f t="shared" si="40"/>
        <v>180.48047802041276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15.102874447784345</v>
      </c>
      <c r="CV22" s="14">
        <f t="shared" si="41"/>
        <v>5.074218192988301</v>
      </c>
      <c r="CW22" s="22">
        <f t="shared" si="13"/>
        <v>35.141769682679019</v>
      </c>
      <c r="CX22" s="62">
        <f t="shared" si="14"/>
        <v>328.47510301601233</v>
      </c>
      <c r="CY22" s="62">
        <f ca="1">AVERAGE(OFFSET($CX$3,0,0,'Données projet'!$E$13+1,1))-AVERAGE(OFFSET($H$3,0,0,'Données projet'!$E$13+1,1))</f>
        <v>192.93829651668403</v>
      </c>
      <c r="CZ22" s="62">
        <f t="shared" si="42"/>
        <v>76.592736352376903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1.2</v>
      </c>
      <c r="DO22" s="13">
        <f>IF('Données projet'!$A$166&gt;35,DO21+DN22-DW21,IF(A22&lt;'Données projet'!$A$166,$DL$205^A22,IF(A22='Données projet'!$A$166,'Données projet'!$B$166,DO21+DN22-DW21)))</f>
        <v>13.262095581124292</v>
      </c>
      <c r="DP22" s="18">
        <f>DO22*VLOOKUP('Données projet'!$B$14,Paramètres!$A$1:$I$89,3,0)*VLOOKUP('Données projet'!$B$14,Paramètres!$A$1:$I$89,5,0)</f>
        <v>8.8962137158181758</v>
      </c>
      <c r="DQ22" s="14">
        <f t="shared" si="43"/>
        <v>3.1788481762309284</v>
      </c>
      <c r="DR22" s="22">
        <f t="shared" si="16"/>
        <v>21.030732795318858</v>
      </c>
      <c r="DS22" s="62">
        <f t="shared" si="17"/>
        <v>314.36406612865215</v>
      </c>
      <c r="DT22" s="62">
        <f ca="1">AVERAGE(OFFSET($DS$3,0,0,'Données projet'!$E$14+1,1))-AVERAGE(OFFSET($H$3,0,0,'Données projet'!$E$14+1,1))</f>
        <v>66.964554307546564</v>
      </c>
      <c r="DU22" s="62">
        <f t="shared" si="44"/>
        <v>21.162700178818568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1.2</v>
      </c>
      <c r="EJ22" s="13">
        <f>IF('Données projet'!$A$192&gt;35,EJ21+EI22-ER21,IF(A22&lt;'Données projet'!$A$192,$EG$205^A22,IF(A22='Données projet'!$A$192,'Données projet'!$B$192,EJ21+EI22-ER21)))</f>
        <v>13.262095581124292</v>
      </c>
      <c r="EK22" s="18">
        <f>EJ22*VLOOKUP('Données projet'!$B$15,Paramètres!$A$1:$I$89,3,0)*VLOOKUP('Données projet'!$B$15,Paramètres!$A$1:$I$89,5,0)</f>
        <v>12.827098846063416</v>
      </c>
      <c r="EL22" s="14">
        <f t="shared" si="45"/>
        <v>4.3923238720390128</v>
      </c>
      <c r="EM22" s="22">
        <f t="shared" si="19"/>
        <v>29.990494567361733</v>
      </c>
      <c r="EN22" s="62">
        <f t="shared" si="20"/>
        <v>323.32382790069505</v>
      </c>
      <c r="EO22" s="62">
        <f ca="1">AVERAGE(OFFSET($EN$3,0,0,'Données projet'!$E$15+1,1))-AVERAGE(OFFSET($H$3,0,0,'Données projet'!$E$15+1,1))</f>
        <v>146.90952320473599</v>
      </c>
      <c r="EP22" s="62">
        <f t="shared" si="46"/>
        <v>56.347130462109817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1.2</v>
      </c>
      <c r="FE22" s="13">
        <f>IF('Données projet'!$A$218&gt;35,FE21+FD22-FM21,IF(A22&lt;'Données projet'!$A$218,$FB$205^A22,IF(A22='Données projet'!$A$218,'Données projet'!$B$218,FE21+FD22-FM21)))</f>
        <v>13.262095581124292</v>
      </c>
      <c r="FF22" s="18">
        <f>FE22*VLOOKUP('Données projet'!$B$16,Paramètres!$A$1:$I$89,3,0)*VLOOKUP('Données projet'!$B$16,Paramètres!$A$1:$I$89,5,0)</f>
        <v>14.275319683522188</v>
      </c>
      <c r="FG22" s="14">
        <f t="shared" si="47"/>
        <v>4.8277426959232219</v>
      </c>
      <c r="FH22" s="22">
        <f t="shared" si="22"/>
        <v>33.271166977534087</v>
      </c>
      <c r="FI22" s="62">
        <f t="shared" si="23"/>
        <v>326.60450031086742</v>
      </c>
      <c r="FJ22" s="62">
        <f ca="1">AVERAGE(OFFSET($FI$3,0,0,'Données projet'!$E$16+1,1))-AVERAGE(OFFSET($H$3,0,0,'Données projet'!$E$16+1,1))</f>
        <v>176.21892815766847</v>
      </c>
      <c r="FK22" s="62">
        <f t="shared" si="48"/>
        <v>69.239647548491234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0.9</v>
      </c>
      <c r="FZ22" s="13">
        <f>IF('Données projet'!$A$244&gt;35,FZ21+FY22-GH21,IF(A22&lt;'Données projet'!$A$244,$FW$205^A22,IF(A22='Données projet'!$A$244,'Données projet'!$B$244,FZ21+FY22-GH21)))</f>
        <v>15.577898860219406</v>
      </c>
      <c r="GA22" s="18">
        <f>FZ22*VLOOKUP('Données projet'!$B$17,Paramètres!$A$1:$I$89,3,0)*VLOOKUP('Données projet'!$B$17,Paramètres!$A$1:$I$89,5,0)</f>
        <v>12.39377633319056</v>
      </c>
      <c r="GB22" s="14">
        <f t="shared" si="49"/>
        <v>4.2609536870088114</v>
      </c>
      <c r="GC22" s="22">
        <f t="shared" si="25"/>
        <v>29.006988118513906</v>
      </c>
      <c r="GD22" s="62">
        <f t="shared" si="26"/>
        <v>322.34032145184722</v>
      </c>
      <c r="GE22" s="62">
        <f ca="1">AVERAGE(OFFSET($GD$3,0,0,'Données projet'!$E$17+1,1))-AVERAGE(OFFSET($H$3,0,0,'Données projet'!$E$17+1,1))</f>
        <v>70.834027458412379</v>
      </c>
      <c r="GF22" s="62">
        <f t="shared" si="50"/>
        <v>74.346987922112362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6.2</v>
      </c>
      <c r="GU22" s="13">
        <f>IF('Données projet'!$A$270&gt;35,GU21+GT22-HC21,IF(A22&lt;'Données projet'!$A$270,$GR$205^A22,IF(A22='Données projet'!$A$270,'Données projet'!$B$270,GU21+GT22-HC21)))</f>
        <v>48.800000000000011</v>
      </c>
      <c r="GV22" s="18">
        <f>GU22*VLOOKUP('Données projet'!$B$18,Paramètres!$A$1:$I$89,3,0)*VLOOKUP('Données projet'!$B$18,Paramètres!$A$1:$I$89,5,0)</f>
        <v>38.064000000000007</v>
      </c>
      <c r="GW22" s="14">
        <f t="shared" si="51"/>
        <v>11.484037726234551</v>
      </c>
      <c r="GX22" s="22">
        <f t="shared" si="28"/>
        <v>86.296165706525173</v>
      </c>
      <c r="GY22" s="62">
        <f t="shared" si="29"/>
        <v>379.6294990398585</v>
      </c>
      <c r="GZ22" s="62">
        <f ca="1">AVERAGE(OFFSET($GY$3,0,0,'Données projet'!$E$18+1,1))-AVERAGE(OFFSET($H$3,0,0,'Données projet'!$E$18+1,1))</f>
        <v>99.222094917553648</v>
      </c>
      <c r="HA22" s="62">
        <f t="shared" si="52"/>
        <v>98.371477396766352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0.36797549669610152</v>
      </c>
      <c r="HJ22" s="24">
        <f t="shared" si="30"/>
        <v>0.36797549669610152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</v>
      </c>
      <c r="N23" s="14">
        <f>IF('Données projet'!$A$36&gt;35,N22+M23-V22,IF(A23&lt;'Données projet'!$A$36,$K$205^A23,IF(A23='Données projet'!$A$36,'Données projet'!$B$36,N22+M23-V22)))</f>
        <v>33.627125204833582</v>
      </c>
      <c r="O23" s="14">
        <f>N23*VLOOKUP('Données projet'!$B$9,Paramètres!$A$1:$I$89,3,0)*VLOOKUP('Données projet'!$B$9,Paramètres!$A$1:$I$89,5,0)</f>
        <v>15.737494595862117</v>
      </c>
      <c r="P23" s="14">
        <f t="shared" si="33"/>
        <v>5.2621637162274721</v>
      </c>
      <c r="Q23" s="22">
        <f t="shared" si="2"/>
        <v>36.574404893556029</v>
      </c>
      <c r="R23" s="62">
        <f t="shared" si="0"/>
        <v>329.90773822688936</v>
      </c>
      <c r="S23" s="62">
        <f ca="1">AVERAGE(OFFSET($R$3,0,0,'Données projet'!$E$9+1,1))-AVERAGE(OFFSET($H$3,0,0,'Données projet'!$E$9+1,1))</f>
        <v>181.48161394994878</v>
      </c>
      <c r="T23" s="62">
        <f t="shared" si="34"/>
        <v>141.1874974464024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458.2534764024507</v>
      </c>
      <c r="AN23" s="62">
        <f ca="1">AVERAGE(OFFSET($AM$3,0,0,'Données projet'!$E$10+1,1))-AVERAGE(OFFSET($H$3,0,0,'Données projet'!$E$10+1,1))</f>
        <v>340.81036749486179</v>
      </c>
      <c r="AO23" s="62">
        <f t="shared" si="36"/>
        <v>208.88199836488013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400.36809883857921</v>
      </c>
      <c r="BI23" s="62">
        <f ca="1">AVERAGE(OFFSET($BH$3,0,0,'Données projet'!$E$11+1,1))-AVERAGE(OFFSET($H$3,0,0,'Données projet'!$E$11+1,1))</f>
        <v>257.96727373333601</v>
      </c>
      <c r="BJ23" s="62">
        <f t="shared" si="38"/>
        <v>194.52809733694494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66.050399999999996</v>
      </c>
      <c r="CA23" s="14">
        <f t="shared" si="39"/>
        <v>18.689342126897891</v>
      </c>
      <c r="CB23" s="22">
        <f t="shared" si="10"/>
        <v>147.58838420434714</v>
      </c>
      <c r="CC23" s="62">
        <f t="shared" si="11"/>
        <v>440.92171753768048</v>
      </c>
      <c r="CD23" s="62">
        <f ca="1">AVERAGE(OFFSET($CC$3,0,0,'Données projet'!$E$12+1,1))-AVERAGE(OFFSET($H$3,0,0,'Données projet'!$E$12+1,1))</f>
        <v>292.83612296867898</v>
      </c>
      <c r="CE23" s="62">
        <f t="shared" si="40"/>
        <v>180.48047802041276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1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5.1222189140097312</v>
      </c>
      <c r="CN23" s="24">
        <f t="shared" si="12"/>
        <v>5.1222189140097312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17.303918552006422</v>
      </c>
      <c r="CV23" s="14">
        <f t="shared" si="41"/>
        <v>5.7223775960671075</v>
      </c>
      <c r="CW23" s="22">
        <f t="shared" si="13"/>
        <v>40.104132457894728</v>
      </c>
      <c r="CX23" s="62">
        <f t="shared" si="14"/>
        <v>333.43746579122802</v>
      </c>
      <c r="CY23" s="62">
        <f ca="1">AVERAGE(OFFSET($CX$3,0,0,'Données projet'!$E$13+1,1))-AVERAGE(OFFSET($H$3,0,0,'Données projet'!$E$13+1,1))</f>
        <v>192.93829651668403</v>
      </c>
      <c r="CZ23" s="62">
        <f t="shared" si="42"/>
        <v>76.592736352376903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1.2</v>
      </c>
      <c r="DO23" s="13">
        <f>IF('Données projet'!$A$166&gt;35,DO22+DN23-DW22,IF(A23&lt;'Données projet'!$A$166,$DL$205^A23,IF(A23='Données projet'!$A$166,'Données projet'!$B$166,DO22+DN23-DW22)))</f>
        <v>15.194870523363559</v>
      </c>
      <c r="DP23" s="18">
        <f>DO23*VLOOKUP('Données projet'!$B$14,Paramètres!$A$1:$I$89,3,0)*VLOOKUP('Données projet'!$B$14,Paramètres!$A$1:$I$89,5,0)</f>
        <v>10.192719147072275</v>
      </c>
      <c r="DQ23" s="14">
        <f t="shared" si="43"/>
        <v>3.5849009429864291</v>
      </c>
      <c r="DR23" s="22">
        <f t="shared" si="16"/>
        <v>23.996021656852246</v>
      </c>
      <c r="DS23" s="62">
        <f t="shared" si="17"/>
        <v>317.32935499018555</v>
      </c>
      <c r="DT23" s="62">
        <f ca="1">AVERAGE(OFFSET($DS$3,0,0,'Données projet'!$E$14+1,1))-AVERAGE(OFFSET($H$3,0,0,'Données projet'!$E$14+1,1))</f>
        <v>66.964554307546564</v>
      </c>
      <c r="DU23" s="62">
        <f t="shared" si="44"/>
        <v>21.162700178818568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1.2</v>
      </c>
      <c r="EJ23" s="13">
        <f>IF('Données projet'!$A$192&gt;35,EJ22+EI23-ER22,IF(A23&lt;'Données projet'!$A$192,$EG$205^A23,IF(A23='Données projet'!$A$192,'Données projet'!$B$192,EJ22+EI23-ER22)))</f>
        <v>15.194870523363559</v>
      </c>
      <c r="EK23" s="18">
        <f>EJ23*VLOOKUP('Données projet'!$B$15,Paramètres!$A$1:$I$89,3,0)*VLOOKUP('Données projet'!$B$15,Paramètres!$A$1:$I$89,5,0)</f>
        <v>14.696478770197235</v>
      </c>
      <c r="EL23" s="14">
        <f t="shared" si="45"/>
        <v>4.9533809473858224</v>
      </c>
      <c r="EM23" s="22">
        <f t="shared" si="19"/>
        <v>34.223505674790481</v>
      </c>
      <c r="EN23" s="62">
        <f t="shared" si="20"/>
        <v>327.5568390081238</v>
      </c>
      <c r="EO23" s="62">
        <f ca="1">AVERAGE(OFFSET($EN$3,0,0,'Données projet'!$E$15+1,1))-AVERAGE(OFFSET($H$3,0,0,'Données projet'!$E$15+1,1))</f>
        <v>146.90952320473599</v>
      </c>
      <c r="EP23" s="62">
        <f t="shared" si="46"/>
        <v>56.347130462109817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1.2</v>
      </c>
      <c r="FE23" s="13">
        <f>IF('Données projet'!$A$218&gt;35,FE22+FD23-FM22,IF(A23&lt;'Données projet'!$A$218,$FB$205^A23,IF(A23='Données projet'!$A$218,'Données projet'!$B$218,FE22+FD23-FM22)))</f>
        <v>15.194870523363559</v>
      </c>
      <c r="FF23" s="18">
        <f>FE23*VLOOKUP('Données projet'!$B$16,Paramètres!$A$1:$I$89,3,0)*VLOOKUP('Données projet'!$B$16,Paramètres!$A$1:$I$89,5,0)</f>
        <v>16.355758631348532</v>
      </c>
      <c r="FG23" s="14">
        <f t="shared" si="47"/>
        <v>5.4444183501809773</v>
      </c>
      <c r="FH23" s="22">
        <f t="shared" si="22"/>
        <v>37.968641576163897</v>
      </c>
      <c r="FI23" s="62">
        <f t="shared" si="23"/>
        <v>331.30197490949723</v>
      </c>
      <c r="FJ23" s="62">
        <f ca="1">AVERAGE(OFFSET($FI$3,0,0,'Données projet'!$E$16+1,1))-AVERAGE(OFFSET($H$3,0,0,'Données projet'!$E$16+1,1))</f>
        <v>176.21892815766847</v>
      </c>
      <c r="FK23" s="62">
        <f t="shared" si="48"/>
        <v>69.239647548491234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>
        <f>VLOOKUP(A23,'Données projet'!$A$243:$I$263,2,0)</f>
        <v>18</v>
      </c>
      <c r="FX23" s="13">
        <f>VLOOKUP(A23,'Données projet'!$A$243:$I$263,9,0)</f>
        <v>0.9</v>
      </c>
      <c r="FY23" s="13">
        <f t="array" ref="FY23">INDEX(FX:FX,MIN(IF(ISNUMBER(FX23:FX219),ROW(FX23:FX219),"")))</f>
        <v>0.9</v>
      </c>
      <c r="FZ23" s="13">
        <f>IF('Données projet'!$A$244&gt;35,FZ22+FY23-GH22,IF(A23&lt;'Données projet'!$A$244,$FW$205^A23,IF(A23='Données projet'!$A$244,'Données projet'!$B$244,FZ22+FY23-GH22)))</f>
        <v>18</v>
      </c>
      <c r="GA23" s="18">
        <f>FZ23*VLOOKUP('Données projet'!$B$17,Paramètres!$A$1:$I$89,3,0)*VLOOKUP('Données projet'!$B$17,Paramètres!$A$1:$I$89,5,0)</f>
        <v>14.3208</v>
      </c>
      <c r="GB23" s="14">
        <f t="shared" si="49"/>
        <v>4.8413307422321967</v>
      </c>
      <c r="GC23" s="22">
        <f t="shared" si="25"/>
        <v>33.374044376054407</v>
      </c>
      <c r="GD23" s="62">
        <f t="shared" si="26"/>
        <v>326.70737770938774</v>
      </c>
      <c r="GE23" s="62">
        <f ca="1">AVERAGE(OFFSET($GD$3,0,0,'Données projet'!$E$17+1,1))-AVERAGE(OFFSET($H$3,0,0,'Données projet'!$E$17+1,1))</f>
        <v>70.834027458412379</v>
      </c>
      <c r="GF23" s="62">
        <f t="shared" si="50"/>
        <v>74.346987922112362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3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1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2.2520100397801404</v>
      </c>
      <c r="GO23" s="23">
        <f t="shared" si="27"/>
        <v>2.2520100397801404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>
        <f>VLOOKUP(A23,'Données projet'!$A$269:$I$289,2,0)</f>
        <v>55</v>
      </c>
      <c r="GS23" s="13">
        <f>VLOOKUP(A23,'Données projet'!$A$269:$I$289,9,0)</f>
        <v>6.2</v>
      </c>
      <c r="GT23" s="13">
        <f t="array" ref="GT23">INDEX(GS:GS,MIN(IF(ISNUMBER(GS23:GS219),ROW(GS23:GS219),"")))</f>
        <v>6.2</v>
      </c>
      <c r="GU23" s="13">
        <f>IF('Données projet'!$A$270&gt;35,GU22+GT23-HC22,IF(A23&lt;'Données projet'!$A$270,$GR$205^A23,IF(A23='Données projet'!$A$270,'Données projet'!$B$270,GU22+GT23-HC22)))</f>
        <v>55.000000000000014</v>
      </c>
      <c r="GV23" s="18">
        <f>GU23*VLOOKUP('Données projet'!$B$18,Paramètres!$A$1:$I$89,3,0)*VLOOKUP('Données projet'!$B$18,Paramètres!$A$1:$I$89,5,0)</f>
        <v>42.900000000000013</v>
      </c>
      <c r="GW23" s="14">
        <f t="shared" si="51"/>
        <v>12.764133218298472</v>
      </c>
      <c r="GX23" s="22">
        <f t="shared" si="28"/>
        <v>96.948365355203194</v>
      </c>
      <c r="GY23" s="62">
        <f t="shared" si="29"/>
        <v>390.28169868853649</v>
      </c>
      <c r="GZ23" s="62">
        <f ca="1">AVERAGE(OFFSET($GY$3,0,0,'Données projet'!$E$18+1,1))-AVERAGE(OFFSET($H$3,0,0,'Données projet'!$E$18+1,1))</f>
        <v>99.222094917553648</v>
      </c>
      <c r="HA23" s="62">
        <f t="shared" si="52"/>
        <v>98.371477396766352</v>
      </c>
      <c r="HB23" s="16">
        <f>IF(ISNA(VLOOKUP(A23,'Données projet'!$A$269:$I$289,3,0)),0,VLOOKUP(A23,'Données projet'!$A$269:$I$289,3,0))</f>
        <v>2</v>
      </c>
      <c r="HC23" s="16">
        <f>IF(ISNA(VLOOKUP(A23,'Données projet'!$A$269:$I$289,4,0)),0,VLOOKUP(A23,'Données projet'!$A$269:$I$289,4,0))</f>
        <v>16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1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12.035413863299544</v>
      </c>
      <c r="HJ23" s="24">
        <f t="shared" si="30"/>
        <v>12.035413863299544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40.088908137267765</v>
      </c>
      <c r="O24" s="14">
        <f>N24*VLOOKUP('Données projet'!$B$9,Paramètres!$A$1:$I$89,3,0)*VLOOKUP('Données projet'!$B$9,Paramètres!$A$1:$I$89,5,0)</f>
        <v>18.761609008241315</v>
      </c>
      <c r="P24" s="14">
        <f t="shared" si="33"/>
        <v>6.1462965210381464</v>
      </c>
      <c r="Q24" s="22">
        <f t="shared" si="2"/>
        <v>43.381268796828387</v>
      </c>
      <c r="R24" s="62">
        <f t="shared" si="0"/>
        <v>336.71460213016172</v>
      </c>
      <c r="S24" s="62">
        <f ca="1">AVERAGE(OFFSET($R$3,0,0,'Données projet'!$E$9+1,1))-AVERAGE(OFFSET($H$3,0,0,'Données projet'!$E$9+1,1))</f>
        <v>181.48161394994878</v>
      </c>
      <c r="T24" s="62">
        <f t="shared" si="34"/>
        <v>141.1874974464024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75.238800000000012</v>
      </c>
      <c r="AK24" s="14">
        <f t="shared" si="35"/>
        <v>20.96892143970209</v>
      </c>
      <c r="AL24" s="22">
        <f t="shared" si="4"/>
        <v>167.56178150748116</v>
      </c>
      <c r="AM24" s="62">
        <f t="shared" si="5"/>
        <v>460.89511484081447</v>
      </c>
      <c r="AN24" s="62">
        <f ca="1">AVERAGE(OFFSET($AM$3,0,0,'Données projet'!$E$10+1,1))-AVERAGE(OFFSET($H$3,0,0,'Données projet'!$E$10+1,1))</f>
        <v>340.81036749486179</v>
      </c>
      <c r="AO24" s="62">
        <f t="shared" si="36"/>
        <v>208.88199836488013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425.77744411092726</v>
      </c>
      <c r="BI24" s="62">
        <f ca="1">AVERAGE(OFFSET($BH$3,0,0,'Données projet'!$E$11+1,1))-AVERAGE(OFFSET($H$3,0,0,'Données projet'!$E$11+1,1))</f>
        <v>257.96727373333601</v>
      </c>
      <c r="BJ24" s="62">
        <f t="shared" si="38"/>
        <v>194.52809733694494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67.136160000000004</v>
      </c>
      <c r="CA24" s="14">
        <f t="shared" si="39"/>
        <v>18.960545405756019</v>
      </c>
      <c r="CB24" s="22">
        <f t="shared" si="10"/>
        <v>149.95176191502506</v>
      </c>
      <c r="CC24" s="62">
        <f t="shared" si="11"/>
        <v>443.2850952483584</v>
      </c>
      <c r="CD24" s="62">
        <f ca="1">AVERAGE(OFFSET($CC$3,0,0,'Données projet'!$E$12+1,1))-AVERAGE(OFFSET($H$3,0,0,'Données projet'!$E$12+1,1))</f>
        <v>292.83612296867898</v>
      </c>
      <c r="CE24" s="62">
        <f t="shared" si="40"/>
        <v>180.48047802041276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3.6219557288182744</v>
      </c>
      <c r="CN24" s="24">
        <f t="shared" si="12"/>
        <v>3.6219557288182744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19.82573570942974</v>
      </c>
      <c r="CV24" s="14">
        <f t="shared" si="41"/>
        <v>6.4533301696051613</v>
      </c>
      <c r="CW24" s="22">
        <f t="shared" si="13"/>
        <v>45.769373072652449</v>
      </c>
      <c r="CX24" s="62">
        <f t="shared" si="14"/>
        <v>339.10270640598577</v>
      </c>
      <c r="CY24" s="62">
        <f ca="1">AVERAGE(OFFSET($CX$3,0,0,'Données projet'!$E$13+1,1))-AVERAGE(OFFSET($H$3,0,0,'Données projet'!$E$13+1,1))</f>
        <v>192.93829651668403</v>
      </c>
      <c r="CZ24" s="62">
        <f t="shared" si="42"/>
        <v>76.592736352376903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1.2</v>
      </c>
      <c r="DO24" s="13">
        <f>IF('Données projet'!$A$166&gt;35,DO23+DN24-DW23,IF(A24&lt;'Données projet'!$A$166,$DL$205^A24,IF(A24='Données projet'!$A$166,'Données projet'!$B$166,DO23+DN24-DW23)))</f>
        <v>17.409321838276906</v>
      </c>
      <c r="DP24" s="18">
        <f>DO24*VLOOKUP('Données projet'!$B$14,Paramètres!$A$1:$I$89,3,0)*VLOOKUP('Données projet'!$B$14,Paramètres!$A$1:$I$89,5,0)</f>
        <v>11.678173089116148</v>
      </c>
      <c r="DQ24" s="14">
        <f t="shared" si="43"/>
        <v>4.0428211913733714</v>
      </c>
      <c r="DR24" s="22">
        <f t="shared" si="16"/>
        <v>27.380731705185912</v>
      </c>
      <c r="DS24" s="62">
        <f t="shared" si="17"/>
        <v>320.71406503851921</v>
      </c>
      <c r="DT24" s="62">
        <f ca="1">AVERAGE(OFFSET($DS$3,0,0,'Données projet'!$E$14+1,1))-AVERAGE(OFFSET($H$3,0,0,'Données projet'!$E$14+1,1))</f>
        <v>66.964554307546564</v>
      </c>
      <c r="DU24" s="62">
        <f t="shared" si="44"/>
        <v>21.162700178818568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1.2</v>
      </c>
      <c r="EJ24" s="13">
        <f>IF('Données projet'!$A$192&gt;35,EJ23+EI24-ER23,IF(A24&lt;'Données projet'!$A$192,$EG$205^A24,IF(A24='Données projet'!$A$192,'Données projet'!$B$192,EJ23+EI24-ER23)))</f>
        <v>17.409321838276906</v>
      </c>
      <c r="EK24" s="18">
        <f>EJ24*VLOOKUP('Données projet'!$B$15,Paramètres!$A$1:$I$89,3,0)*VLOOKUP('Données projet'!$B$15,Paramètres!$A$1:$I$89,5,0)</f>
        <v>16.838296081981426</v>
      </c>
      <c r="EL24" s="14">
        <f t="shared" si="45"/>
        <v>5.5861051062554639</v>
      </c>
      <c r="EM24" s="22">
        <f t="shared" si="19"/>
        <v>39.055832069512576</v>
      </c>
      <c r="EN24" s="62">
        <f t="shared" si="20"/>
        <v>332.38916540284589</v>
      </c>
      <c r="EO24" s="62">
        <f ca="1">AVERAGE(OFFSET($EN$3,0,0,'Données projet'!$E$15+1,1))-AVERAGE(OFFSET($H$3,0,0,'Données projet'!$E$15+1,1))</f>
        <v>146.90952320473599</v>
      </c>
      <c r="EP24" s="62">
        <f t="shared" si="46"/>
        <v>56.347130462109817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1.2</v>
      </c>
      <c r="FE24" s="13">
        <f>IF('Données projet'!$A$218&gt;35,FE23+FD24-FM23,IF(A24&lt;'Données projet'!$A$218,$FB$205^A24,IF(A24='Données projet'!$A$218,'Données projet'!$B$218,FE23+FD24-FM23)))</f>
        <v>17.409321838276906</v>
      </c>
      <c r="FF24" s="18">
        <f>FE24*VLOOKUP('Données projet'!$B$16,Paramètres!$A$1:$I$89,3,0)*VLOOKUP('Données projet'!$B$16,Paramètres!$A$1:$I$89,5,0)</f>
        <v>18.739394026721261</v>
      </c>
      <c r="FG24" s="14">
        <f t="shared" si="47"/>
        <v>6.1398655725414359</v>
      </c>
      <c r="FH24" s="22">
        <f t="shared" si="22"/>
        <v>43.331377135382525</v>
      </c>
      <c r="FI24" s="62">
        <f t="shared" si="23"/>
        <v>336.66471046871584</v>
      </c>
      <c r="FJ24" s="62">
        <f ca="1">AVERAGE(OFFSET($FI$3,0,0,'Données projet'!$E$16+1,1))-AVERAGE(OFFSET($H$3,0,0,'Données projet'!$E$16+1,1))</f>
        <v>176.21892815766847</v>
      </c>
      <c r="FK24" s="62">
        <f t="shared" si="48"/>
        <v>69.239647548491234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7.8</v>
      </c>
      <c r="FZ24" s="13">
        <f>IF('Données projet'!$A$244&gt;35,FZ23+FY24-GH23,IF(A24&lt;'Données projet'!$A$244,$FW$205^A24,IF(A24='Données projet'!$A$244,'Données projet'!$B$244,FZ23+FY24-GH23)))</f>
        <v>22.8</v>
      </c>
      <c r="GA24" s="18">
        <f>FZ24*VLOOKUP('Données projet'!$B$17,Paramètres!$A$1:$I$89,3,0)*VLOOKUP('Données projet'!$B$17,Paramètres!$A$1:$I$89,5,0)</f>
        <v>18.139680000000002</v>
      </c>
      <c r="GB24" s="14">
        <f t="shared" si="49"/>
        <v>5.9659168815797194</v>
      </c>
      <c r="GC24" s="22">
        <f t="shared" si="25"/>
        <v>41.983914568751345</v>
      </c>
      <c r="GD24" s="62">
        <f t="shared" si="26"/>
        <v>335.31724790208466</v>
      </c>
      <c r="GE24" s="62">
        <f ca="1">AVERAGE(OFFSET($GD$3,0,0,'Données projet'!$E$17+1,1))-AVERAGE(OFFSET($H$3,0,0,'Données projet'!$E$17+1,1))</f>
        <v>70.834027458412379</v>
      </c>
      <c r="GF24" s="62">
        <f t="shared" si="50"/>
        <v>74.346987922112362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1.5924115704287241</v>
      </c>
      <c r="GO24" s="23">
        <f t="shared" si="27"/>
        <v>1.5924115704287241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6.6</v>
      </c>
      <c r="GU24" s="13">
        <f>IF('Données projet'!$A$270&gt;35,GU23+GT24-HC23,IF(A24&lt;'Données projet'!$A$270,$GR$205^A24,IF(A24='Données projet'!$A$270,'Données projet'!$B$270,GU23+GT24-HC23)))</f>
        <v>45.600000000000016</v>
      </c>
      <c r="GV24" s="18">
        <f>GU24*VLOOKUP('Données projet'!$B$18,Paramètres!$A$1:$I$89,3,0)*VLOOKUP('Données projet'!$B$18,Paramètres!$A$1:$I$89,5,0)</f>
        <v>35.568000000000012</v>
      </c>
      <c r="GW24" s="14">
        <f t="shared" si="51"/>
        <v>10.816037660735208</v>
      </c>
      <c r="GX24" s="22">
        <f t="shared" si="28"/>
        <v>80.785532259113836</v>
      </c>
      <c r="GY24" s="62">
        <f t="shared" si="29"/>
        <v>374.11886559244715</v>
      </c>
      <c r="GZ24" s="62">
        <f ca="1">AVERAGE(OFFSET($GY$3,0,0,'Données projet'!$E$18+1,1))-AVERAGE(OFFSET($H$3,0,0,'Données projet'!$E$18+1,1))</f>
        <v>99.222094917553648</v>
      </c>
      <c r="HA24" s="62">
        <f t="shared" si="52"/>
        <v>98.371477396766352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8.5103227571256923</v>
      </c>
      <c r="HJ24" s="24">
        <f t="shared" si="30"/>
        <v>8.5103227571256923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47.792386231317963</v>
      </c>
      <c r="O25" s="14">
        <f>N25*VLOOKUP('Données projet'!$B$9,Paramètres!$A$1:$I$89,3,0)*VLOOKUP('Données projet'!$B$9,Paramètres!$A$1:$I$89,5,0)</f>
        <v>22.366836756256806</v>
      </c>
      <c r="P25" s="14">
        <f t="shared" si="33"/>
        <v>7.178978641053865</v>
      </c>
      <c r="Q25" s="22">
        <f t="shared" si="2"/>
        <v>51.458961816982743</v>
      </c>
      <c r="R25" s="62">
        <f t="shared" si="0"/>
        <v>344.79229515031608</v>
      </c>
      <c r="S25" s="62">
        <f ca="1">AVERAGE(OFFSET($R$3,0,0,'Données projet'!$E$9+1,1))-AVERAGE(OFFSET($H$3,0,0,'Données projet'!$E$9+1,1))</f>
        <v>181.48161394994878</v>
      </c>
      <c r="T25" s="62">
        <f t="shared" si="34"/>
        <v>141.1874974464024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82.539600000000007</v>
      </c>
      <c r="AK25" s="14">
        <f t="shared" si="35"/>
        <v>22.756995627482848</v>
      </c>
      <c r="AL25" s="22">
        <f t="shared" si="4"/>
        <v>183.39157071786599</v>
      </c>
      <c r="AM25" s="62">
        <f t="shared" si="5"/>
        <v>476.7249040511993</v>
      </c>
      <c r="AN25" s="62">
        <f ca="1">AVERAGE(OFFSET($AM$3,0,0,'Données projet'!$E$10+1,1))-AVERAGE(OFFSET($H$3,0,0,'Données projet'!$E$10+1,1))</f>
        <v>340.81036749486179</v>
      </c>
      <c r="AO25" s="62">
        <f t="shared" si="36"/>
        <v>208.88199836488013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457.23719620976442</v>
      </c>
      <c r="BI25" s="62">
        <f ca="1">AVERAGE(OFFSET($BH$3,0,0,'Données projet'!$E$11+1,1))-AVERAGE(OFFSET($H$3,0,0,'Données projet'!$E$11+1,1))</f>
        <v>257.96727373333601</v>
      </c>
      <c r="BJ25" s="62">
        <f t="shared" si="38"/>
        <v>194.52809733694494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73.650720000000007</v>
      </c>
      <c r="CA25" s="14">
        <f t="shared" si="39"/>
        <v>20.577360172493922</v>
      </c>
      <c r="CB25" s="22">
        <f t="shared" si="10"/>
        <v>164.11390630042692</v>
      </c>
      <c r="CC25" s="62">
        <f t="shared" si="11"/>
        <v>457.4472396337602</v>
      </c>
      <c r="CD25" s="62">
        <f ca="1">AVERAGE(OFFSET($CC$3,0,0,'Données projet'!$E$12+1,1))-AVERAGE(OFFSET($H$3,0,0,'Données projet'!$E$12+1,1))</f>
        <v>292.83612296867898</v>
      </c>
      <c r="CE25" s="62">
        <f t="shared" si="40"/>
        <v>180.48047802041276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2.561109457004866</v>
      </c>
      <c r="CN25" s="24">
        <f t="shared" si="12"/>
        <v>2.561109457004866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22.715074347976607</v>
      </c>
      <c r="CV25" s="14">
        <f t="shared" si="41"/>
        <v>7.2776515668169814</v>
      </c>
      <c r="CW25" s="22">
        <f t="shared" si="13"/>
        <v>52.237330968265496</v>
      </c>
      <c r="CX25" s="62">
        <f t="shared" si="14"/>
        <v>345.57066430159881</v>
      </c>
      <c r="CY25" s="62">
        <f ca="1">AVERAGE(OFFSET($CX$3,0,0,'Données projet'!$E$13+1,1))-AVERAGE(OFFSET($H$3,0,0,'Données projet'!$E$13+1,1))</f>
        <v>192.93829651668403</v>
      </c>
      <c r="CZ25" s="62">
        <f t="shared" si="42"/>
        <v>76.592736352376903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1.2</v>
      </c>
      <c r="DO25" s="13">
        <f>IF('Données projet'!$A$166&gt;35,DO24+DN25-DW24,IF(A25&lt;'Données projet'!$A$166,$DL$205^A25,IF(A25='Données projet'!$A$166,'Données projet'!$B$166,DO24+DN25-DW24)))</f>
        <v>19.946500129940819</v>
      </c>
      <c r="DP25" s="18">
        <f>DO25*VLOOKUP('Données projet'!$B$14,Paramètres!$A$1:$I$89,3,0)*VLOOKUP('Données projet'!$B$14,Paramètres!$A$1:$I$89,5,0)</f>
        <v>13.3801122871643</v>
      </c>
      <c r="DQ25" s="14">
        <f t="shared" si="43"/>
        <v>4.5592342564985273</v>
      </c>
      <c r="DR25" s="22">
        <f t="shared" si="16"/>
        <v>31.244361896879429</v>
      </c>
      <c r="DS25" s="62">
        <f t="shared" si="17"/>
        <v>324.57769523021273</v>
      </c>
      <c r="DT25" s="62">
        <f ca="1">AVERAGE(OFFSET($DS$3,0,0,'Données projet'!$E$14+1,1))-AVERAGE(OFFSET($H$3,0,0,'Données projet'!$E$14+1,1))</f>
        <v>66.964554307546564</v>
      </c>
      <c r="DU25" s="62">
        <f t="shared" si="44"/>
        <v>21.162700178818568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1.2</v>
      </c>
      <c r="EJ25" s="13">
        <f>IF('Données projet'!$A$192&gt;35,EJ24+EI25-ER24,IF(A25&lt;'Données projet'!$A$192,$EG$205^A25,IF(A25='Données projet'!$A$192,'Données projet'!$B$192,EJ24+EI25-ER24)))</f>
        <v>19.946500129940819</v>
      </c>
      <c r="EK25" s="18">
        <f>EJ25*VLOOKUP('Données projet'!$B$15,Paramètres!$A$1:$I$89,3,0)*VLOOKUP('Données projet'!$B$15,Paramètres!$A$1:$I$89,5,0)</f>
        <v>19.292254925678762</v>
      </c>
      <c r="EL25" s="14">
        <f t="shared" si="45"/>
        <v>6.2996508020651527</v>
      </c>
      <c r="EM25" s="22">
        <f t="shared" si="19"/>
        <v>44.572569142487318</v>
      </c>
      <c r="EN25" s="62">
        <f t="shared" si="20"/>
        <v>337.90590247582065</v>
      </c>
      <c r="EO25" s="62">
        <f ca="1">AVERAGE(OFFSET($EN$3,0,0,'Données projet'!$E$15+1,1))-AVERAGE(OFFSET($H$3,0,0,'Données projet'!$E$15+1,1))</f>
        <v>146.90952320473599</v>
      </c>
      <c r="EP25" s="62">
        <f t="shared" si="46"/>
        <v>56.347130462109817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1.2</v>
      </c>
      <c r="FE25" s="13">
        <f>IF('Données projet'!$A$218&gt;35,FE24+FD25-FM24,IF(A25&lt;'Données projet'!$A$218,$FB$205^A25,IF(A25='Données projet'!$A$218,'Données projet'!$B$218,FE24+FD25-FM24)))</f>
        <v>19.946500129940819</v>
      </c>
      <c r="FF25" s="18">
        <f>FE25*VLOOKUP('Données projet'!$B$16,Paramètres!$A$1:$I$89,3,0)*VLOOKUP('Données projet'!$B$16,Paramètres!$A$1:$I$89,5,0)</f>
        <v>21.470412739868298</v>
      </c>
      <c r="FG25" s="14">
        <f t="shared" si="47"/>
        <v>6.9241463135591816</v>
      </c>
      <c r="FH25" s="22">
        <f t="shared" si="22"/>
        <v>49.453857018052851</v>
      </c>
      <c r="FI25" s="62">
        <f t="shared" si="23"/>
        <v>342.78719035138619</v>
      </c>
      <c r="FJ25" s="62">
        <f ca="1">AVERAGE(OFFSET($FI$3,0,0,'Données projet'!$E$16+1,1))-AVERAGE(OFFSET($H$3,0,0,'Données projet'!$E$16+1,1))</f>
        <v>176.21892815766847</v>
      </c>
      <c r="FK25" s="62">
        <f t="shared" si="48"/>
        <v>69.239647548491234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7.8</v>
      </c>
      <c r="FZ25" s="13">
        <f>IF('Données projet'!$A$244&gt;35,FZ24+FY25-GH24,IF(A25&lt;'Données projet'!$A$244,$FW$205^A25,IF(A25='Données projet'!$A$244,'Données projet'!$B$244,FZ24+FY25-GH24)))</f>
        <v>30.6</v>
      </c>
      <c r="GA25" s="18">
        <f>FZ25*VLOOKUP('Données projet'!$B$17,Paramètres!$A$1:$I$89,3,0)*VLOOKUP('Données projet'!$B$17,Paramètres!$A$1:$I$89,5,0)</f>
        <v>24.345360000000003</v>
      </c>
      <c r="GB25" s="14">
        <f t="shared" si="49"/>
        <v>7.7372997120475224</v>
      </c>
      <c r="GC25" s="22">
        <f t="shared" si="25"/>
        <v>55.877298998482765</v>
      </c>
      <c r="GD25" s="62">
        <f t="shared" si="26"/>
        <v>349.2106323318161</v>
      </c>
      <c r="GE25" s="62">
        <f ca="1">AVERAGE(OFFSET($GD$3,0,0,'Données projet'!$E$17+1,1))-AVERAGE(OFFSET($H$3,0,0,'Données projet'!$E$17+1,1))</f>
        <v>70.834027458412379</v>
      </c>
      <c r="GF25" s="62">
        <f t="shared" si="50"/>
        <v>74.346987922112362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1.1260050198900704</v>
      </c>
      <c r="GO25" s="23">
        <f t="shared" si="27"/>
        <v>1.1260050198900704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6.6</v>
      </c>
      <c r="GU25" s="13">
        <f>IF('Données projet'!$A$270&gt;35,GU24+GT25-HC24,IF(A25&lt;'Données projet'!$A$270,$GR$205^A25,IF(A25='Données projet'!$A$270,'Données projet'!$B$270,GU24+GT25-HC24)))</f>
        <v>52.200000000000017</v>
      </c>
      <c r="GV25" s="18">
        <f>GU25*VLOOKUP('Données projet'!$B$18,Paramètres!$A$1:$I$89,3,0)*VLOOKUP('Données projet'!$B$18,Paramètres!$A$1:$I$89,5,0)</f>
        <v>40.716000000000015</v>
      </c>
      <c r="GW25" s="14">
        <f t="shared" si="51"/>
        <v>12.188226385475181</v>
      </c>
      <c r="GX25" s="22">
        <f t="shared" si="28"/>
        <v>92.141527621369292</v>
      </c>
      <c r="GY25" s="62">
        <f t="shared" si="29"/>
        <v>385.47486095470259</v>
      </c>
      <c r="GZ25" s="62">
        <f ca="1">AVERAGE(OFFSET($GY$3,0,0,'Données projet'!$E$18+1,1))-AVERAGE(OFFSET($H$3,0,0,'Données projet'!$E$18+1,1))</f>
        <v>99.222094917553648</v>
      </c>
      <c r="HA25" s="62">
        <f t="shared" si="52"/>
        <v>98.371477396766352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6.0177069316497729</v>
      </c>
      <c r="HJ25" s="24">
        <f t="shared" si="30"/>
        <v>6.0177069316497729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56.976163428110333</v>
      </c>
      <c r="O26" s="14">
        <f>N26*VLOOKUP('Données projet'!$B$9,Paramètres!$A$1:$I$89,3,0)*VLOOKUP('Données projet'!$B$9,Paramètres!$A$1:$I$89,5,0)</f>
        <v>26.664844484355637</v>
      </c>
      <c r="P26" s="14">
        <f t="shared" si="33"/>
        <v>8.3851688821551527</v>
      </c>
      <c r="Q26" s="22">
        <f t="shared" si="2"/>
        <v>61.045439946672957</v>
      </c>
      <c r="R26" s="62">
        <f t="shared" si="0"/>
        <v>354.37877328000627</v>
      </c>
      <c r="S26" s="62">
        <f ca="1">AVERAGE(OFFSET($R$3,0,0,'Données projet'!$E$9+1,1))-AVERAGE(OFFSET($H$3,0,0,'Données projet'!$E$9+1,1))</f>
        <v>181.48161394994878</v>
      </c>
      <c r="T26" s="62">
        <f t="shared" si="34"/>
        <v>141.1874974464024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89.840400000000017</v>
      </c>
      <c r="AK26" s="14">
        <f t="shared" si="35"/>
        <v>24.526729341796202</v>
      </c>
      <c r="AL26" s="22">
        <f t="shared" si="4"/>
        <v>199.18941693696172</v>
      </c>
      <c r="AM26" s="62">
        <f t="shared" si="5"/>
        <v>492.52275027029503</v>
      </c>
      <c r="AN26" s="62">
        <f ca="1">AVERAGE(OFFSET($AM$3,0,0,'Données projet'!$E$10+1,1))-AVERAGE(OFFSET($H$3,0,0,'Données projet'!$E$10+1,1))</f>
        <v>340.81036749486179</v>
      </c>
      <c r="AO26" s="62">
        <f t="shared" si="36"/>
        <v>208.88199836488013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452.47373260408426</v>
      </c>
      <c r="BI26" s="62">
        <f ca="1">AVERAGE(OFFSET($BH$3,0,0,'Données projet'!$E$11+1,1))-AVERAGE(OFFSET($H$3,0,0,'Données projet'!$E$11+1,1))</f>
        <v>257.96727373333601</v>
      </c>
      <c r="BJ26" s="62">
        <f t="shared" si="38"/>
        <v>194.52809733694494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80.165279999999996</v>
      </c>
      <c r="CA26" s="14">
        <f t="shared" si="39"/>
        <v>22.177591092468788</v>
      </c>
      <c r="CB26" s="22">
        <f t="shared" si="10"/>
        <v>178.24716715271646</v>
      </c>
      <c r="CC26" s="62">
        <f t="shared" si="11"/>
        <v>471.5805004860498</v>
      </c>
      <c r="CD26" s="62">
        <f ca="1">AVERAGE(OFFSET($CC$3,0,0,'Données projet'!$E$12+1,1))-AVERAGE(OFFSET($H$3,0,0,'Données projet'!$E$12+1,1))</f>
        <v>292.83612296867898</v>
      </c>
      <c r="CE26" s="62">
        <f t="shared" si="40"/>
        <v>180.48047802041276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1.8109778644091374</v>
      </c>
      <c r="CN26" s="24">
        <f t="shared" si="12"/>
        <v>1.8109778644091374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26.025495860347377</v>
      </c>
      <c r="CV26" s="14">
        <f t="shared" si="41"/>
        <v>8.2072683306135854</v>
      </c>
      <c r="CW26" s="22">
        <f t="shared" si="13"/>
        <v>59.622064299257012</v>
      </c>
      <c r="CX26" s="62">
        <f t="shared" si="14"/>
        <v>352.95539763259035</v>
      </c>
      <c r="CY26" s="62">
        <f ca="1">AVERAGE(OFFSET($CX$3,0,0,'Données projet'!$E$13+1,1))-AVERAGE(OFFSET($H$3,0,0,'Données projet'!$E$13+1,1))</f>
        <v>192.93829651668403</v>
      </c>
      <c r="CZ26" s="62">
        <f t="shared" si="42"/>
        <v>76.592736352376903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1.2</v>
      </c>
      <c r="DO26" s="13">
        <f>IF('Données projet'!$A$166&gt;35,DO25+DN26-DW25,IF(A26&lt;'Données projet'!$A$166,$DL$205^A26,IF(A26='Données projet'!$A$166,'Données projet'!$B$166,DO25+DN26-DW25)))</f>
        <v>22.853438584779923</v>
      </c>
      <c r="DP26" s="18">
        <f>DO26*VLOOKUP('Données projet'!$B$14,Paramètres!$A$1:$I$89,3,0)*VLOOKUP('Données projet'!$B$14,Paramètres!$A$1:$I$89,5,0)</f>
        <v>15.330086602670374</v>
      </c>
      <c r="DQ26" s="14">
        <f t="shared" si="43"/>
        <v>5.1416117660569478</v>
      </c>
      <c r="DR26" s="22">
        <f t="shared" si="16"/>
        <v>35.654874658866753</v>
      </c>
      <c r="DS26" s="62">
        <f t="shared" si="17"/>
        <v>328.98820799220005</v>
      </c>
      <c r="DT26" s="62">
        <f ca="1">AVERAGE(OFFSET($DS$3,0,0,'Données projet'!$E$14+1,1))-AVERAGE(OFFSET($H$3,0,0,'Données projet'!$E$14+1,1))</f>
        <v>66.964554307546564</v>
      </c>
      <c r="DU26" s="62">
        <f t="shared" si="44"/>
        <v>21.162700178818568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1.2</v>
      </c>
      <c r="EJ26" s="13">
        <f>IF('Données projet'!$A$192&gt;35,EJ25+EI26-ER25,IF(A26&lt;'Données projet'!$A$192,$EG$205^A26,IF(A26='Données projet'!$A$192,'Données projet'!$B$192,EJ25+EI26-ER25)))</f>
        <v>22.853438584779923</v>
      </c>
      <c r="EK26" s="18">
        <f>EJ26*VLOOKUP('Données projet'!$B$15,Paramètres!$A$1:$I$89,3,0)*VLOOKUP('Données projet'!$B$15,Paramètres!$A$1:$I$89,5,0)</f>
        <v>22.103845799199142</v>
      </c>
      <c r="EL26" s="14">
        <f t="shared" si="45"/>
        <v>7.1043418398123555</v>
      </c>
      <c r="EM26" s="22">
        <f t="shared" si="19"/>
        <v>50.870926804611692</v>
      </c>
      <c r="EN26" s="62">
        <f t="shared" si="20"/>
        <v>344.20426013794503</v>
      </c>
      <c r="EO26" s="62">
        <f ca="1">AVERAGE(OFFSET($EN$3,0,0,'Données projet'!$E$15+1,1))-AVERAGE(OFFSET($H$3,0,0,'Données projet'!$E$15+1,1))</f>
        <v>146.90952320473599</v>
      </c>
      <c r="EP26" s="62">
        <f t="shared" si="46"/>
        <v>56.347130462109817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1.2</v>
      </c>
      <c r="FE26" s="13">
        <f>IF('Données projet'!$A$218&gt;35,FE25+FD26-FM25,IF(A26&lt;'Données projet'!$A$218,$FB$205^A26,IF(A26='Données projet'!$A$218,'Données projet'!$B$218,FE25+FD26-FM25)))</f>
        <v>22.853438584779923</v>
      </c>
      <c r="FF26" s="18">
        <f>FE26*VLOOKUP('Données projet'!$B$16,Paramètres!$A$1:$I$89,3,0)*VLOOKUP('Données projet'!$B$16,Paramètres!$A$1:$I$89,5,0)</f>
        <v>24.599441292657108</v>
      </c>
      <c r="FG26" s="14">
        <f t="shared" si="47"/>
        <v>7.808607795256683</v>
      </c>
      <c r="FH26" s="22">
        <f t="shared" si="22"/>
        <v>56.444018828116505</v>
      </c>
      <c r="FI26" s="62">
        <f t="shared" si="23"/>
        <v>349.77735216144981</v>
      </c>
      <c r="FJ26" s="62">
        <f ca="1">AVERAGE(OFFSET($FI$3,0,0,'Données projet'!$E$16+1,1))-AVERAGE(OFFSET($H$3,0,0,'Données projet'!$E$16+1,1))</f>
        <v>176.21892815766847</v>
      </c>
      <c r="FK26" s="62">
        <f t="shared" si="48"/>
        <v>69.239647548491234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7.8</v>
      </c>
      <c r="FZ26" s="13">
        <f>IF('Données projet'!$A$244&gt;35,FZ25+FY26-GH25,IF(A26&lt;'Données projet'!$A$244,$FW$205^A26,IF(A26='Données projet'!$A$244,'Données projet'!$B$244,FZ25+FY26-GH25)))</f>
        <v>38.4</v>
      </c>
      <c r="GA26" s="18">
        <f>FZ26*VLOOKUP('Données projet'!$B$17,Paramètres!$A$1:$I$89,3,0)*VLOOKUP('Données projet'!$B$17,Paramètres!$A$1:$I$89,5,0)</f>
        <v>30.55104</v>
      </c>
      <c r="GB26" s="14">
        <f t="shared" si="49"/>
        <v>9.4562955522389913</v>
      </c>
      <c r="GC26" s="22">
        <f t="shared" si="25"/>
        <v>69.679442753482917</v>
      </c>
      <c r="GD26" s="62">
        <f t="shared" si="26"/>
        <v>363.01277608681625</v>
      </c>
      <c r="GE26" s="62">
        <f ca="1">AVERAGE(OFFSET($GD$3,0,0,'Données projet'!$E$17+1,1))-AVERAGE(OFFSET($H$3,0,0,'Données projet'!$E$17+1,1))</f>
        <v>70.834027458412379</v>
      </c>
      <c r="GF26" s="62">
        <f t="shared" si="50"/>
        <v>74.346987922112362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0.79620578521436214</v>
      </c>
      <c r="GO26" s="23">
        <f t="shared" si="27"/>
        <v>0.79620578521436214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6.6</v>
      </c>
      <c r="GU26" s="13">
        <f>IF('Données projet'!$A$270&gt;35,GU25+GT26-HC25,IF(A26&lt;'Données projet'!$A$270,$GR$205^A26,IF(A26='Données projet'!$A$270,'Données projet'!$B$270,GU25+GT26-HC25)))</f>
        <v>58.800000000000018</v>
      </c>
      <c r="GV26" s="18">
        <f>GU26*VLOOKUP('Données projet'!$B$18,Paramètres!$A$1:$I$89,3,0)*VLOOKUP('Données projet'!$B$18,Paramètres!$A$1:$I$89,5,0)</f>
        <v>45.864000000000019</v>
      </c>
      <c r="GW26" s="14">
        <f t="shared" si="51"/>
        <v>13.540311673175408</v>
      </c>
      <c r="GX26" s="22">
        <f t="shared" si="28"/>
        <v>103.46250949744721</v>
      </c>
      <c r="GY26" s="62">
        <f t="shared" si="29"/>
        <v>396.79584283078054</v>
      </c>
      <c r="GZ26" s="62">
        <f ca="1">AVERAGE(OFFSET($GY$3,0,0,'Données projet'!$E$18+1,1))-AVERAGE(OFFSET($H$3,0,0,'Données projet'!$E$18+1,1))</f>
        <v>99.222094917553648</v>
      </c>
      <c r="HA26" s="62">
        <f t="shared" si="52"/>
        <v>98.371477396766352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4.2551613785628462</v>
      </c>
      <c r="HJ26" s="24">
        <f t="shared" si="30"/>
        <v>4.2551613785628462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67.924693763448758</v>
      </c>
      <c r="O27" s="14">
        <f>N27*VLOOKUP('Données projet'!$B$9,Paramètres!$A$1:$I$89,3,0)*VLOOKUP('Données projet'!$B$9,Paramètres!$A$1:$I$89,5,0)</f>
        <v>31.788756681294021</v>
      </c>
      <c r="P27" s="14">
        <f t="shared" si="33"/>
        <v>9.7940195531688623</v>
      </c>
      <c r="Q27" s="22">
        <f t="shared" si="2"/>
        <v>72.423335275022851</v>
      </c>
      <c r="R27" s="62">
        <f t="shared" si="0"/>
        <v>365.75666860835616</v>
      </c>
      <c r="S27" s="62">
        <f ca="1">AVERAGE(OFFSET($R$3,0,0,'Données projet'!$E$9+1,1))-AVERAGE(OFFSET($H$3,0,0,'Données projet'!$E$9+1,1))</f>
        <v>181.48161394994878</v>
      </c>
      <c r="T27" s="62">
        <f t="shared" si="34"/>
        <v>141.1874974464024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97.141200000000026</v>
      </c>
      <c r="AK27" s="14">
        <f t="shared" si="35"/>
        <v>26.279782450761708</v>
      </c>
      <c r="AL27" s="22">
        <f t="shared" si="4"/>
        <v>214.95821110174333</v>
      </c>
      <c r="AM27" s="62">
        <f t="shared" si="5"/>
        <v>508.29154443507662</v>
      </c>
      <c r="AN27" s="62">
        <f ca="1">AVERAGE(OFFSET($AM$3,0,0,'Données projet'!$E$10+1,1))-AVERAGE(OFFSET($H$3,0,0,'Données projet'!$E$10+1,1))</f>
        <v>340.81036749486179</v>
      </c>
      <c r="AO27" s="62">
        <f t="shared" si="36"/>
        <v>208.88199836488013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468.48347327497567</v>
      </c>
      <c r="BI27" s="62">
        <f ca="1">AVERAGE(OFFSET($BH$3,0,0,'Données projet'!$E$11+1,1))-AVERAGE(OFFSET($H$3,0,0,'Données projet'!$E$11+1,1))</f>
        <v>257.96727373333601</v>
      </c>
      <c r="BJ27" s="62">
        <f t="shared" si="38"/>
        <v>194.52809733694494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86.679839999999999</v>
      </c>
      <c r="CA27" s="14">
        <f t="shared" si="39"/>
        <v>23.762739053789723</v>
      </c>
      <c r="CB27" s="22">
        <f t="shared" si="10"/>
        <v>192.35415851868379</v>
      </c>
      <c r="CC27" s="62">
        <f t="shared" si="11"/>
        <v>485.6874918520171</v>
      </c>
      <c r="CD27" s="62">
        <f ca="1">AVERAGE(OFFSET($CC$3,0,0,'Données projet'!$E$12+1,1))-AVERAGE(OFFSET($H$3,0,0,'Données projet'!$E$12+1,1))</f>
        <v>292.83612296867898</v>
      </c>
      <c r="CE27" s="62">
        <f t="shared" si="40"/>
        <v>180.48047802041276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1.2805547285024332</v>
      </c>
      <c r="CN27" s="24">
        <f t="shared" si="12"/>
        <v>1.2805547285024332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29.818367503485312</v>
      </c>
      <c r="CV27" s="14">
        <f t="shared" si="41"/>
        <v>9.255630450600643</v>
      </c>
      <c r="CW27" s="22">
        <f t="shared" si="13"/>
        <v>68.053879770033035</v>
      </c>
      <c r="CX27" s="62">
        <f t="shared" si="14"/>
        <v>361.38721310336632</v>
      </c>
      <c r="CY27" s="62">
        <f ca="1">AVERAGE(OFFSET($CX$3,0,0,'Données projet'!$E$13+1,1))-AVERAGE(OFFSET($H$3,0,0,'Données projet'!$E$13+1,1))</f>
        <v>192.93829651668403</v>
      </c>
      <c r="CZ27" s="62">
        <f t="shared" si="42"/>
        <v>76.592736352376903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1.2</v>
      </c>
      <c r="DO27" s="13">
        <f>IF('Données projet'!$A$166&gt;35,DO26+DN27-DW26,IF(A27&lt;'Données projet'!$A$166,$DL$205^A27,IF(A27='Données projet'!$A$166,'Données projet'!$B$166,DO26+DN27-DW26)))</f>
        <v>26.184024853780567</v>
      </c>
      <c r="DP27" s="18">
        <f>DO27*VLOOKUP('Données projet'!$B$14,Paramètres!$A$1:$I$89,3,0)*VLOOKUP('Données projet'!$B$14,Paramètres!$A$1:$I$89,5,0)</f>
        <v>17.564243871916005</v>
      </c>
      <c r="DQ27" s="14">
        <f t="shared" si="43"/>
        <v>5.7983797422065528</v>
      </c>
      <c r="DR27" s="22">
        <f t="shared" si="16"/>
        <v>40.689902794596783</v>
      </c>
      <c r="DS27" s="62">
        <f t="shared" si="17"/>
        <v>334.02323612793009</v>
      </c>
      <c r="DT27" s="62">
        <f ca="1">AVERAGE(OFFSET($DS$3,0,0,'Données projet'!$E$14+1,1))-AVERAGE(OFFSET($H$3,0,0,'Données projet'!$E$14+1,1))</f>
        <v>66.964554307546564</v>
      </c>
      <c r="DU27" s="62">
        <f t="shared" si="44"/>
        <v>21.162700178818568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1.2</v>
      </c>
      <c r="EJ27" s="13">
        <f>IF('Données projet'!$A$192&gt;35,EJ26+EI27-ER26,IF(A27&lt;'Données projet'!$A$192,$EG$205^A27,IF(A27='Données projet'!$A$192,'Données projet'!$B$192,EJ26+EI27-ER26)))</f>
        <v>26.184024853780567</v>
      </c>
      <c r="EK27" s="18">
        <f>EJ27*VLOOKUP('Données projet'!$B$15,Paramètres!$A$1:$I$89,3,0)*VLOOKUP('Données projet'!$B$15,Paramètres!$A$1:$I$89,5,0)</f>
        <v>25.325188838576565</v>
      </c>
      <c r="EL27" s="14">
        <f t="shared" si="45"/>
        <v>8.0118207441534324</v>
      </c>
      <c r="EM27" s="22">
        <f t="shared" si="19"/>
        <v>58.061958356588072</v>
      </c>
      <c r="EN27" s="62">
        <f t="shared" si="20"/>
        <v>351.39529168992141</v>
      </c>
      <c r="EO27" s="62">
        <f ca="1">AVERAGE(OFFSET($EN$3,0,0,'Données projet'!$E$15+1,1))-AVERAGE(OFFSET($H$3,0,0,'Données projet'!$E$15+1,1))</f>
        <v>146.90952320473599</v>
      </c>
      <c r="EP27" s="62">
        <f t="shared" si="46"/>
        <v>56.347130462109817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1.2</v>
      </c>
      <c r="FE27" s="13">
        <f>IF('Données projet'!$A$218&gt;35,FE26+FD27-FM26,IF(A27&lt;'Données projet'!$A$218,$FB$205^A27,IF(A27='Données projet'!$A$218,'Données projet'!$B$218,FE26+FD27-FM26)))</f>
        <v>26.184024853780567</v>
      </c>
      <c r="FF27" s="18">
        <f>FE27*VLOOKUP('Données projet'!$B$16,Paramètres!$A$1:$I$89,3,0)*VLOOKUP('Données projet'!$B$16,Paramètres!$A$1:$I$89,5,0)</f>
        <v>28.184484352609399</v>
      </c>
      <c r="FG27" s="14">
        <f t="shared" si="47"/>
        <v>8.8060466863244411</v>
      </c>
      <c r="FH27" s="22">
        <f t="shared" si="22"/>
        <v>64.425174892809764</v>
      </c>
      <c r="FI27" s="62">
        <f t="shared" si="23"/>
        <v>357.75850822614308</v>
      </c>
      <c r="FJ27" s="62">
        <f ca="1">AVERAGE(OFFSET($FI$3,0,0,'Données projet'!$E$16+1,1))-AVERAGE(OFFSET($H$3,0,0,'Données projet'!$E$16+1,1))</f>
        <v>176.21892815766847</v>
      </c>
      <c r="FK27" s="62">
        <f t="shared" si="48"/>
        <v>69.239647548491234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7.8</v>
      </c>
      <c r="FZ27" s="13">
        <f>IF('Données projet'!$A$244&gt;35,FZ26+FY27-GH26,IF(A27&lt;'Données projet'!$A$244,$FW$205^A27,IF(A27='Données projet'!$A$244,'Données projet'!$B$244,FZ26+FY27-GH26)))</f>
        <v>46.199999999999996</v>
      </c>
      <c r="GA27" s="18">
        <f>FZ27*VLOOKUP('Données projet'!$B$17,Paramètres!$A$1:$I$89,3,0)*VLOOKUP('Données projet'!$B$17,Paramètres!$A$1:$I$89,5,0)</f>
        <v>36.756719999999994</v>
      </c>
      <c r="GB27" s="14">
        <f t="shared" si="49"/>
        <v>11.134830674501501</v>
      </c>
      <c r="GC27" s="22">
        <f t="shared" si="25"/>
        <v>83.411117424756767</v>
      </c>
      <c r="GD27" s="62">
        <f t="shared" si="26"/>
        <v>376.74445075809007</v>
      </c>
      <c r="GE27" s="62">
        <f ca="1">AVERAGE(OFFSET($GD$3,0,0,'Données projet'!$E$17+1,1))-AVERAGE(OFFSET($H$3,0,0,'Données projet'!$E$17+1,1))</f>
        <v>70.834027458412379</v>
      </c>
      <c r="GF27" s="62">
        <f t="shared" si="50"/>
        <v>74.346987922112362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0.56300250994503531</v>
      </c>
      <c r="GO27" s="23">
        <f t="shared" si="27"/>
        <v>0.56300250994503531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6.6</v>
      </c>
      <c r="GU27" s="13">
        <f>IF('Données projet'!$A$270&gt;35,GU26+GT27-HC26,IF(A27&lt;'Données projet'!$A$270,$GR$205^A27,IF(A27='Données projet'!$A$270,'Données projet'!$B$270,GU26+GT27-HC26)))</f>
        <v>65.40000000000002</v>
      </c>
      <c r="GV27" s="18">
        <f>GU27*VLOOKUP('Données projet'!$B$18,Paramètres!$A$1:$I$89,3,0)*VLOOKUP('Données projet'!$B$18,Paramètres!$A$1:$I$89,5,0)</f>
        <v>51.012000000000015</v>
      </c>
      <c r="GW27" s="14">
        <f t="shared" si="51"/>
        <v>14.874807504914678</v>
      </c>
      <c r="GX27" s="22">
        <f t="shared" si="28"/>
        <v>114.75285640439307</v>
      </c>
      <c r="GY27" s="62">
        <f t="shared" si="29"/>
        <v>408.08618973772639</v>
      </c>
      <c r="GZ27" s="62">
        <f ca="1">AVERAGE(OFFSET($GY$3,0,0,'Données projet'!$E$18+1,1))-AVERAGE(OFFSET($H$3,0,0,'Données projet'!$E$18+1,1))</f>
        <v>99.222094917553648</v>
      </c>
      <c r="HA27" s="62">
        <f t="shared" si="52"/>
        <v>98.371477396766352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3.0088534658248864</v>
      </c>
      <c r="HJ27" s="24">
        <f t="shared" si="30"/>
        <v>3.0088534658248864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80.977091914581294</v>
      </c>
      <c r="O28" s="14">
        <f>N28*VLOOKUP('Données projet'!$B$9,Paramètres!$A$1:$I$89,3,0)*VLOOKUP('Données projet'!$B$9,Paramètres!$A$1:$I$89,5,0)</f>
        <v>37.897279016024044</v>
      </c>
      <c r="P28" s="14">
        <f t="shared" si="33"/>
        <v>11.43958104552808</v>
      </c>
      <c r="Q28" s="22">
        <f t="shared" si="2"/>
        <v>85.928364607203278</v>
      </c>
      <c r="R28" s="62">
        <f t="shared" si="0"/>
        <v>379.26169794053658</v>
      </c>
      <c r="S28" s="62">
        <f ca="1">AVERAGE(OFFSET($R$3,0,0,'Données projet'!$E$9+1,1))-AVERAGE(OFFSET($H$3,0,0,'Données projet'!$E$9+1,1))</f>
        <v>181.48161394994878</v>
      </c>
      <c r="T28" s="62">
        <f t="shared" si="34"/>
        <v>141.1874974464024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104.44200000000004</v>
      </c>
      <c r="AK28" s="14">
        <f t="shared" si="35"/>
        <v>28.01755116176631</v>
      </c>
      <c r="AL28" s="22">
        <f t="shared" si="4"/>
        <v>230.70038494007636</v>
      </c>
      <c r="AM28" s="62">
        <f t="shared" si="5"/>
        <v>524.0337182734097</v>
      </c>
      <c r="AN28" s="62">
        <f ca="1">AVERAGE(OFFSET($AM$3,0,0,'Données projet'!$E$10+1,1))-AVERAGE(OFFSET($H$3,0,0,'Données projet'!$E$10+1,1))</f>
        <v>340.81036749486179</v>
      </c>
      <c r="AO28" s="62">
        <f t="shared" si="36"/>
        <v>208.88199836488013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484.4588463196344</v>
      </c>
      <c r="BI28" s="62">
        <f ca="1">AVERAGE(OFFSET($BH$3,0,0,'Données projet'!$E$11+1,1))-AVERAGE(OFFSET($H$3,0,0,'Données projet'!$E$11+1,1))</f>
        <v>257.96727373333601</v>
      </c>
      <c r="BJ28" s="62">
        <f t="shared" si="38"/>
        <v>194.52809733694494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15.34038764069177</v>
      </c>
      <c r="BS28" s="24">
        <f t="shared" si="9"/>
        <v>15.34038764069177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93.194400000000002</v>
      </c>
      <c r="CA28" s="14">
        <f t="shared" si="39"/>
        <v>25.33406653691528</v>
      </c>
      <c r="CB28" s="22">
        <f t="shared" si="10"/>
        <v>206.43707921846078</v>
      </c>
      <c r="CC28" s="62">
        <f t="shared" si="11"/>
        <v>499.7704125517941</v>
      </c>
      <c r="CD28" s="62">
        <f ca="1">AVERAGE(OFFSET($CC$3,0,0,'Données projet'!$E$12+1,1))-AVERAGE(OFFSET($H$3,0,0,'Données projet'!$E$12+1,1))</f>
        <v>292.83612296867898</v>
      </c>
      <c r="CE28" s="62">
        <f t="shared" si="40"/>
        <v>180.48047802041276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1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24.809177197583317</v>
      </c>
      <c r="CN28" s="24">
        <f t="shared" si="12"/>
        <v>24.809177197583317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34.164000000000001</v>
      </c>
      <c r="CV28" s="14">
        <f t="shared" si="41"/>
        <v>10.43790596178561</v>
      </c>
      <c r="CW28" s="22">
        <f t="shared" si="13"/>
        <v>77.681652883443277</v>
      </c>
      <c r="CX28" s="62">
        <f t="shared" si="14"/>
        <v>371.01498621677661</v>
      </c>
      <c r="CY28" s="62">
        <f ca="1">AVERAGE(OFFSET($CX$3,0,0,'Données projet'!$E$13+1,1))-AVERAGE(OFFSET($H$3,0,0,'Données projet'!$E$13+1,1))</f>
        <v>192.93829651668403</v>
      </c>
      <c r="CZ28" s="62">
        <f t="shared" si="42"/>
        <v>76.592736352376903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30</v>
      </c>
      <c r="DM28" s="13">
        <f>VLOOKUP(A28,'Données projet'!$A$165:$I$185,9,0)</f>
        <v>1.2</v>
      </c>
      <c r="DN28" s="13">
        <f t="array" ref="DN28">INDEX(DM:DM,MIN(IF(ISNUMBER(DM28:DM224),ROW(DM28:DM224),"")))</f>
        <v>1.2</v>
      </c>
      <c r="DO28" s="13">
        <f>IF('Données projet'!$A$166&gt;35,DO27+DN28-DW27,IF(A28&lt;'Données projet'!$A$166,$DL$205^A28,IF(A28='Données projet'!$A$166,'Données projet'!$B$166,DO27+DN28-DW27)))</f>
        <v>30</v>
      </c>
      <c r="DP28" s="18">
        <f>DO28*VLOOKUP('Données projet'!$B$14,Paramètres!$A$1:$I$89,3,0)*VLOOKUP('Données projet'!$B$14,Paramètres!$A$1:$I$89,5,0)</f>
        <v>20.124000000000002</v>
      </c>
      <c r="DQ28" s="14">
        <f t="shared" si="43"/>
        <v>6.539040511923969</v>
      </c>
      <c r="DR28" s="22">
        <f t="shared" si="16"/>
        <v>46.438128891600911</v>
      </c>
      <c r="DS28" s="62">
        <f t="shared" si="17"/>
        <v>339.77146222493423</v>
      </c>
      <c r="DT28" s="62">
        <f ca="1">AVERAGE(OFFSET($DS$3,0,0,'Données projet'!$E$14+1,1))-AVERAGE(OFFSET($H$3,0,0,'Données projet'!$E$14+1,1))</f>
        <v>66.964554307546564</v>
      </c>
      <c r="DU28" s="62">
        <f t="shared" si="44"/>
        <v>21.162700178818568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30</v>
      </c>
      <c r="EH28" s="13">
        <f>VLOOKUP(A28,'Données projet'!$A$191:$I$211,9,0)</f>
        <v>1.2</v>
      </c>
      <c r="EI28" s="13">
        <f t="array" ref="EI28">INDEX(EH:EH,MIN(IF(ISNUMBER(EH28:EH224),ROW(EH28:EH224),"")))</f>
        <v>1.2</v>
      </c>
      <c r="EJ28" s="13">
        <f>IF('Données projet'!$A$192&gt;35,EJ27+EI28-ER27,IF(A28&lt;'Données projet'!$A$192,$EG$205^A28,IF(A28='Données projet'!$A$192,'Données projet'!$B$192,EJ27+EI28-ER27)))</f>
        <v>30</v>
      </c>
      <c r="EK28" s="18">
        <f>EJ28*VLOOKUP('Données projet'!$B$15,Paramètres!$A$1:$I$89,3,0)*VLOOKUP('Données projet'!$B$15,Paramètres!$A$1:$I$89,5,0)</f>
        <v>29.016000000000002</v>
      </c>
      <c r="EL28" s="14">
        <f t="shared" si="45"/>
        <v>9.0352172071357728</v>
      </c>
      <c r="EM28" s="22">
        <f t="shared" si="19"/>
        <v>66.272536635761469</v>
      </c>
      <c r="EN28" s="62">
        <f t="shared" si="20"/>
        <v>359.60586996909478</v>
      </c>
      <c r="EO28" s="62">
        <f ca="1">AVERAGE(OFFSET($EN$3,0,0,'Données projet'!$E$15+1,1))-AVERAGE(OFFSET($H$3,0,0,'Données projet'!$E$15+1,1))</f>
        <v>146.90952320473599</v>
      </c>
      <c r="EP28" s="62">
        <f t="shared" si="46"/>
        <v>56.347130462109817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>
        <f>VLOOKUP(A28,'Données projet'!$A$217:$I$237,2,0)</f>
        <v>30</v>
      </c>
      <c r="FC28" s="13">
        <f>VLOOKUP(A28,'Données projet'!$A$217:$I$237,9,0)</f>
        <v>1.2</v>
      </c>
      <c r="FD28" s="13">
        <f t="array" ref="FD28">INDEX(FC:FC,MIN(IF(ISNUMBER(FC28:FC224),ROW(FC28:FC224),"")))</f>
        <v>1.2</v>
      </c>
      <c r="FE28" s="13">
        <f>IF('Données projet'!$A$218&gt;35,FE27+FD28-FM27,IF(A28&lt;'Données projet'!$A$218,$FB$205^A28,IF(A28='Données projet'!$A$218,'Données projet'!$B$218,FE27+FD28-FM27)))</f>
        <v>30</v>
      </c>
      <c r="FF28" s="18">
        <f>FE28*VLOOKUP('Données projet'!$B$16,Paramètres!$A$1:$I$89,3,0)*VLOOKUP('Données projet'!$B$16,Paramètres!$A$1:$I$89,5,0)</f>
        <v>32.292000000000002</v>
      </c>
      <c r="FG28" s="14">
        <f t="shared" si="47"/>
        <v>9.9308942483743401</v>
      </c>
      <c r="FH28" s="22">
        <f t="shared" si="22"/>
        <v>73.538207482585321</v>
      </c>
      <c r="FI28" s="62">
        <f t="shared" si="23"/>
        <v>366.87154081591865</v>
      </c>
      <c r="FJ28" s="62">
        <f ca="1">AVERAGE(OFFSET($FI$3,0,0,'Données projet'!$E$16+1,1))-AVERAGE(OFFSET($H$3,0,0,'Données projet'!$E$16+1,1))</f>
        <v>176.21892815766847</v>
      </c>
      <c r="FK28" s="62">
        <f t="shared" si="48"/>
        <v>69.239647548491234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>
        <f>VLOOKUP(A28,'Données projet'!$A$243:$I$263,2,0)</f>
        <v>54</v>
      </c>
      <c r="FX28" s="13">
        <f>VLOOKUP(A28,'Données projet'!$A$243:$I$263,9,0)</f>
        <v>7.8</v>
      </c>
      <c r="FY28" s="13">
        <f t="array" ref="FY28">INDEX(FX:FX,MIN(IF(ISNUMBER(FX28:FX224),ROW(FX28:FX224),"")))</f>
        <v>7.8</v>
      </c>
      <c r="FZ28" s="13">
        <f>IF('Données projet'!$A$244&gt;35,FZ27+FY28-GH27,IF(A28&lt;'Données projet'!$A$244,$FW$205^A28,IF(A28='Données projet'!$A$244,'Données projet'!$B$244,FZ27+FY28-GH27)))</f>
        <v>53.999999999999993</v>
      </c>
      <c r="GA28" s="18">
        <f>FZ28*VLOOKUP('Données projet'!$B$17,Paramètres!$A$1:$I$89,3,0)*VLOOKUP('Données projet'!$B$17,Paramètres!$A$1:$I$89,5,0)</f>
        <v>42.962399999999995</v>
      </c>
      <c r="GB28" s="14">
        <f t="shared" si="49"/>
        <v>12.780536758460318</v>
      </c>
      <c r="GC28" s="22">
        <f t="shared" si="25"/>
        <v>97.085614854318393</v>
      </c>
      <c r="GD28" s="62">
        <f t="shared" si="26"/>
        <v>390.41894818765172</v>
      </c>
      <c r="GE28" s="62">
        <f ca="1">AVERAGE(OFFSET($GD$3,0,0,'Données projet'!$E$17+1,1))-AVERAGE(OFFSET($H$3,0,0,'Données projet'!$E$17+1,1))</f>
        <v>70.834027458412379</v>
      </c>
      <c r="GF28" s="62">
        <f t="shared" si="50"/>
        <v>74.346987922112362</v>
      </c>
      <c r="GG28" s="16">
        <f>IF(ISNA(VLOOKUP(A28,'Données projet'!$A$243:$I$263,3,0)),0,VLOOKUP(A28,'Données projet'!$A$243:$I$263,3,0))</f>
        <v>2</v>
      </c>
      <c r="GH28" s="16">
        <f>IF(ISNA(VLOOKUP(A28,'Données projet'!$A$243:$I$263,4,0)),0,VLOOKUP(A28,'Données projet'!$A$243:$I$263,4,0))</f>
        <v>14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1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10.907483078247838</v>
      </c>
      <c r="GO28" s="23">
        <f t="shared" si="27"/>
        <v>10.907483078247838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>
        <f>VLOOKUP(A28,'Données projet'!$A$269:$I$289,2,0)</f>
        <v>72</v>
      </c>
      <c r="GS28" s="13">
        <f>VLOOKUP(A28,'Données projet'!$A$269:$I$289,9,0)</f>
        <v>6.6</v>
      </c>
      <c r="GT28" s="13">
        <f t="array" ref="GT28">INDEX(GS:GS,MIN(IF(ISNUMBER(GS28:GS224),ROW(GS28:GS224),"")))</f>
        <v>6.6</v>
      </c>
      <c r="GU28" s="13">
        <f>IF('Données projet'!$A$270&gt;35,GU27+GT28-HC27,IF(A28&lt;'Données projet'!$A$270,$GR$205^A28,IF(A28='Données projet'!$A$270,'Données projet'!$B$270,GU27+GT28-HC27)))</f>
        <v>72.000000000000014</v>
      </c>
      <c r="GV28" s="18">
        <f>GU28*VLOOKUP('Données projet'!$B$18,Paramètres!$A$1:$I$89,3,0)*VLOOKUP('Données projet'!$B$18,Paramètres!$A$1:$I$89,5,0)</f>
        <v>56.160000000000011</v>
      </c>
      <c r="GW28" s="14">
        <f t="shared" si="51"/>
        <v>16.193691060657045</v>
      </c>
      <c r="GX28" s="22">
        <f t="shared" si="28"/>
        <v>126.01601193064437</v>
      </c>
      <c r="GY28" s="62">
        <f t="shared" si="29"/>
        <v>419.34934526397768</v>
      </c>
      <c r="GZ28" s="62">
        <f ca="1">AVERAGE(OFFSET($GY$3,0,0,'Données projet'!$E$18+1,1))-AVERAGE(OFFSET($H$3,0,0,'Données projet'!$E$18+1,1))</f>
        <v>99.222094917553648</v>
      </c>
      <c r="HA28" s="62">
        <f t="shared" si="52"/>
        <v>98.371477396766352</v>
      </c>
      <c r="HB28" s="16">
        <f>IF(ISNA(VLOOKUP(A28,'Données projet'!$A$269:$I$289,3,0)),0,VLOOKUP(A28,'Données projet'!$A$269:$I$289,3,0))</f>
        <v>3</v>
      </c>
      <c r="HC28" s="16">
        <f>IF(ISNA(VLOOKUP(A28,'Données projet'!$A$269:$I$289,4,0)),0,VLOOKUP(A28,'Données projet'!$A$269:$I$289,4,0))</f>
        <v>17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1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14.638747576948871</v>
      </c>
      <c r="HJ28" s="24">
        <f t="shared" si="30"/>
        <v>14.638747576948871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96.537636780206071</v>
      </c>
      <c r="O29" s="14">
        <f>N29*VLOOKUP('Données projet'!$B$9,Paramètres!$A$1:$I$89,3,0)*VLOOKUP('Données projet'!$B$9,Paramètres!$A$1:$I$89,5,0)</f>
        <v>45.179614013136444</v>
      </c>
      <c r="P29" s="14">
        <f t="shared" si="33"/>
        <v>13.361624794271938</v>
      </c>
      <c r="Q29" s="22">
        <f t="shared" si="2"/>
        <v>101.95932425623626</v>
      </c>
      <c r="R29" s="62">
        <f t="shared" si="0"/>
        <v>395.29265758956956</v>
      </c>
      <c r="S29" s="62">
        <f ca="1">AVERAGE(OFFSET($R$3,0,0,'Données projet'!$E$9+1,1))-AVERAGE(OFFSET($H$3,0,0,'Données projet'!$E$9+1,1))</f>
        <v>181.48161394994878</v>
      </c>
      <c r="T29" s="62">
        <f t="shared" si="34"/>
        <v>141.1874974464024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482.87213599936979</v>
      </c>
      <c r="AN29" s="62">
        <f ca="1">AVERAGE(OFFSET($AM$3,0,0,'Données projet'!$E$10+1,1))-AVERAGE(OFFSET($H$3,0,0,'Données projet'!$E$10+1,1))</f>
        <v>340.81036749486179</v>
      </c>
      <c r="AO29" s="62">
        <f t="shared" si="36"/>
        <v>208.88199836488013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479.79911161741188</v>
      </c>
      <c r="BI29" s="62">
        <f ca="1">AVERAGE(OFFSET($BH$3,0,0,'Données projet'!$E$11+1,1))-AVERAGE(OFFSET($H$3,0,0,'Données projet'!$E$11+1,1))</f>
        <v>257.96727373333601</v>
      </c>
      <c r="BJ29" s="62">
        <f t="shared" si="38"/>
        <v>194.52809733694494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10.847292126763454</v>
      </c>
      <c r="BS29" s="24">
        <f t="shared" si="9"/>
        <v>10.847292126763454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76.184160000000006</v>
      </c>
      <c r="CA29" s="14">
        <f t="shared" si="39"/>
        <v>21.201554232857223</v>
      </c>
      <c r="CB29" s="22">
        <f t="shared" si="10"/>
        <v>169.613452288893</v>
      </c>
      <c r="CC29" s="62">
        <f t="shared" si="11"/>
        <v>462.94678562222634</v>
      </c>
      <c r="CD29" s="62">
        <f ca="1">AVERAGE(OFFSET($CC$3,0,0,'Données projet'!$E$12+1,1))-AVERAGE(OFFSET($H$3,0,0,'Données projet'!$E$12+1,1))</f>
        <v>292.83612296867898</v>
      </c>
      <c r="CE29" s="62">
        <f t="shared" si="40"/>
        <v>180.48047802041276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17.542737432069831</v>
      </c>
      <c r="CN29" s="24">
        <f t="shared" si="12"/>
        <v>17.542737432069831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39.630239999999993</v>
      </c>
      <c r="CV29" s="14">
        <f t="shared" si="41"/>
        <v>11.900589068958134</v>
      </c>
      <c r="CW29" s="22">
        <f t="shared" si="13"/>
        <v>89.749527295102055</v>
      </c>
      <c r="CX29" s="62">
        <f t="shared" si="14"/>
        <v>383.08286062843536</v>
      </c>
      <c r="CY29" s="62">
        <f ca="1">AVERAGE(OFFSET($CX$3,0,0,'Données projet'!$E$13+1,1))-AVERAGE(OFFSET($H$3,0,0,'Données projet'!$E$13+1,1))</f>
        <v>192.93829651668403</v>
      </c>
      <c r="CZ29" s="62">
        <f t="shared" si="42"/>
        <v>76.592736352376903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4.8</v>
      </c>
      <c r="DO29" s="13">
        <f>IF('Données projet'!$A$166&gt;35,DO28+DN29-DW28,IF(A29&lt;'Données projet'!$A$166,$DL$205^A29,IF(A29='Données projet'!$A$166,'Données projet'!$B$166,DO28+DN29-DW28)))</f>
        <v>34.799999999999997</v>
      </c>
      <c r="DP29" s="18">
        <f>DO29*VLOOKUP('Données projet'!$B$14,Paramètres!$A$1:$I$89,3,0)*VLOOKUP('Données projet'!$B$14,Paramètres!$A$1:$I$89,5,0)</f>
        <v>23.34384</v>
      </c>
      <c r="DQ29" s="14">
        <f t="shared" si="43"/>
        <v>7.4553683777741586</v>
      </c>
      <c r="DR29" s="22">
        <f t="shared" si="16"/>
        <v>53.641954591289988</v>
      </c>
      <c r="DS29" s="62">
        <f t="shared" si="17"/>
        <v>346.97528792462333</v>
      </c>
      <c r="DT29" s="62">
        <f ca="1">AVERAGE(OFFSET($DS$3,0,0,'Données projet'!$E$14+1,1))-AVERAGE(OFFSET($H$3,0,0,'Données projet'!$E$14+1,1))</f>
        <v>66.964554307546564</v>
      </c>
      <c r="DU29" s="62">
        <f t="shared" si="44"/>
        <v>21.162700178818568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4.8</v>
      </c>
      <c r="EJ29" s="13">
        <f>IF('Données projet'!$A$192&gt;35,EJ28+EI29-ER28,IF(A29&lt;'Données projet'!$A$192,$EG$205^A29,IF(A29='Données projet'!$A$192,'Données projet'!$B$192,EJ28+EI29-ER28)))</f>
        <v>34.799999999999997</v>
      </c>
      <c r="EK29" s="18">
        <f>EJ29*VLOOKUP('Données projet'!$B$15,Paramètres!$A$1:$I$89,3,0)*VLOOKUP('Données projet'!$B$15,Paramètres!$A$1:$I$89,5,0)</f>
        <v>33.658559999999994</v>
      </c>
      <c r="EL29" s="14">
        <f t="shared" si="45"/>
        <v>10.301338939492439</v>
      </c>
      <c r="EM29" s="22">
        <f t="shared" si="19"/>
        <v>76.563490652949312</v>
      </c>
      <c r="EN29" s="62">
        <f t="shared" si="20"/>
        <v>369.89682398628264</v>
      </c>
      <c r="EO29" s="62">
        <f ca="1">AVERAGE(OFFSET($EN$3,0,0,'Données projet'!$E$15+1,1))-AVERAGE(OFFSET($H$3,0,0,'Données projet'!$E$15+1,1))</f>
        <v>146.90952320473599</v>
      </c>
      <c r="EP29" s="62">
        <f t="shared" si="46"/>
        <v>56.347130462109817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4.8</v>
      </c>
      <c r="FE29" s="13">
        <f>IF('Données projet'!$A$218&gt;35,FE28+FD29-FM28,IF(A29&lt;'Données projet'!$A$218,$FB$205^A29,IF(A29='Données projet'!$A$218,'Données projet'!$B$218,FE28+FD29-FM28)))</f>
        <v>34.799999999999997</v>
      </c>
      <c r="FF29" s="18">
        <f>FE29*VLOOKUP('Données projet'!$B$16,Paramètres!$A$1:$I$89,3,0)*VLOOKUP('Données projet'!$B$16,Paramètres!$A$1:$I$89,5,0)</f>
        <v>37.45872</v>
      </c>
      <c r="FG29" s="14">
        <f t="shared" si="47"/>
        <v>11.322528864493165</v>
      </c>
      <c r="FH29" s="22">
        <f t="shared" si="22"/>
        <v>84.960675105658922</v>
      </c>
      <c r="FI29" s="62">
        <f t="shared" si="23"/>
        <v>378.29400843899225</v>
      </c>
      <c r="FJ29" s="62">
        <f ca="1">AVERAGE(OFFSET($FI$3,0,0,'Données projet'!$E$16+1,1))-AVERAGE(OFFSET($H$3,0,0,'Données projet'!$E$16+1,1))</f>
        <v>176.21892815766847</v>
      </c>
      <c r="FK29" s="62">
        <f t="shared" si="48"/>
        <v>69.239647548491234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7.2</v>
      </c>
      <c r="FZ29" s="13">
        <f>IF('Données projet'!$A$244&gt;35,FZ28+FY29-GH28,IF(A29&lt;'Données projet'!$A$244,$FW$205^A29,IF(A29='Données projet'!$A$244,'Données projet'!$B$244,FZ28+FY29-GH28)))</f>
        <v>47.199999999999996</v>
      </c>
      <c r="GA29" s="18">
        <f>FZ29*VLOOKUP('Données projet'!$B$17,Paramètres!$A$1:$I$89,3,0)*VLOOKUP('Données projet'!$B$17,Paramètres!$A$1:$I$89,5,0)</f>
        <v>37.552320000000002</v>
      </c>
      <c r="GB29" s="14">
        <f t="shared" si="49"/>
        <v>11.347524199115643</v>
      </c>
      <c r="GC29" s="22">
        <f t="shared" si="25"/>
        <v>85.167228646793077</v>
      </c>
      <c r="GD29" s="62">
        <f t="shared" si="26"/>
        <v>378.50056198012641</v>
      </c>
      <c r="GE29" s="62">
        <f ca="1">AVERAGE(OFFSET($GD$3,0,0,'Données projet'!$E$17+1,1))-AVERAGE(OFFSET($H$3,0,0,'Données projet'!$E$17+1,1))</f>
        <v>70.834027458412379</v>
      </c>
      <c r="GF29" s="62">
        <f t="shared" si="50"/>
        <v>74.346987922112362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7.7127552503065644</v>
      </c>
      <c r="GO29" s="23">
        <f t="shared" si="27"/>
        <v>7.7127552503065644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7.333333333333333</v>
      </c>
      <c r="GU29" s="13">
        <f>IF('Données projet'!$A$270&gt;35,GU28+GT29-HC28,IF(A29&lt;'Données projet'!$A$270,$GR$205^A29,IF(A29='Données projet'!$A$270,'Données projet'!$B$270,GU28+GT29-HC28)))</f>
        <v>62.333333333333343</v>
      </c>
      <c r="GV29" s="18">
        <f>GU29*VLOOKUP('Données projet'!$B$18,Paramètres!$A$1:$I$89,3,0)*VLOOKUP('Données projet'!$B$18,Paramètres!$A$1:$I$89,5,0)</f>
        <v>48.620000000000012</v>
      </c>
      <c r="GW29" s="14">
        <f t="shared" si="51"/>
        <v>14.256790200344739</v>
      </c>
      <c r="GX29" s="22">
        <f t="shared" si="28"/>
        <v>109.51040959893378</v>
      </c>
      <c r="GY29" s="62">
        <f t="shared" si="29"/>
        <v>402.84374293226711</v>
      </c>
      <c r="GZ29" s="62">
        <f ca="1">AVERAGE(OFFSET($GY$3,0,0,'Données projet'!$E$18+1,1))-AVERAGE(OFFSET($H$3,0,0,'Données projet'!$E$18+1,1))</f>
        <v>99.222094917553648</v>
      </c>
      <c r="HA29" s="62">
        <f t="shared" si="52"/>
        <v>98.371477396766352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10.351157679738689</v>
      </c>
      <c r="HJ29" s="24">
        <f t="shared" si="30"/>
        <v>10.351157679738689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115.08829342671002</v>
      </c>
      <c r="O30" s="14">
        <f>N30*VLOOKUP('Données projet'!$B$9,Paramètres!$A$1:$I$89,3,0)*VLOOKUP('Données projet'!$B$9,Paramètres!$A$1:$I$89,5,0)</f>
        <v>53.861321323700288</v>
      </c>
      <c r="P30" s="14">
        <f t="shared" si="33"/>
        <v>15.606604510459258</v>
      </c>
      <c r="Q30" s="22">
        <f t="shared" si="2"/>
        <v>120.98997082782786</v>
      </c>
      <c r="R30" s="62">
        <f t="shared" si="0"/>
        <v>414.32330416116116</v>
      </c>
      <c r="S30" s="62">
        <f ca="1">AVERAGE(OFFSET($R$3,0,0,'Données projet'!$E$9+1,1))-AVERAGE(OFFSET($H$3,0,0,'Données projet'!$E$9+1,1))</f>
        <v>181.48161394994878</v>
      </c>
      <c r="T30" s="62">
        <f t="shared" si="34"/>
        <v>141.1874974464024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503.03834939764522</v>
      </c>
      <c r="AN30" s="62">
        <f ca="1">AVERAGE(OFFSET($AM$3,0,0,'Données projet'!$E$10+1,1))-AVERAGE(OFFSET($H$3,0,0,'Données projet'!$E$10+1,1))</f>
        <v>340.81036749486179</v>
      </c>
      <c r="AO30" s="62">
        <f t="shared" si="36"/>
        <v>208.88199836488013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497.13048476928668</v>
      </c>
      <c r="BI30" s="62">
        <f ca="1">AVERAGE(OFFSET($BH$3,0,0,'Données projet'!$E$11+1,1))-AVERAGE(OFFSET($H$3,0,0,'Données projet'!$E$11+1,1))</f>
        <v>257.96727373333601</v>
      </c>
      <c r="BJ30" s="62">
        <f t="shared" si="38"/>
        <v>194.52809733694494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7.6701938203458866</v>
      </c>
      <c r="BS30" s="24">
        <f t="shared" si="9"/>
        <v>7.6701938203458866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84.508320000000026</v>
      </c>
      <c r="CA30" s="14">
        <f t="shared" si="39"/>
        <v>23.235950088324714</v>
      </c>
      <c r="CB30" s="22">
        <f t="shared" si="10"/>
        <v>187.65460373716556</v>
      </c>
      <c r="CC30" s="62">
        <f t="shared" si="11"/>
        <v>480.9879370704989</v>
      </c>
      <c r="CD30" s="62">
        <f ca="1">AVERAGE(OFFSET($CC$3,0,0,'Données projet'!$E$12+1,1))-AVERAGE(OFFSET($H$3,0,0,'Données projet'!$E$12+1,1))</f>
        <v>292.83612296867898</v>
      </c>
      <c r="CE30" s="62">
        <f t="shared" si="40"/>
        <v>180.48047802041276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12.40458859879166</v>
      </c>
      <c r="CN30" s="24">
        <f t="shared" si="12"/>
        <v>12.40458859879166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45.096479999999993</v>
      </c>
      <c r="CV30" s="14">
        <f t="shared" si="41"/>
        <v>13.339897895146274</v>
      </c>
      <c r="CW30" s="22">
        <f t="shared" si="13"/>
        <v>101.77669150071307</v>
      </c>
      <c r="CX30" s="62">
        <f t="shared" si="14"/>
        <v>395.11002483404638</v>
      </c>
      <c r="CY30" s="62">
        <f ca="1">AVERAGE(OFFSET($CX$3,0,0,'Données projet'!$E$13+1,1))-AVERAGE(OFFSET($H$3,0,0,'Données projet'!$E$13+1,1))</f>
        <v>192.93829651668403</v>
      </c>
      <c r="CZ30" s="62">
        <f t="shared" si="42"/>
        <v>76.592736352376903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4.8</v>
      </c>
      <c r="DO30" s="13">
        <f>IF('Données projet'!$A$166&gt;35,DO29+DN30-DW29,IF(A30&lt;'Données projet'!$A$166,$DL$205^A30,IF(A30='Données projet'!$A$166,'Données projet'!$B$166,DO29+DN30-DW29)))</f>
        <v>39.599999999999994</v>
      </c>
      <c r="DP30" s="18">
        <f>DO30*VLOOKUP('Données projet'!$B$14,Paramètres!$A$1:$I$89,3,0)*VLOOKUP('Données projet'!$B$14,Paramètres!$A$1:$I$89,5,0)</f>
        <v>26.563679999999998</v>
      </c>
      <c r="DQ30" s="14">
        <f t="shared" si="43"/>
        <v>8.3570529453561306</v>
      </c>
      <c r="DR30" s="22">
        <f t="shared" si="16"/>
        <v>60.820276546495258</v>
      </c>
      <c r="DS30" s="62">
        <f t="shared" si="17"/>
        <v>354.15360987982859</v>
      </c>
      <c r="DT30" s="62">
        <f ca="1">AVERAGE(OFFSET($DS$3,0,0,'Données projet'!$E$14+1,1))-AVERAGE(OFFSET($H$3,0,0,'Données projet'!$E$14+1,1))</f>
        <v>66.964554307546564</v>
      </c>
      <c r="DU30" s="62">
        <f t="shared" si="44"/>
        <v>21.162700178818568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4.8</v>
      </c>
      <c r="EJ30" s="13">
        <f>IF('Données projet'!$A$192&gt;35,EJ29+EI30-ER29,IF(A30&lt;'Données projet'!$A$192,$EG$205^A30,IF(A30='Données projet'!$A$192,'Données projet'!$B$192,EJ29+EI30-ER29)))</f>
        <v>39.599999999999994</v>
      </c>
      <c r="EK30" s="18">
        <f>EJ30*VLOOKUP('Données projet'!$B$15,Paramètres!$A$1:$I$89,3,0)*VLOOKUP('Données projet'!$B$15,Paramètres!$A$1:$I$89,5,0)</f>
        <v>38.301119999999997</v>
      </c>
      <c r="EL30" s="14">
        <f t="shared" si="45"/>
        <v>11.547227522927502</v>
      </c>
      <c r="EM30" s="22">
        <f t="shared" si="19"/>
        <v>86.819205269098731</v>
      </c>
      <c r="EN30" s="62">
        <f t="shared" si="20"/>
        <v>380.15253860243206</v>
      </c>
      <c r="EO30" s="62">
        <f ca="1">AVERAGE(OFFSET($EN$3,0,0,'Données projet'!$E$15+1,1))-AVERAGE(OFFSET($H$3,0,0,'Données projet'!$E$15+1,1))</f>
        <v>146.90952320473599</v>
      </c>
      <c r="EP30" s="62">
        <f t="shared" si="46"/>
        <v>56.347130462109817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4.8</v>
      </c>
      <c r="FE30" s="13">
        <f>IF('Données projet'!$A$218&gt;35,FE29+FD30-FM29,IF(A30&lt;'Données projet'!$A$218,$FB$205^A30,IF(A30='Données projet'!$A$218,'Données projet'!$B$218,FE29+FD30-FM29)))</f>
        <v>39.599999999999994</v>
      </c>
      <c r="FF30" s="18">
        <f>FE30*VLOOKUP('Données projet'!$B$16,Paramètres!$A$1:$I$89,3,0)*VLOOKUP('Données projet'!$B$16,Paramètres!$A$1:$I$89,5,0)</f>
        <v>42.62543999999999</v>
      </c>
      <c r="FG30" s="14">
        <f t="shared" si="47"/>
        <v>12.691924583898647</v>
      </c>
      <c r="FH30" s="22">
        <f t="shared" si="22"/>
        <v>96.34440998362345</v>
      </c>
      <c r="FI30" s="62">
        <f t="shared" si="23"/>
        <v>389.67774331695676</v>
      </c>
      <c r="FJ30" s="62">
        <f ca="1">AVERAGE(OFFSET($FI$3,0,0,'Données projet'!$E$16+1,1))-AVERAGE(OFFSET($H$3,0,0,'Données projet'!$E$16+1,1))</f>
        <v>176.21892815766847</v>
      </c>
      <c r="FK30" s="62">
        <f t="shared" si="48"/>
        <v>69.239647548491234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7.2</v>
      </c>
      <c r="FZ30" s="13">
        <f>IF('Données projet'!$A$244&gt;35,FZ29+FY30-GH29,IF(A30&lt;'Données projet'!$A$244,$FW$205^A30,IF(A30='Données projet'!$A$244,'Données projet'!$B$244,FZ29+FY30-GH29)))</f>
        <v>54.4</v>
      </c>
      <c r="GA30" s="18">
        <f>FZ30*VLOOKUP('Données projet'!$B$17,Paramètres!$A$1:$I$89,3,0)*VLOOKUP('Données projet'!$B$17,Paramètres!$A$1:$I$89,5,0)</f>
        <v>43.280639999999998</v>
      </c>
      <c r="GB30" s="14">
        <f t="shared" si="49"/>
        <v>12.864151774464675</v>
      </c>
      <c r="GC30" s="22">
        <f t="shared" si="25"/>
        <v>97.785512340525955</v>
      </c>
      <c r="GD30" s="62">
        <f t="shared" si="26"/>
        <v>391.11884567385925</v>
      </c>
      <c r="GE30" s="62">
        <f ca="1">AVERAGE(OFFSET($GD$3,0,0,'Données projet'!$E$17+1,1))-AVERAGE(OFFSET($H$3,0,0,'Données projet'!$E$17+1,1))</f>
        <v>70.834027458412379</v>
      </c>
      <c r="GF30" s="62">
        <f t="shared" si="50"/>
        <v>74.346987922112362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5.4537415391239197</v>
      </c>
      <c r="GO30" s="23">
        <f t="shared" si="27"/>
        <v>5.4537415391239197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7.333333333333333</v>
      </c>
      <c r="GU30" s="13">
        <f>IF('Données projet'!$A$270&gt;35,GU29+GT30-HC29,IF(A30&lt;'Données projet'!$A$270,$GR$205^A30,IF(A30='Données projet'!$A$270,'Données projet'!$B$270,GU29+GT30-HC29)))</f>
        <v>69.666666666666671</v>
      </c>
      <c r="GV30" s="18">
        <f>GU30*VLOOKUP('Données projet'!$B$18,Paramètres!$A$1:$I$89,3,0)*VLOOKUP('Données projet'!$B$18,Paramètres!$A$1:$I$89,5,0)</f>
        <v>54.34</v>
      </c>
      <c r="GW30" s="14">
        <f t="shared" si="51"/>
        <v>15.729096378709471</v>
      </c>
      <c r="GX30" s="22">
        <f t="shared" si="28"/>
        <v>122.03700952625233</v>
      </c>
      <c r="GY30" s="62">
        <f t="shared" si="29"/>
        <v>415.37034285958566</v>
      </c>
      <c r="GZ30" s="62">
        <f ca="1">AVERAGE(OFFSET($GY$3,0,0,'Données projet'!$E$18+1,1))-AVERAGE(OFFSET($H$3,0,0,'Données projet'!$E$18+1,1))</f>
        <v>99.222094917553648</v>
      </c>
      <c r="HA30" s="62">
        <f t="shared" si="52"/>
        <v>98.371477396766352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7.3193737884744365</v>
      </c>
      <c r="HJ30" s="24">
        <f t="shared" si="30"/>
        <v>7.3193737884744365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137.20364124956808</v>
      </c>
      <c r="O31" s="14">
        <f>N31*VLOOKUP('Données projet'!$B$9,Paramètres!$A$1:$I$89,3,0)*VLOOKUP('Données projet'!$B$9,Paramètres!$A$1:$I$89,5,0)</f>
        <v>64.211304104797861</v>
      </c>
      <c r="P31" s="14">
        <f t="shared" si="33"/>
        <v>18.228778916940001</v>
      </c>
      <c r="Q31" s="22">
        <f t="shared" si="2"/>
        <v>143.58314459619342</v>
      </c>
      <c r="R31" s="62">
        <f t="shared" si="0"/>
        <v>436.91647792952676</v>
      </c>
      <c r="S31" s="62">
        <f ca="1">AVERAGE(OFFSET($R$3,0,0,'Données projet'!$E$9+1,1))-AVERAGE(OFFSET($H$3,0,0,'Données projet'!$E$9+1,1))</f>
        <v>181.48161394994878</v>
      </c>
      <c r="T31" s="62">
        <f t="shared" si="34"/>
        <v>141.1874974464024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523.15981479287154</v>
      </c>
      <c r="AN31" s="62">
        <f ca="1">AVERAGE(OFFSET($AM$3,0,0,'Données projet'!$E$10+1,1))-AVERAGE(OFFSET($H$3,0,0,'Données projet'!$E$10+1,1))</f>
        <v>340.81036749486179</v>
      </c>
      <c r="AO31" s="62">
        <f t="shared" si="36"/>
        <v>208.88199836488013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514.42775738247849</v>
      </c>
      <c r="BI31" s="62">
        <f ca="1">AVERAGE(OFFSET($BH$3,0,0,'Données projet'!$E$11+1,1))-AVERAGE(OFFSET($H$3,0,0,'Données projet'!$E$11+1,1))</f>
        <v>257.96727373333601</v>
      </c>
      <c r="BJ31" s="62">
        <f t="shared" si="38"/>
        <v>194.52809733694494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5.4236460633817281</v>
      </c>
      <c r="BS31" s="24">
        <f t="shared" si="9"/>
        <v>5.4236460633817281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92.832480000000018</v>
      </c>
      <c r="CA31" s="14">
        <f t="shared" si="39"/>
        <v>25.247114117480137</v>
      </c>
      <c r="CB31" s="22">
        <f t="shared" si="10"/>
        <v>205.65529308794461</v>
      </c>
      <c r="CC31" s="62">
        <f t="shared" si="11"/>
        <v>498.9886264212779</v>
      </c>
      <c r="CD31" s="62">
        <f ca="1">AVERAGE(OFFSET($CC$3,0,0,'Données projet'!$E$12+1,1))-AVERAGE(OFFSET($H$3,0,0,'Données projet'!$E$12+1,1))</f>
        <v>292.83612296867898</v>
      </c>
      <c r="CE31" s="62">
        <f t="shared" si="40"/>
        <v>180.48047802041276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8.7713687160349174</v>
      </c>
      <c r="CN31" s="24">
        <f t="shared" si="12"/>
        <v>8.7713687160349174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50.562719999999992</v>
      </c>
      <c r="CV31" s="14">
        <f t="shared" si="41"/>
        <v>14.758989764964552</v>
      </c>
      <c r="CW31" s="22">
        <f t="shared" si="13"/>
        <v>113.76864450731324</v>
      </c>
      <c r="CX31" s="62">
        <f t="shared" si="14"/>
        <v>407.10197784064655</v>
      </c>
      <c r="CY31" s="62">
        <f ca="1">AVERAGE(OFFSET($CX$3,0,0,'Données projet'!$E$13+1,1))-AVERAGE(OFFSET($H$3,0,0,'Données projet'!$E$13+1,1))</f>
        <v>192.93829651668403</v>
      </c>
      <c r="CZ31" s="62">
        <f t="shared" si="42"/>
        <v>76.592736352376903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4.8</v>
      </c>
      <c r="DO31" s="13">
        <f>IF('Données projet'!$A$166&gt;35,DO30+DN31-DW30,IF(A31&lt;'Données projet'!$A$166,$DL$205^A31,IF(A31='Données projet'!$A$166,'Données projet'!$B$166,DO30+DN31-DW30)))</f>
        <v>44.399999999999991</v>
      </c>
      <c r="DP31" s="18">
        <f>DO31*VLOOKUP('Données projet'!$B$14,Paramètres!$A$1:$I$89,3,0)*VLOOKUP('Données projet'!$B$14,Paramètres!$A$1:$I$89,5,0)</f>
        <v>29.783519999999992</v>
      </c>
      <c r="DQ31" s="14">
        <f t="shared" si="43"/>
        <v>9.2460721855042003</v>
      </c>
      <c r="DR31" s="22">
        <f t="shared" si="16"/>
        <v>67.976539723086475</v>
      </c>
      <c r="DS31" s="62">
        <f t="shared" si="17"/>
        <v>361.3098730564198</v>
      </c>
      <c r="DT31" s="62">
        <f ca="1">AVERAGE(OFFSET($DS$3,0,0,'Données projet'!$E$14+1,1))-AVERAGE(OFFSET($H$3,0,0,'Données projet'!$E$14+1,1))</f>
        <v>66.964554307546564</v>
      </c>
      <c r="DU31" s="62">
        <f t="shared" si="44"/>
        <v>21.162700178818568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4.8</v>
      </c>
      <c r="EJ31" s="13">
        <f>IF('Données projet'!$A$192&gt;35,EJ30+EI31-ER30,IF(A31&lt;'Données projet'!$A$192,$EG$205^A31,IF(A31='Données projet'!$A$192,'Données projet'!$B$192,EJ30+EI31-ER30)))</f>
        <v>44.399999999999991</v>
      </c>
      <c r="EK31" s="18">
        <f>EJ31*VLOOKUP('Données projet'!$B$15,Paramètres!$A$1:$I$89,3,0)*VLOOKUP('Données projet'!$B$15,Paramètres!$A$1:$I$89,5,0)</f>
        <v>42.943679999999993</v>
      </c>
      <c r="EL31" s="14">
        <f t="shared" si="45"/>
        <v>12.775615987781539</v>
      </c>
      <c r="EM31" s="22">
        <f t="shared" si="19"/>
        <v>97.044440512052844</v>
      </c>
      <c r="EN31" s="62">
        <f t="shared" si="20"/>
        <v>390.37777384538617</v>
      </c>
      <c r="EO31" s="62">
        <f ca="1">AVERAGE(OFFSET($EN$3,0,0,'Données projet'!$E$15+1,1))-AVERAGE(OFFSET($H$3,0,0,'Données projet'!$E$15+1,1))</f>
        <v>146.90952320473599</v>
      </c>
      <c r="EP31" s="62">
        <f t="shared" si="46"/>
        <v>56.347130462109817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4.8</v>
      </c>
      <c r="FE31" s="13">
        <f>IF('Données projet'!$A$218&gt;35,FE30+FD31-FM30,IF(A31&lt;'Données projet'!$A$218,$FB$205^A31,IF(A31='Données projet'!$A$218,'Données projet'!$B$218,FE30+FD31-FM30)))</f>
        <v>44.399999999999991</v>
      </c>
      <c r="FF31" s="18">
        <f>FE31*VLOOKUP('Données projet'!$B$16,Paramètres!$A$1:$I$89,3,0)*VLOOKUP('Données projet'!$B$16,Paramètres!$A$1:$I$89,5,0)</f>
        <v>47.792159999999988</v>
      </c>
      <c r="FG31" s="14">
        <f t="shared" si="47"/>
        <v>14.042085367056567</v>
      </c>
      <c r="FH31" s="22">
        <f t="shared" si="22"/>
        <v>107.69464401429015</v>
      </c>
      <c r="FI31" s="62">
        <f t="shared" si="23"/>
        <v>401.02797734762345</v>
      </c>
      <c r="FJ31" s="62">
        <f ca="1">AVERAGE(OFFSET($FI$3,0,0,'Données projet'!$E$16+1,1))-AVERAGE(OFFSET($H$3,0,0,'Données projet'!$E$16+1,1))</f>
        <v>176.21892815766847</v>
      </c>
      <c r="FK31" s="62">
        <f t="shared" si="48"/>
        <v>69.239647548491234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7.2</v>
      </c>
      <c r="FZ31" s="13">
        <f>IF('Données projet'!$A$244&gt;35,FZ30+FY31-GH30,IF(A31&lt;'Données projet'!$A$244,$FW$205^A31,IF(A31='Données projet'!$A$244,'Données projet'!$B$244,FZ30+FY31-GH30)))</f>
        <v>61.6</v>
      </c>
      <c r="GA31" s="18">
        <f>FZ31*VLOOKUP('Données projet'!$B$17,Paramètres!$A$1:$I$89,3,0)*VLOOKUP('Données projet'!$B$17,Paramètres!$A$1:$I$89,5,0)</f>
        <v>49.008960000000002</v>
      </c>
      <c r="GB31" s="14">
        <f t="shared" si="49"/>
        <v>14.357521815593385</v>
      </c>
      <c r="GC31" s="22">
        <f t="shared" si="25"/>
        <v>110.36328916215848</v>
      </c>
      <c r="GD31" s="62">
        <f t="shared" si="26"/>
        <v>403.69662249549179</v>
      </c>
      <c r="GE31" s="62">
        <f ca="1">AVERAGE(OFFSET($GD$3,0,0,'Données projet'!$E$17+1,1))-AVERAGE(OFFSET($H$3,0,0,'Données projet'!$E$17+1,1))</f>
        <v>70.834027458412379</v>
      </c>
      <c r="GF31" s="62">
        <f t="shared" si="50"/>
        <v>74.346987922112362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3.8563776251532826</v>
      </c>
      <c r="GO31" s="23">
        <f t="shared" si="27"/>
        <v>3.8563776251532826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7.333333333333333</v>
      </c>
      <c r="GU31" s="13">
        <f>IF('Données projet'!$A$270&gt;35,GU30+GT31-HC30,IF(A31&lt;'Données projet'!$A$270,$GR$205^A31,IF(A31='Données projet'!$A$270,'Données projet'!$B$270,GU30+GT31-HC30)))</f>
        <v>77</v>
      </c>
      <c r="GV31" s="18">
        <f>GU31*VLOOKUP('Données projet'!$B$18,Paramètres!$A$1:$I$89,3,0)*VLOOKUP('Données projet'!$B$18,Paramètres!$A$1:$I$89,5,0)</f>
        <v>60.06</v>
      </c>
      <c r="GW31" s="14">
        <f t="shared" si="51"/>
        <v>17.183438012437968</v>
      </c>
      <c r="GX31" s="22">
        <f t="shared" si="28"/>
        <v>134.53232120499612</v>
      </c>
      <c r="GY31" s="62">
        <f t="shared" si="29"/>
        <v>427.86565453832941</v>
      </c>
      <c r="GZ31" s="62">
        <f ca="1">AVERAGE(OFFSET($GY$3,0,0,'Données projet'!$E$18+1,1))-AVERAGE(OFFSET($H$3,0,0,'Données projet'!$E$18+1,1))</f>
        <v>99.222094917553648</v>
      </c>
      <c r="HA31" s="62">
        <f t="shared" si="52"/>
        <v>98.371477396766352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5.1755788398693454</v>
      </c>
      <c r="HJ31" s="24">
        <f t="shared" si="30"/>
        <v>5.1755788398693454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163.5686707278193</v>
      </c>
      <c r="O32" s="14">
        <f>N32*VLOOKUP('Données projet'!$B$9,Paramètres!$A$1:$I$89,3,0)*VLOOKUP('Données projet'!$B$9,Paramètres!$A$1:$I$89,5,0)</f>
        <v>76.550137900619433</v>
      </c>
      <c r="P32" s="14">
        <f t="shared" si="33"/>
        <v>21.291523122789648</v>
      </c>
      <c r="Q32" s="22">
        <f t="shared" si="2"/>
        <v>170.40755961577079</v>
      </c>
      <c r="R32" s="62">
        <f t="shared" si="0"/>
        <v>463.74089294910414</v>
      </c>
      <c r="S32" s="62">
        <f ca="1">AVERAGE(OFFSET($R$3,0,0,'Données projet'!$E$9+1,1))-AVERAGE(OFFSET($H$3,0,0,'Données projet'!$E$9+1,1))</f>
        <v>181.48161394994878</v>
      </c>
      <c r="T32" s="62">
        <f t="shared" si="34"/>
        <v>141.1874974464024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543.24100096888094</v>
      </c>
      <c r="AN32" s="62">
        <f ca="1">AVERAGE(OFFSET($AM$3,0,0,'Données projet'!$E$10+1,1))-AVERAGE(OFFSET($H$3,0,0,'Données projet'!$E$10+1,1))</f>
        <v>340.81036749486179</v>
      </c>
      <c r="AO32" s="62">
        <f t="shared" si="36"/>
        <v>208.88199836488013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531.69397310455531</v>
      </c>
      <c r="BI32" s="62">
        <f ca="1">AVERAGE(OFFSET($BH$3,0,0,'Données projet'!$E$11+1,1))-AVERAGE(OFFSET($H$3,0,0,'Données projet'!$E$11+1,1))</f>
        <v>257.96727373333601</v>
      </c>
      <c r="BJ32" s="62">
        <f t="shared" si="38"/>
        <v>194.52809733694494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3.8350969101729437</v>
      </c>
      <c r="BS32" s="24">
        <f t="shared" si="9"/>
        <v>3.8350969101729437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101.15664000000001</v>
      </c>
      <c r="CA32" s="14">
        <f t="shared" si="39"/>
        <v>27.237366379381644</v>
      </c>
      <c r="CB32" s="22">
        <f t="shared" si="10"/>
        <v>223.61956111075639</v>
      </c>
      <c r="CC32" s="62">
        <f t="shared" si="11"/>
        <v>516.95289444408968</v>
      </c>
      <c r="CD32" s="62">
        <f ca="1">AVERAGE(OFFSET($CC$3,0,0,'Données projet'!$E$12+1,1))-AVERAGE(OFFSET($H$3,0,0,'Données projet'!$E$12+1,1))</f>
        <v>292.83612296867898</v>
      </c>
      <c r="CE32" s="62">
        <f t="shared" si="40"/>
        <v>180.48047802041276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6.202294299395831</v>
      </c>
      <c r="CN32" s="24">
        <f t="shared" si="12"/>
        <v>6.202294299395831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56.028959999999984</v>
      </c>
      <c r="CV32" s="14">
        <f t="shared" si="41"/>
        <v>16.160299450101345</v>
      </c>
      <c r="CW32" s="22">
        <f t="shared" si="13"/>
        <v>125.72962687559315</v>
      </c>
      <c r="CX32" s="62">
        <f t="shared" si="14"/>
        <v>419.06296020892648</v>
      </c>
      <c r="CY32" s="62">
        <f ca="1">AVERAGE(OFFSET($CX$3,0,0,'Données projet'!$E$13+1,1))-AVERAGE(OFFSET($H$3,0,0,'Données projet'!$E$13+1,1))</f>
        <v>192.93829651668403</v>
      </c>
      <c r="CZ32" s="62">
        <f t="shared" si="42"/>
        <v>76.592736352376903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4.8</v>
      </c>
      <c r="DO32" s="13">
        <f>IF('Données projet'!$A$166&gt;35,DO31+DN32-DW31,IF(A32&lt;'Données projet'!$A$166,$DL$205^A32,IF(A32='Données projet'!$A$166,'Données projet'!$B$166,DO31+DN32-DW31)))</f>
        <v>49.199999999999989</v>
      </c>
      <c r="DP32" s="18">
        <f>DO32*VLOOKUP('Données projet'!$B$14,Paramètres!$A$1:$I$89,3,0)*VLOOKUP('Données projet'!$B$14,Paramètres!$A$1:$I$89,5,0)</f>
        <v>33.003359999999994</v>
      </c>
      <c r="DQ32" s="14">
        <f t="shared" si="43"/>
        <v>10.12395141093587</v>
      </c>
      <c r="DR32" s="22">
        <f t="shared" si="16"/>
        <v>75.113400707379952</v>
      </c>
      <c r="DS32" s="62">
        <f t="shared" si="17"/>
        <v>368.4467340407133</v>
      </c>
      <c r="DT32" s="62">
        <f ca="1">AVERAGE(OFFSET($DS$3,0,0,'Données projet'!$E$14+1,1))-AVERAGE(OFFSET($H$3,0,0,'Données projet'!$E$14+1,1))</f>
        <v>66.964554307546564</v>
      </c>
      <c r="DU32" s="62">
        <f t="shared" si="44"/>
        <v>21.162700178818568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4.8</v>
      </c>
      <c r="EJ32" s="13">
        <f>IF('Données projet'!$A$192&gt;35,EJ31+EI32-ER31,IF(A32&lt;'Données projet'!$A$192,$EG$205^A32,IF(A32='Données projet'!$A$192,'Données projet'!$B$192,EJ31+EI32-ER31)))</f>
        <v>49.199999999999989</v>
      </c>
      <c r="EK32" s="18">
        <f>EJ32*VLOOKUP('Données projet'!$B$15,Paramètres!$A$1:$I$89,3,0)*VLOOKUP('Données projet'!$B$15,Paramètres!$A$1:$I$89,5,0)</f>
        <v>47.586239999999989</v>
      </c>
      <c r="EL32" s="14">
        <f t="shared" si="45"/>
        <v>13.98861191110446</v>
      </c>
      <c r="EM32" s="22">
        <f t="shared" si="19"/>
        <v>107.2428670785069</v>
      </c>
      <c r="EN32" s="62">
        <f t="shared" si="20"/>
        <v>400.5762004118402</v>
      </c>
      <c r="EO32" s="62">
        <f ca="1">AVERAGE(OFFSET($EN$3,0,0,'Données projet'!$E$15+1,1))-AVERAGE(OFFSET($H$3,0,0,'Données projet'!$E$15+1,1))</f>
        <v>146.90952320473599</v>
      </c>
      <c r="EP32" s="62">
        <f t="shared" si="46"/>
        <v>56.347130462109817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4.8</v>
      </c>
      <c r="FE32" s="13">
        <f>IF('Données projet'!$A$218&gt;35,FE31+FD32-FM31,IF(A32&lt;'Données projet'!$A$218,$FB$205^A32,IF(A32='Données projet'!$A$218,'Données projet'!$B$218,FE31+FD32-FM31)))</f>
        <v>49.199999999999989</v>
      </c>
      <c r="FF32" s="18">
        <f>FE32*VLOOKUP('Données projet'!$B$16,Paramètres!$A$1:$I$89,3,0)*VLOOKUP('Données projet'!$B$16,Paramètres!$A$1:$I$89,5,0)</f>
        <v>52.958879999999979</v>
      </c>
      <c r="FG32" s="14">
        <f t="shared" si="47"/>
        <v>15.375327718852537</v>
      </c>
      <c r="FH32" s="22">
        <f t="shared" si="22"/>
        <v>119.01541177700146</v>
      </c>
      <c r="FI32" s="62">
        <f t="shared" si="23"/>
        <v>412.34874511033479</v>
      </c>
      <c r="FJ32" s="62">
        <f ca="1">AVERAGE(OFFSET($FI$3,0,0,'Données projet'!$E$16+1,1))-AVERAGE(OFFSET($H$3,0,0,'Données projet'!$E$16+1,1))</f>
        <v>176.21892815766847</v>
      </c>
      <c r="FK32" s="62">
        <f t="shared" si="48"/>
        <v>69.239647548491234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7.2</v>
      </c>
      <c r="FZ32" s="13">
        <f>IF('Données projet'!$A$244&gt;35,FZ31+FY32-GH31,IF(A32&lt;'Données projet'!$A$244,$FW$205^A32,IF(A32='Données projet'!$A$244,'Données projet'!$B$244,FZ31+FY32-GH31)))</f>
        <v>68.8</v>
      </c>
      <c r="GA32" s="18">
        <f>FZ32*VLOOKUP('Données projet'!$B$17,Paramètres!$A$1:$I$89,3,0)*VLOOKUP('Données projet'!$B$17,Paramètres!$A$1:$I$89,5,0)</f>
        <v>54.737280000000005</v>
      </c>
      <c r="GB32" s="14">
        <f t="shared" si="49"/>
        <v>15.830663283585141</v>
      </c>
      <c r="GC32" s="22">
        <f t="shared" si="25"/>
        <v>122.90583455224412</v>
      </c>
      <c r="GD32" s="62">
        <f t="shared" si="26"/>
        <v>416.23916788557744</v>
      </c>
      <c r="GE32" s="62">
        <f ca="1">AVERAGE(OFFSET($GD$3,0,0,'Données projet'!$E$17+1,1))-AVERAGE(OFFSET($H$3,0,0,'Données projet'!$E$17+1,1))</f>
        <v>70.834027458412379</v>
      </c>
      <c r="GF32" s="62">
        <f t="shared" si="50"/>
        <v>74.346987922112362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2.7268707695619603</v>
      </c>
      <c r="GO32" s="23">
        <f t="shared" si="27"/>
        <v>2.7268707695619603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7.333333333333333</v>
      </c>
      <c r="GU32" s="13">
        <f>IF('Données projet'!$A$270&gt;35,GU31+GT32-HC31,IF(A32&lt;'Données projet'!$A$270,$GR$205^A32,IF(A32='Données projet'!$A$270,'Données projet'!$B$270,GU31+GT32-HC31)))</f>
        <v>84.333333333333329</v>
      </c>
      <c r="GV32" s="18">
        <f>GU32*VLOOKUP('Données projet'!$B$18,Paramètres!$A$1:$I$89,3,0)*VLOOKUP('Données projet'!$B$18,Paramètres!$A$1:$I$89,5,0)</f>
        <v>65.78</v>
      </c>
      <c r="GW32" s="14">
        <f t="shared" si="51"/>
        <v>18.621720661480644</v>
      </c>
      <c r="GX32" s="22">
        <f t="shared" si="28"/>
        <v>146.99966348541213</v>
      </c>
      <c r="GY32" s="62">
        <f t="shared" si="29"/>
        <v>440.33299681874541</v>
      </c>
      <c r="GZ32" s="62">
        <f ca="1">AVERAGE(OFFSET($GY$3,0,0,'Données projet'!$E$18+1,1))-AVERAGE(OFFSET($H$3,0,0,'Données projet'!$E$18+1,1))</f>
        <v>99.222094917553648</v>
      </c>
      <c r="HA32" s="62">
        <f t="shared" si="52"/>
        <v>98.371477396766352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3.6596868942372192</v>
      </c>
      <c r="HJ32" s="24">
        <f t="shared" si="30"/>
        <v>3.6596868942372192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195</v>
      </c>
      <c r="O33" s="14">
        <f>N33*VLOOKUP('Données projet'!$B$9,Paramètres!$A$1:$I$89,3,0)*VLOOKUP('Données projet'!$B$9,Paramètres!$A$1:$I$89,5,0)</f>
        <v>91.26</v>
      </c>
      <c r="P33" s="14">
        <f t="shared" si="33"/>
        <v>24.868860330902777</v>
      </c>
      <c r="Q33" s="22">
        <f t="shared" si="2"/>
        <v>202.25776507632233</v>
      </c>
      <c r="R33" s="62">
        <f t="shared" si="0"/>
        <v>495.59109840965561</v>
      </c>
      <c r="S33" s="62">
        <f ca="1">AVERAGE(OFFSET($R$3,0,0,'Données projet'!$E$9+1,1))-AVERAGE(OFFSET($H$3,0,0,'Données projet'!$E$9+1,1))</f>
        <v>181.48161394994878</v>
      </c>
      <c r="T33" s="62">
        <f t="shared" si="34"/>
        <v>141.1874974464024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563.28559932813334</v>
      </c>
      <c r="AN33" s="62">
        <f ca="1">AVERAGE(OFFSET($AM$3,0,0,'Données projet'!$E$10+1,1))-AVERAGE(OFFSET($H$3,0,0,'Données projet'!$E$10+1,1))</f>
        <v>340.81036749486179</v>
      </c>
      <c r="AO33" s="62">
        <f t="shared" si="36"/>
        <v>208.88199836488013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257.96727373333601</v>
      </c>
      <c r="BJ33" s="62">
        <f t="shared" si="38"/>
        <v>194.52809733694494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0.22500000000000001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6.0447398882791736</v>
      </c>
      <c r="BR33" s="23">
        <f>EXP(-LN(2)/2)*BR32+(1-EXP(-LN(2)/2))/(LN(2)/2)*BL33*BO33*VLOOKUP('Données projet'!$B$11,Paramètres!$A$1:$I$89,3,0)*0.475*44/12</f>
        <v>14.222096568344917</v>
      </c>
      <c r="BS33" s="24">
        <f t="shared" si="9"/>
        <v>20.266836456624091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109.48080000000002</v>
      </c>
      <c r="CA33" s="14">
        <f t="shared" si="39"/>
        <v>29.208623339903898</v>
      </c>
      <c r="CB33" s="22">
        <f t="shared" si="10"/>
        <v>241.55074565033269</v>
      </c>
      <c r="CC33" s="62">
        <f t="shared" si="11"/>
        <v>534.88407898366597</v>
      </c>
      <c r="CD33" s="62">
        <f ca="1">AVERAGE(OFFSET($CC$3,0,0,'Données projet'!$E$12+1,1))-AVERAGE(OFFSET($H$3,0,0,'Données projet'!$E$12+1,1))</f>
        <v>292.83612296867898</v>
      </c>
      <c r="CE33" s="62">
        <f t="shared" si="40"/>
        <v>180.48047802041276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1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28.289372623396208</v>
      </c>
      <c r="CN33" s="24">
        <f t="shared" si="12"/>
        <v>28.289372623396208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61.495199999999983</v>
      </c>
      <c r="CV33" s="14">
        <f t="shared" si="41"/>
        <v>17.545759224285259</v>
      </c>
      <c r="CW33" s="22">
        <f t="shared" si="13"/>
        <v>137.6630039822968</v>
      </c>
      <c r="CX33" s="62">
        <f t="shared" si="14"/>
        <v>430.99633731563011</v>
      </c>
      <c r="CY33" s="62">
        <f ca="1">AVERAGE(OFFSET($CX$3,0,0,'Données projet'!$E$13+1,1))-AVERAGE(OFFSET($H$3,0,0,'Données projet'!$E$13+1,1))</f>
        <v>192.93829651668403</v>
      </c>
      <c r="CZ33" s="62">
        <f t="shared" si="42"/>
        <v>76.592736352376903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54</v>
      </c>
      <c r="DM33" s="13">
        <f>VLOOKUP(A33,'Données projet'!$A$165:$I$185,9,0)</f>
        <v>4.8</v>
      </c>
      <c r="DN33" s="13">
        <f t="array" ref="DN33">INDEX(DM:DM,MIN(IF(ISNUMBER(DM33:DM229),ROW(DM33:DM229),"")))</f>
        <v>4.8</v>
      </c>
      <c r="DO33" s="13">
        <f>IF('Données projet'!$A$166&gt;35,DO32+DN33-DW32,IF(A33&lt;'Données projet'!$A$166,$DL$205^A33,IF(A33='Données projet'!$A$166,'Données projet'!$B$166,DO32+DN33-DW32)))</f>
        <v>53.999999999999986</v>
      </c>
      <c r="DP33" s="18">
        <f>DO33*VLOOKUP('Données projet'!$B$14,Paramètres!$A$1:$I$89,3,0)*VLOOKUP('Données projet'!$B$14,Paramètres!$A$1:$I$89,5,0)</f>
        <v>36.223199999999991</v>
      </c>
      <c r="DQ33" s="14">
        <f t="shared" si="43"/>
        <v>10.991901134203907</v>
      </c>
      <c r="DR33" s="22">
        <f t="shared" si="16"/>
        <v>82.232967808738451</v>
      </c>
      <c r="DS33" s="62">
        <f t="shared" si="17"/>
        <v>375.56630114207178</v>
      </c>
      <c r="DT33" s="62">
        <f ca="1">AVERAGE(OFFSET($DS$3,0,0,'Données projet'!$E$14+1,1))-AVERAGE(OFFSET($H$3,0,0,'Données projet'!$E$14+1,1))</f>
        <v>66.964554307546564</v>
      </c>
      <c r="DU33" s="62">
        <f t="shared" si="44"/>
        <v>21.162700178818568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</v>
      </c>
      <c r="EH33" s="13">
        <f>VLOOKUP(A33,'Données projet'!$A$191:$I$211,9,0)</f>
        <v>4.8</v>
      </c>
      <c r="EI33" s="13">
        <f t="array" ref="EI33">INDEX(EH:EH,MIN(IF(ISNUMBER(EH33:EH229),ROW(EH33:EH229),"")))</f>
        <v>4.8</v>
      </c>
      <c r="EJ33" s="13">
        <f>IF('Données projet'!$A$192&gt;35,EJ32+EI33-ER32,IF(A33&lt;'Données projet'!$A$192,$EG$205^A33,IF(A33='Données projet'!$A$192,'Données projet'!$B$192,EJ32+EI33-ER32)))</f>
        <v>53.999999999999986</v>
      </c>
      <c r="EK33" s="18">
        <f>EJ33*VLOOKUP('Données projet'!$B$15,Paramètres!$A$1:$I$89,3,0)*VLOOKUP('Données projet'!$B$15,Paramètres!$A$1:$I$89,5,0)</f>
        <v>52.228799999999985</v>
      </c>
      <c r="EL33" s="14">
        <f t="shared" si="45"/>
        <v>15.187887899730002</v>
      </c>
      <c r="EM33" s="22">
        <f t="shared" si="19"/>
        <v>117.41739809202973</v>
      </c>
      <c r="EN33" s="62">
        <f t="shared" si="20"/>
        <v>410.75073142536303</v>
      </c>
      <c r="EO33" s="62">
        <f ca="1">AVERAGE(OFFSET($EN$3,0,0,'Données projet'!$E$15+1,1))-AVERAGE(OFFSET($H$3,0,0,'Données projet'!$E$15+1,1))</f>
        <v>146.90952320473599</v>
      </c>
      <c r="EP33" s="62">
        <f t="shared" si="46"/>
        <v>56.347130462109817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54</v>
      </c>
      <c r="FC33" s="13">
        <f>VLOOKUP(A33,'Données projet'!$A$217:$I$237,9,0)</f>
        <v>4.8</v>
      </c>
      <c r="FD33" s="13">
        <f t="array" ref="FD33">INDEX(FC:FC,MIN(IF(ISNUMBER(FC33:FC229),ROW(FC33:FC229),"")))</f>
        <v>4.8</v>
      </c>
      <c r="FE33" s="13">
        <f>IF('Données projet'!$A$218&gt;35,FE32+FD33-FM32,IF(A33&lt;'Données projet'!$A$218,$FB$205^A33,IF(A33='Données projet'!$A$218,'Données projet'!$B$218,FE32+FD33-FM32)))</f>
        <v>53.999999999999986</v>
      </c>
      <c r="FF33" s="18">
        <f>FE33*VLOOKUP('Données projet'!$B$16,Paramètres!$A$1:$I$89,3,0)*VLOOKUP('Données projet'!$B$16,Paramètres!$A$1:$I$89,5,0)</f>
        <v>58.125599999999977</v>
      </c>
      <c r="FG33" s="14">
        <f t="shared" si="47"/>
        <v>16.693490054590161</v>
      </c>
      <c r="FH33" s="22">
        <f t="shared" si="22"/>
        <v>130.30991517841116</v>
      </c>
      <c r="FI33" s="62">
        <f t="shared" si="23"/>
        <v>423.64324851174445</v>
      </c>
      <c r="FJ33" s="62">
        <f ca="1">AVERAGE(OFFSET($FI$3,0,0,'Données projet'!$E$16+1,1))-AVERAGE(OFFSET($H$3,0,0,'Données projet'!$E$16+1,1))</f>
        <v>176.21892815766847</v>
      </c>
      <c r="FK33" s="62">
        <f t="shared" si="48"/>
        <v>69.239647548491234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76</v>
      </c>
      <c r="FX33" s="13">
        <f>VLOOKUP(A33,'Données projet'!$A$243:$I$263,9,0)</f>
        <v>7.2</v>
      </c>
      <c r="FY33" s="13">
        <f t="array" ref="FY33">INDEX(FX:FX,MIN(IF(ISNUMBER(FX33:FX229),ROW(FX33:FX229),"")))</f>
        <v>7.2</v>
      </c>
      <c r="FZ33" s="13">
        <f>IF('Données projet'!$A$244&gt;35,FZ32+FY33-GH32,IF(A33&lt;'Données projet'!$A$244,$FW$205^A33,IF(A33='Données projet'!$A$244,'Données projet'!$B$244,FZ32+FY33-GH32)))</f>
        <v>76</v>
      </c>
      <c r="GA33" s="18">
        <f>FZ33*VLOOKUP('Données projet'!$B$17,Paramètres!$A$1:$I$89,3,0)*VLOOKUP('Données projet'!$B$17,Paramètres!$A$1:$I$89,5,0)</f>
        <v>60.465600000000002</v>
      </c>
      <c r="GB33" s="14">
        <f t="shared" si="49"/>
        <v>17.28593428824821</v>
      </c>
      <c r="GC33" s="22">
        <f t="shared" si="25"/>
        <v>135.41725555203229</v>
      </c>
      <c r="GD33" s="62">
        <f t="shared" si="26"/>
        <v>428.75058888536557</v>
      </c>
      <c r="GE33" s="62">
        <f ca="1">AVERAGE(OFFSET($GD$3,0,0,'Données projet'!$E$17+1,1))-AVERAGE(OFFSET($H$3,0,0,'Données projet'!$E$17+1,1))</f>
        <v>70.834027458412379</v>
      </c>
      <c r="GF33" s="62">
        <f t="shared" si="50"/>
        <v>74.346987922112362</v>
      </c>
      <c r="GG33" s="16">
        <f>IF(ISNA(VLOOKUP(A33,'Données projet'!$A$243:$I$263,3,0)),0,VLOOKUP(A33,'Données projet'!$A$243:$I$263,3,0))</f>
        <v>3</v>
      </c>
      <c r="GH33" s="16">
        <f>IF(ISNA(VLOOKUP(A33,'Données projet'!$A$243:$I$263,4,0)),0,VLOOKUP(A33,'Données projet'!$A$243:$I$263,4,0))</f>
        <v>14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1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12.437568998217298</v>
      </c>
      <c r="GO33" s="23">
        <f t="shared" si="27"/>
        <v>12.437568998217298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7.333333333333333</v>
      </c>
      <c r="GU33" s="13">
        <f>IF('Données projet'!$A$270&gt;35,GU32+GT33-HC32,IF(A33&lt;'Données projet'!$A$270,$GR$205^A33,IF(A33='Données projet'!$A$270,'Données projet'!$B$270,GU32+GT33-HC32)))</f>
        <v>91.666666666666657</v>
      </c>
      <c r="GV33" s="18">
        <f>GU33*VLOOKUP('Données projet'!$B$18,Paramètres!$A$1:$I$89,3,0)*VLOOKUP('Données projet'!$B$18,Paramètres!$A$1:$I$89,5,0)</f>
        <v>71.5</v>
      </c>
      <c r="GW33" s="14">
        <f t="shared" si="51"/>
        <v>20.045499536853356</v>
      </c>
      <c r="GX33" s="22">
        <f t="shared" si="28"/>
        <v>159.44174502668625</v>
      </c>
      <c r="GY33" s="62">
        <f t="shared" si="29"/>
        <v>452.77507836001956</v>
      </c>
      <c r="GZ33" s="62">
        <f ca="1">AVERAGE(OFFSET($GY$3,0,0,'Données projet'!$E$18+1,1))-AVERAGE(OFFSET($H$3,0,0,'Données projet'!$E$18+1,1))</f>
        <v>99.222094917553648</v>
      </c>
      <c r="HA33" s="62">
        <f t="shared" si="52"/>
        <v>98.371477396766352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2.5877894199346732</v>
      </c>
      <c r="HJ33" s="24">
        <f t="shared" si="30"/>
        <v>2.5877894199346732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</v>
      </c>
      <c r="N34" s="14">
        <f>IF('Données projet'!$A$36&gt;35,N33+M34-V33,IF(A34&lt;'Données projet'!$A$36,$K$205^A34,IF(A34='Données projet'!$A$36,'Données projet'!$B$36,N33+M34-V33)))</f>
        <v>212</v>
      </c>
      <c r="O34" s="14">
        <f>N34*VLOOKUP('Données projet'!$B$9,Paramètres!$A$1:$I$89,3,0)*VLOOKUP('Données projet'!$B$9,Paramètres!$A$1:$I$89,5,0)</f>
        <v>99.215999999999994</v>
      </c>
      <c r="P34" s="14">
        <f t="shared" si="33"/>
        <v>26.775134885576414</v>
      </c>
      <c r="Q34" s="22">
        <f t="shared" si="2"/>
        <v>219.43455992571219</v>
      </c>
      <c r="R34" s="62">
        <f t="shared" si="0"/>
        <v>512.76789325904554</v>
      </c>
      <c r="S34" s="62">
        <f ca="1">AVERAGE(OFFSET($R$3,0,0,'Données projet'!$E$9+1,1))-AVERAGE(OFFSET($H$3,0,0,'Données projet'!$E$9+1,1))</f>
        <v>181.48161394994878</v>
      </c>
      <c r="T34" s="62">
        <f t="shared" si="34"/>
        <v>141.1874974464024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105.25320000000005</v>
      </c>
      <c r="AK34" s="14">
        <f t="shared" si="35"/>
        <v>28.209746498519422</v>
      </c>
      <c r="AL34" s="22">
        <f t="shared" si="4"/>
        <v>232.44796515158808</v>
      </c>
      <c r="AM34" s="62">
        <f t="shared" si="5"/>
        <v>525.78129848492142</v>
      </c>
      <c r="AN34" s="62">
        <f ca="1">AVERAGE(OFFSET($AM$3,0,0,'Données projet'!$E$10+1,1))-AVERAGE(OFFSET($H$3,0,0,'Données projet'!$E$10+1,1))</f>
        <v>340.81036749486179</v>
      </c>
      <c r="AO34" s="62">
        <f t="shared" si="36"/>
        <v>208.88199836488013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257.96727373333601</v>
      </c>
      <c r="BJ34" s="62">
        <f t="shared" si="38"/>
        <v>194.52809733694494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5.8794461581551243</v>
      </c>
      <c r="BR34" s="23">
        <f>EXP(-LN(2)/2)*BR33+(1-EXP(-LN(2)/2))/(LN(2)/2)*BL34*BO34*VLOOKUP('Données projet'!$B$11,Paramètres!$A$1:$I$89,3,0)*0.475*44/12</f>
        <v>10.056540926166617</v>
      </c>
      <c r="BS34" s="24">
        <f t="shared" si="9"/>
        <v>15.935987084321741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93.91824000000004</v>
      </c>
      <c r="CA34" s="14">
        <f t="shared" si="39"/>
        <v>25.507853654186022</v>
      </c>
      <c r="CB34" s="22">
        <f t="shared" si="10"/>
        <v>208.00044644770739</v>
      </c>
      <c r="CC34" s="62">
        <f t="shared" si="11"/>
        <v>501.33377978104068</v>
      </c>
      <c r="CD34" s="62">
        <f ca="1">AVERAGE(OFFSET($CC$3,0,0,'Données projet'!$E$12+1,1))-AVERAGE(OFFSET($H$3,0,0,'Données projet'!$E$12+1,1))</f>
        <v>292.83612296867898</v>
      </c>
      <c r="CE34" s="62">
        <f t="shared" si="40"/>
        <v>180.48047802041276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20.003607217516532</v>
      </c>
      <c r="CN34" s="24">
        <f t="shared" si="12"/>
        <v>20.003607217516532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67.189199999999985</v>
      </c>
      <c r="CV34" s="14">
        <f t="shared" si="41"/>
        <v>18.973780699598183</v>
      </c>
      <c r="CW34" s="22">
        <f t="shared" si="13"/>
        <v>150.06719138513347</v>
      </c>
      <c r="CX34" s="62">
        <f t="shared" si="14"/>
        <v>443.40052471846678</v>
      </c>
      <c r="CY34" s="62">
        <f ca="1">AVERAGE(OFFSET($CX$3,0,0,'Données projet'!$E$13+1,1))-AVERAGE(OFFSET($H$3,0,0,'Données projet'!$E$13+1,1))</f>
        <v>192.93829651668403</v>
      </c>
      <c r="CZ34" s="62">
        <f t="shared" si="42"/>
        <v>76.592736352376903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</v>
      </c>
      <c r="DO34" s="13">
        <f>IF('Données projet'!$A$166&gt;35,DO33+DN34-DW33,IF(A34&lt;'Données projet'!$A$166,$DL$205^A34,IF(A34='Données projet'!$A$166,'Données projet'!$B$166,DO33+DN34-DW33)))</f>
        <v>58.999999999999986</v>
      </c>
      <c r="DP34" s="18">
        <f>DO34*VLOOKUP('Données projet'!$B$14,Paramètres!$A$1:$I$89,3,0)*VLOOKUP('Données projet'!$B$14,Paramètres!$A$1:$I$89,5,0)</f>
        <v>39.577199999999991</v>
      </c>
      <c r="DQ34" s="14">
        <f t="shared" si="43"/>
        <v>11.886514509066229</v>
      </c>
      <c r="DR34" s="22">
        <f t="shared" si="16"/>
        <v>89.632636103290338</v>
      </c>
      <c r="DS34" s="62">
        <f t="shared" si="17"/>
        <v>382.96596943662365</v>
      </c>
      <c r="DT34" s="62">
        <f ca="1">AVERAGE(OFFSET($DS$3,0,0,'Données projet'!$E$14+1,1))-AVERAGE(OFFSET($H$3,0,0,'Données projet'!$E$14+1,1))</f>
        <v>66.964554307546564</v>
      </c>
      <c r="DU34" s="62">
        <f t="shared" si="44"/>
        <v>21.162700178818568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</v>
      </c>
      <c r="EJ34" s="13">
        <f>IF('Données projet'!$A$192&gt;35,EJ33+EI34-ER33,IF(A34&lt;'Données projet'!$A$192,$EG$205^A34,IF(A34='Données projet'!$A$192,'Données projet'!$B$192,EJ33+EI34-ER33)))</f>
        <v>58.999999999999986</v>
      </c>
      <c r="EK34" s="18">
        <f>EJ34*VLOOKUP('Données projet'!$B$15,Paramètres!$A$1:$I$89,3,0)*VLOOKUP('Données projet'!$B$15,Paramètres!$A$1:$I$89,5,0)</f>
        <v>57.064799999999991</v>
      </c>
      <c r="EL34" s="14">
        <f t="shared" si="45"/>
        <v>16.424005972947381</v>
      </c>
      <c r="EM34" s="22">
        <f t="shared" si="19"/>
        <v>127.99300373621668</v>
      </c>
      <c r="EN34" s="62">
        <f t="shared" si="20"/>
        <v>421.32633706954999</v>
      </c>
      <c r="EO34" s="62">
        <f ca="1">AVERAGE(OFFSET($EN$3,0,0,'Données projet'!$E$15+1,1))-AVERAGE(OFFSET($H$3,0,0,'Données projet'!$E$15+1,1))</f>
        <v>146.90952320473599</v>
      </c>
      <c r="EP34" s="62">
        <f t="shared" si="46"/>
        <v>56.347130462109817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5</v>
      </c>
      <c r="FE34" s="13">
        <f>IF('Données projet'!$A$218&gt;35,FE33+FD34-FM33,IF(A34&lt;'Données projet'!$A$218,$FB$205^A34,IF(A34='Données projet'!$A$218,'Données projet'!$B$218,FE33+FD34-FM33)))</f>
        <v>58.999999999999986</v>
      </c>
      <c r="FF34" s="18">
        <f>FE34*VLOOKUP('Données projet'!$B$16,Paramètres!$A$1:$I$89,3,0)*VLOOKUP('Données projet'!$B$16,Paramètres!$A$1:$I$89,5,0)</f>
        <v>63.507599999999982</v>
      </c>
      <c r="FG34" s="14">
        <f t="shared" si="47"/>
        <v>18.052146695841799</v>
      </c>
      <c r="FH34" s="22">
        <f t="shared" si="22"/>
        <v>142.04989216192442</v>
      </c>
      <c r="FI34" s="62">
        <f t="shared" si="23"/>
        <v>435.38322549525776</v>
      </c>
      <c r="FJ34" s="62">
        <f ca="1">AVERAGE(OFFSET($FI$3,0,0,'Données projet'!$E$16+1,1))-AVERAGE(OFFSET($H$3,0,0,'Données projet'!$E$16+1,1))</f>
        <v>176.21892815766847</v>
      </c>
      <c r="FK34" s="62">
        <f t="shared" si="48"/>
        <v>69.239647548491234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6.6</v>
      </c>
      <c r="FZ34" s="13">
        <f>IF('Données projet'!$A$244&gt;35,FZ33+FY34-GH33,IF(A34&lt;'Données projet'!$A$244,$FW$205^A34,IF(A34='Données projet'!$A$244,'Données projet'!$B$244,FZ33+FY34-GH33)))</f>
        <v>68.599999999999994</v>
      </c>
      <c r="GA34" s="18">
        <f>FZ34*VLOOKUP('Données projet'!$B$17,Paramètres!$A$1:$I$89,3,0)*VLOOKUP('Données projet'!$B$17,Paramètres!$A$1:$I$89,5,0)</f>
        <v>54.578159999999997</v>
      </c>
      <c r="GB34" s="14">
        <f t="shared" si="49"/>
        <v>15.789993681226214</v>
      </c>
      <c r="GC34" s="22">
        <f t="shared" si="25"/>
        <v>122.55786766146896</v>
      </c>
      <c r="GD34" s="62">
        <f t="shared" si="26"/>
        <v>415.89120099480226</v>
      </c>
      <c r="GE34" s="62">
        <f ca="1">AVERAGE(OFFSET($GD$3,0,0,'Données projet'!$E$17+1,1))-AVERAGE(OFFSET($H$3,0,0,'Données projet'!$E$17+1,1))</f>
        <v>70.834027458412379</v>
      </c>
      <c r="GF34" s="62">
        <f t="shared" si="50"/>
        <v>74.346987922112362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8.7946893801150274</v>
      </c>
      <c r="GO34" s="23">
        <f t="shared" si="27"/>
        <v>8.7946893801150274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>
        <f>VLOOKUP(A34,'Données projet'!$A$269:$I$289,2,0)</f>
        <v>99</v>
      </c>
      <c r="GS34" s="13">
        <f>VLOOKUP(A34,'Données projet'!$A$269:$I$289,9,0)</f>
        <v>7.333333333333333</v>
      </c>
      <c r="GT34" s="13">
        <f t="array" ref="GT34">INDEX(GS:GS,MIN(IF(ISNUMBER(GS34:GS230),ROW(GS34:GS230),"")))</f>
        <v>7.333333333333333</v>
      </c>
      <c r="GU34" s="13">
        <f>IF('Données projet'!$A$270&gt;35,GU33+GT34-HC33,IF(A34&lt;'Données projet'!$A$270,$GR$205^A34,IF(A34='Données projet'!$A$270,'Données projet'!$B$270,GU33+GT34-HC33)))</f>
        <v>98.999999999999986</v>
      </c>
      <c r="GV34" s="18">
        <f>GU34*VLOOKUP('Données projet'!$B$18,Paramètres!$A$1:$I$89,3,0)*VLOOKUP('Données projet'!$B$18,Paramètres!$A$1:$I$89,5,0)</f>
        <v>77.219999999999985</v>
      </c>
      <c r="GW34" s="14">
        <f t="shared" si="51"/>
        <v>21.456066856215866</v>
      </c>
      <c r="GX34" s="22">
        <f t="shared" si="28"/>
        <v>171.8608164412426</v>
      </c>
      <c r="GY34" s="62">
        <f t="shared" si="29"/>
        <v>465.19414977457592</v>
      </c>
      <c r="GZ34" s="62">
        <f ca="1">AVERAGE(OFFSET($GY$3,0,0,'Données projet'!$E$18+1,1))-AVERAGE(OFFSET($H$3,0,0,'Données projet'!$E$18+1,1))</f>
        <v>99.222094917553648</v>
      </c>
      <c r="HA34" s="62">
        <f t="shared" si="52"/>
        <v>98.371477396766352</v>
      </c>
      <c r="HB34" s="16">
        <f>IF(ISNA(VLOOKUP(A34,'Données projet'!$A$269:$I$289,3,0)),0,VLOOKUP(A34,'Données projet'!$A$269:$I$289,3,0))</f>
        <v>4</v>
      </c>
      <c r="HC34" s="16">
        <f>IF(ISNA(VLOOKUP(A34,'Données projet'!$A$269:$I$289,4,0)),0,VLOOKUP(A34,'Données projet'!$A$269:$I$289,4,0))</f>
        <v>23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1.8298434471186098</v>
      </c>
      <c r="HJ34" s="24">
        <f t="shared" si="30"/>
        <v>1.8298434471186098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17</v>
      </c>
      <c r="N35" s="14">
        <f>IF('Données projet'!$A$36&gt;35,N34+M35-V34,IF(A35&lt;'Données projet'!$A$36,$K$205^A35,IF(A35='Données projet'!$A$36,'Données projet'!$B$36,N34+M35-V34)))</f>
        <v>229</v>
      </c>
      <c r="O35" s="14">
        <f>N35*VLOOKUP('Données projet'!$B$9,Paramètres!$A$1:$I$89,3,0)*VLOOKUP('Données projet'!$B$9,Paramètres!$A$1:$I$89,5,0)</f>
        <v>107.172</v>
      </c>
      <c r="P35" s="14">
        <f t="shared" si="33"/>
        <v>28.663679082578788</v>
      </c>
      <c r="Q35" s="22">
        <f t="shared" ref="Q35:Q66" si="53">(O35+P35)*0.475*44/12</f>
        <v>236.58047440215805</v>
      </c>
      <c r="R35" s="62">
        <f t="shared" si="0"/>
        <v>529.91380773549133</v>
      </c>
      <c r="S35" s="62">
        <f ca="1">AVERAGE(OFFSET($R$3,0,0,'Données projet'!$E$9+1,1))-AVERAGE(OFFSET($H$3,0,0,'Données projet'!$E$9+1,1))</f>
        <v>181.48161394994878</v>
      </c>
      <c r="T35" s="62">
        <f t="shared" si="34"/>
        <v>141.1874974464024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116.20440000000004</v>
      </c>
      <c r="AK35" s="14">
        <f t="shared" si="35"/>
        <v>30.788088768016376</v>
      </c>
      <c r="AL35" s="22">
        <f t="shared" si="4"/>
        <v>256.01191793762854</v>
      </c>
      <c r="AM35" s="62">
        <f t="shared" si="5"/>
        <v>549.34525127096185</v>
      </c>
      <c r="AN35" s="62">
        <f ca="1">AVERAGE(OFFSET($AM$3,0,0,'Données projet'!$E$10+1,1))-AVERAGE(OFFSET($H$3,0,0,'Données projet'!$E$10+1,1))</f>
        <v>340.81036749486179</v>
      </c>
      <c r="AO35" s="62">
        <f t="shared" si="36"/>
        <v>208.88199836488013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257.96727373333601</v>
      </c>
      <c r="BJ35" s="62">
        <f t="shared" si="38"/>
        <v>194.52809733694494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5.7186723937737369</v>
      </c>
      <c r="BR35" s="23">
        <f>EXP(-LN(2)/2)*BR34+(1-EXP(-LN(2)/2))/(LN(2)/2)*BL35*BO35*VLOOKUP('Données projet'!$B$11,Paramètres!$A$1:$I$89,3,0)*0.475*44/12</f>
        <v>7.1110482841724583</v>
      </c>
      <c r="BS35" s="24">
        <f t="shared" si="9"/>
        <v>12.829720677946195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103.69008000000004</v>
      </c>
      <c r="CA35" s="14">
        <f t="shared" si="39"/>
        <v>27.83924565319537</v>
      </c>
      <c r="CB35" s="22">
        <f t="shared" si="10"/>
        <v>229.08024217931529</v>
      </c>
      <c r="CC35" s="62">
        <f t="shared" si="11"/>
        <v>522.41357551264855</v>
      </c>
      <c r="CD35" s="62">
        <f ca="1">AVERAGE(OFFSET($CC$3,0,0,'Données projet'!$E$12+1,1))-AVERAGE(OFFSET($H$3,0,0,'Données projet'!$E$12+1,1))</f>
        <v>292.83612296867898</v>
      </c>
      <c r="CE35" s="62">
        <f t="shared" si="40"/>
        <v>180.48047802041276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14.144686311698106</v>
      </c>
      <c r="CN35" s="24">
        <f t="shared" si="12"/>
        <v>14.144686311698106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72.883199999999988</v>
      </c>
      <c r="CV35" s="14">
        <f t="shared" si="41"/>
        <v>20.387767119503298</v>
      </c>
      <c r="CW35" s="22">
        <f t="shared" si="13"/>
        <v>162.44693439980156</v>
      </c>
      <c r="CX35" s="62">
        <f t="shared" si="14"/>
        <v>455.78026773313491</v>
      </c>
      <c r="CY35" s="62">
        <f ca="1">AVERAGE(OFFSET($CX$3,0,0,'Données projet'!$E$13+1,1))-AVERAGE(OFFSET($H$3,0,0,'Données projet'!$E$13+1,1))</f>
        <v>192.93829651668403</v>
      </c>
      <c r="CZ35" s="62">
        <f t="shared" si="42"/>
        <v>76.592736352376903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</v>
      </c>
      <c r="DO35" s="13">
        <f>IF('Données projet'!$A$166&gt;35,DO34+DN35-DW34,IF(A35&lt;'Données projet'!$A$166,$DL$205^A35,IF(A35='Données projet'!$A$166,'Données projet'!$B$166,DO34+DN35-DW34)))</f>
        <v>63.999999999999986</v>
      </c>
      <c r="DP35" s="18">
        <f>DO35*VLOOKUP('Données projet'!$B$14,Paramètres!$A$1:$I$89,3,0)*VLOOKUP('Données projet'!$B$14,Paramètres!$A$1:$I$89,5,0)</f>
        <v>42.93119999999999</v>
      </c>
      <c r="DQ35" s="14">
        <f t="shared" si="43"/>
        <v>12.772335335285687</v>
      </c>
      <c r="DR35" s="22">
        <f t="shared" si="16"/>
        <v>97.016990708955873</v>
      </c>
      <c r="DS35" s="62">
        <f t="shared" si="17"/>
        <v>390.35032404228917</v>
      </c>
      <c r="DT35" s="62">
        <f ca="1">AVERAGE(OFFSET($DS$3,0,0,'Données projet'!$E$14+1,1))-AVERAGE(OFFSET($H$3,0,0,'Données projet'!$E$14+1,1))</f>
        <v>66.964554307546564</v>
      </c>
      <c r="DU35" s="62">
        <f t="shared" si="44"/>
        <v>21.162700178818568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</v>
      </c>
      <c r="EJ35" s="13">
        <f>IF('Données projet'!$A$192&gt;35,EJ34+EI35-ER34,IF(A35&lt;'Données projet'!$A$192,$EG$205^A35,IF(A35='Données projet'!$A$192,'Données projet'!$B$192,EJ34+EI35-ER34)))</f>
        <v>63.999999999999986</v>
      </c>
      <c r="EK35" s="18">
        <f>EJ35*VLOOKUP('Données projet'!$B$15,Paramètres!$A$1:$I$89,3,0)*VLOOKUP('Données projet'!$B$15,Paramètres!$A$1:$I$89,5,0)</f>
        <v>61.90079999999999</v>
      </c>
      <c r="EL35" s="14">
        <f t="shared" si="45"/>
        <v>17.647975079256284</v>
      </c>
      <c r="EM35" s="22">
        <f t="shared" si="19"/>
        <v>138.54744992970467</v>
      </c>
      <c r="EN35" s="62">
        <f t="shared" si="20"/>
        <v>431.88078326303798</v>
      </c>
      <c r="EO35" s="62">
        <f ca="1">AVERAGE(OFFSET($EN$3,0,0,'Données projet'!$E$15+1,1))-AVERAGE(OFFSET($H$3,0,0,'Données projet'!$E$15+1,1))</f>
        <v>146.90952320473599</v>
      </c>
      <c r="EP35" s="62">
        <f t="shared" si="46"/>
        <v>56.347130462109817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5</v>
      </c>
      <c r="FE35" s="13">
        <f>IF('Données projet'!$A$218&gt;35,FE34+FD35-FM34,IF(A35&lt;'Données projet'!$A$218,$FB$205^A35,IF(A35='Données projet'!$A$218,'Données projet'!$B$218,FE34+FD35-FM34)))</f>
        <v>63.999999999999986</v>
      </c>
      <c r="FF35" s="18">
        <f>FE35*VLOOKUP('Données projet'!$B$16,Paramètres!$A$1:$I$89,3,0)*VLOOKUP('Données projet'!$B$16,Paramètres!$A$1:$I$89,5,0)</f>
        <v>68.889599999999987</v>
      </c>
      <c r="FG35" s="14">
        <f t="shared" si="47"/>
        <v>19.397450021635805</v>
      </c>
      <c r="FH35" s="22">
        <f t="shared" si="22"/>
        <v>153.76661212101567</v>
      </c>
      <c r="FI35" s="62">
        <f t="shared" si="23"/>
        <v>447.09994545434898</v>
      </c>
      <c r="FJ35" s="62">
        <f ca="1">AVERAGE(OFFSET($FI$3,0,0,'Données projet'!$E$16+1,1))-AVERAGE(OFFSET($H$3,0,0,'Données projet'!$E$16+1,1))</f>
        <v>176.21892815766847</v>
      </c>
      <c r="FK35" s="62">
        <f t="shared" si="48"/>
        <v>69.239647548491234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6.6</v>
      </c>
      <c r="FZ35" s="13">
        <f>IF('Données projet'!$A$244&gt;35,FZ34+FY35-GH34,IF(A35&lt;'Données projet'!$A$244,$FW$205^A35,IF(A35='Données projet'!$A$244,'Données projet'!$B$244,FZ34+FY35-GH34)))</f>
        <v>75.199999999999989</v>
      </c>
      <c r="GA35" s="18">
        <f>FZ35*VLOOKUP('Données projet'!$B$17,Paramètres!$A$1:$I$89,3,0)*VLOOKUP('Données projet'!$B$17,Paramètres!$A$1:$I$89,5,0)</f>
        <v>59.829119999999996</v>
      </c>
      <c r="GB35" s="14">
        <f t="shared" si="49"/>
        <v>17.125058018348167</v>
      </c>
      <c r="GC35" s="22">
        <f t="shared" si="25"/>
        <v>134.0285267152897</v>
      </c>
      <c r="GD35" s="62">
        <f t="shared" si="26"/>
        <v>427.36186004862304</v>
      </c>
      <c r="GE35" s="62">
        <f ca="1">AVERAGE(OFFSET($GD$3,0,0,'Données projet'!$E$17+1,1))-AVERAGE(OFFSET($H$3,0,0,'Données projet'!$E$17+1,1))</f>
        <v>70.834027458412379</v>
      </c>
      <c r="GF35" s="62">
        <f t="shared" si="50"/>
        <v>74.346987922112362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6.2187844991086507</v>
      </c>
      <c r="GO35" s="23">
        <f t="shared" si="27"/>
        <v>6.2187844991086507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7.5</v>
      </c>
      <c r="GU35" s="13">
        <f>IF('Données projet'!$A$270&gt;35,GU34+GT35-HC34,IF(A35&lt;'Données projet'!$A$270,$GR$205^A35,IF(A35='Données projet'!$A$270,'Données projet'!$B$270,GU34+GT35-HC34)))</f>
        <v>83.499999999999986</v>
      </c>
      <c r="GV35" s="18">
        <f>GU35*VLOOKUP('Données projet'!$B$18,Paramètres!$A$1:$I$89,3,0)*VLOOKUP('Données projet'!$B$18,Paramètres!$A$1:$I$89,5,0)</f>
        <v>65.13</v>
      </c>
      <c r="GW35" s="14">
        <f t="shared" si="51"/>
        <v>18.45903637176129</v>
      </c>
      <c r="GX35" s="22">
        <f t="shared" si="28"/>
        <v>145.58423834748422</v>
      </c>
      <c r="GY35" s="62">
        <f t="shared" si="29"/>
        <v>438.91757168081756</v>
      </c>
      <c r="GZ35" s="62">
        <f ca="1">AVERAGE(OFFSET($GY$3,0,0,'Données projet'!$E$18+1,1))-AVERAGE(OFFSET($H$3,0,0,'Données projet'!$E$18+1,1))</f>
        <v>99.222094917553648</v>
      </c>
      <c r="HA35" s="62">
        <f t="shared" si="52"/>
        <v>98.371477396766352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1.2938947099673368</v>
      </c>
      <c r="HJ35" s="24">
        <f t="shared" si="30"/>
        <v>1.2938947099673368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17</v>
      </c>
      <c r="N36" s="14">
        <f>IF('Données projet'!$A$36&gt;35,N35+M36-V35,IF(A36&lt;'Données projet'!$A$36,$K$205^A36,IF(A36='Données projet'!$A$36,'Données projet'!$B$36,N35+M36-V35)))</f>
        <v>246</v>
      </c>
      <c r="O36" s="14">
        <f>N36*VLOOKUP('Données projet'!$B$9,Paramètres!$A$1:$I$89,3,0)*VLOOKUP('Données projet'!$B$9,Paramètres!$A$1:$I$89,5,0)</f>
        <v>115.128</v>
      </c>
      <c r="P36" s="14">
        <f t="shared" si="33"/>
        <v>30.53595882135</v>
      </c>
      <c r="Q36" s="22">
        <f t="shared" si="53"/>
        <v>253.69806161385125</v>
      </c>
      <c r="R36" s="62">
        <f t="shared" si="0"/>
        <v>547.03139494718459</v>
      </c>
      <c r="S36" s="62">
        <f ca="1">AVERAGE(OFFSET($R$3,0,0,'Données projet'!$E$9+1,1))-AVERAGE(OFFSET($H$3,0,0,'Données projet'!$E$9+1,1))</f>
        <v>181.48161394994878</v>
      </c>
      <c r="T36" s="62">
        <f t="shared" si="34"/>
        <v>141.1874974464024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127.15560000000004</v>
      </c>
      <c r="AK36" s="14">
        <f t="shared" si="35"/>
        <v>33.338258149231912</v>
      </c>
      <c r="AL36" s="22">
        <f t="shared" si="4"/>
        <v>279.52680294324563</v>
      </c>
      <c r="AM36" s="62">
        <f t="shared" si="5"/>
        <v>572.86013627657894</v>
      </c>
      <c r="AN36" s="62">
        <f ca="1">AVERAGE(OFFSET($AM$3,0,0,'Données projet'!$E$10+1,1))-AVERAGE(OFFSET($H$3,0,0,'Données projet'!$E$10+1,1))</f>
        <v>340.81036749486179</v>
      </c>
      <c r="AO36" s="62">
        <f t="shared" si="36"/>
        <v>208.88199836488013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257.96727373333601</v>
      </c>
      <c r="BJ36" s="62">
        <f t="shared" si="38"/>
        <v>194.52809733694494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5.5622949964340833</v>
      </c>
      <c r="BR36" s="23">
        <f>EXP(-LN(2)/2)*BR35+(1-EXP(-LN(2)/2))/(LN(2)/2)*BL36*BO36*VLOOKUP('Données projet'!$B$11,Paramètres!$A$1:$I$89,3,0)*0.475*44/12</f>
        <v>5.0282704630833086</v>
      </c>
      <c r="BS36" s="24">
        <f t="shared" si="9"/>
        <v>10.590565459517393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113.46192000000002</v>
      </c>
      <c r="CA36" s="14">
        <f t="shared" si="39"/>
        <v>30.145163126535493</v>
      </c>
      <c r="CB36" s="22">
        <f t="shared" si="10"/>
        <v>250.11566977871598</v>
      </c>
      <c r="CC36" s="62">
        <f t="shared" si="11"/>
        <v>543.44900311204924</v>
      </c>
      <c r="CD36" s="62">
        <f ca="1">AVERAGE(OFFSET($CC$3,0,0,'Données projet'!$E$12+1,1))-AVERAGE(OFFSET($H$3,0,0,'Données projet'!$E$12+1,1))</f>
        <v>292.83612296867898</v>
      </c>
      <c r="CE36" s="62">
        <f t="shared" si="40"/>
        <v>180.48047802041276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10.001803608758268</v>
      </c>
      <c r="CN36" s="24">
        <f t="shared" si="12"/>
        <v>10.001803608758268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78.577199999999991</v>
      </c>
      <c r="CV36" s="14">
        <f t="shared" si="41"/>
        <v>21.788939637935243</v>
      </c>
      <c r="CW36" s="22">
        <f t="shared" si="13"/>
        <v>174.80435986940384</v>
      </c>
      <c r="CX36" s="62">
        <f t="shared" si="14"/>
        <v>468.13769320273718</v>
      </c>
      <c r="CY36" s="62">
        <f ca="1">AVERAGE(OFFSET($CX$3,0,0,'Données projet'!$E$13+1,1))-AVERAGE(OFFSET($H$3,0,0,'Données projet'!$E$13+1,1))</f>
        <v>192.93829651668403</v>
      </c>
      <c r="CZ36" s="62">
        <f t="shared" si="42"/>
        <v>76.592736352376903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</v>
      </c>
      <c r="DO36" s="13">
        <f>IF('Données projet'!$A$166&gt;35,DO35+DN36-DW35,IF(A36&lt;'Données projet'!$A$166,$DL$205^A36,IF(A36='Données projet'!$A$166,'Données projet'!$B$166,DO35+DN36-DW35)))</f>
        <v>68.999999999999986</v>
      </c>
      <c r="DP36" s="18">
        <f>DO36*VLOOKUP('Données projet'!$B$14,Paramètres!$A$1:$I$89,3,0)*VLOOKUP('Données projet'!$B$14,Paramètres!$A$1:$I$89,5,0)</f>
        <v>46.285199999999996</v>
      </c>
      <c r="DQ36" s="14">
        <f t="shared" si="43"/>
        <v>13.650128629818649</v>
      </c>
      <c r="DR36" s="22">
        <f t="shared" si="16"/>
        <v>104.38736403026746</v>
      </c>
      <c r="DS36" s="62">
        <f t="shared" si="17"/>
        <v>397.72069736360078</v>
      </c>
      <c r="DT36" s="62">
        <f ca="1">AVERAGE(OFFSET($DS$3,0,0,'Données projet'!$E$14+1,1))-AVERAGE(OFFSET($H$3,0,0,'Données projet'!$E$14+1,1))</f>
        <v>66.964554307546564</v>
      </c>
      <c r="DU36" s="62">
        <f t="shared" si="44"/>
        <v>21.162700178818568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5</v>
      </c>
      <c r="EJ36" s="13">
        <f>IF('Données projet'!$A$192&gt;35,EJ35+EI36-ER35,IF(A36&lt;'Données projet'!$A$192,$EG$205^A36,IF(A36='Données projet'!$A$192,'Données projet'!$B$192,EJ35+EI36-ER35)))</f>
        <v>68.999999999999986</v>
      </c>
      <c r="EK36" s="18">
        <f>EJ36*VLOOKUP('Données projet'!$B$15,Paramètres!$A$1:$I$89,3,0)*VLOOKUP('Données projet'!$B$15,Paramètres!$A$1:$I$89,5,0)</f>
        <v>66.736799999999988</v>
      </c>
      <c r="EL36" s="14">
        <f t="shared" si="45"/>
        <v>18.860852268900583</v>
      </c>
      <c r="EM36" s="22">
        <f t="shared" si="19"/>
        <v>149.0825777016685</v>
      </c>
      <c r="EN36" s="62">
        <f t="shared" si="20"/>
        <v>442.41591103500184</v>
      </c>
      <c r="EO36" s="62">
        <f ca="1">AVERAGE(OFFSET($EN$3,0,0,'Données projet'!$E$15+1,1))-AVERAGE(OFFSET($H$3,0,0,'Données projet'!$E$15+1,1))</f>
        <v>146.90952320473599</v>
      </c>
      <c r="EP36" s="62">
        <f t="shared" si="46"/>
        <v>56.347130462109817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5</v>
      </c>
      <c r="FE36" s="13">
        <f>IF('Données projet'!$A$218&gt;35,FE35+FD36-FM35,IF(A36&lt;'Données projet'!$A$218,$FB$205^A36,IF(A36='Données projet'!$A$218,'Données projet'!$B$218,FE35+FD36-FM35)))</f>
        <v>68.999999999999986</v>
      </c>
      <c r="FF36" s="18">
        <f>FE36*VLOOKUP('Données projet'!$B$16,Paramètres!$A$1:$I$89,3,0)*VLOOKUP('Données projet'!$B$16,Paramètres!$A$1:$I$89,5,0)</f>
        <v>74.271599999999978</v>
      </c>
      <c r="FG36" s="14">
        <f t="shared" si="47"/>
        <v>20.730561869473863</v>
      </c>
      <c r="FH36" s="22">
        <f t="shared" si="22"/>
        <v>165.46209858933358</v>
      </c>
      <c r="FI36" s="62">
        <f t="shared" si="23"/>
        <v>458.79543192266692</v>
      </c>
      <c r="FJ36" s="62">
        <f ca="1">AVERAGE(OFFSET($FI$3,0,0,'Données projet'!$E$16+1,1))-AVERAGE(OFFSET($H$3,0,0,'Données projet'!$E$16+1,1))</f>
        <v>176.21892815766847</v>
      </c>
      <c r="FK36" s="62">
        <f t="shared" si="48"/>
        <v>69.239647548491234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6.6</v>
      </c>
      <c r="FZ36" s="13">
        <f>IF('Données projet'!$A$244&gt;35,FZ35+FY36-GH35,IF(A36&lt;'Données projet'!$A$244,$FW$205^A36,IF(A36='Données projet'!$A$244,'Données projet'!$B$244,FZ35+FY36-GH35)))</f>
        <v>81.799999999999983</v>
      </c>
      <c r="GA36" s="18">
        <f>FZ36*VLOOKUP('Données projet'!$B$17,Paramètres!$A$1:$I$89,3,0)*VLOOKUP('Données projet'!$B$17,Paramètres!$A$1:$I$89,5,0)</f>
        <v>65.080079999999981</v>
      </c>
      <c r="GB36" s="14">
        <f t="shared" si="49"/>
        <v>18.44653442602603</v>
      </c>
      <c r="GC36" s="22">
        <f t="shared" si="25"/>
        <v>145.47552012532864</v>
      </c>
      <c r="GD36" s="62">
        <f t="shared" si="26"/>
        <v>438.80885345866193</v>
      </c>
      <c r="GE36" s="62">
        <f ca="1">AVERAGE(OFFSET($GD$3,0,0,'Données projet'!$E$17+1,1))-AVERAGE(OFFSET($H$3,0,0,'Données projet'!$E$17+1,1))</f>
        <v>70.834027458412379</v>
      </c>
      <c r="GF36" s="62">
        <f t="shared" si="50"/>
        <v>74.346987922112362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4.3973446900575146</v>
      </c>
      <c r="GO36" s="23">
        <f t="shared" si="27"/>
        <v>4.3973446900575146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7.5</v>
      </c>
      <c r="GU36" s="13">
        <f>IF('Données projet'!$A$270&gt;35,GU35+GT36-HC35,IF(A36&lt;'Données projet'!$A$270,$GR$205^A36,IF(A36='Données projet'!$A$270,'Données projet'!$B$270,GU35+GT36-HC35)))</f>
        <v>90.999999999999986</v>
      </c>
      <c r="GV36" s="18">
        <f>GU36*VLOOKUP('Données projet'!$B$18,Paramètres!$A$1:$I$89,3,0)*VLOOKUP('Données projet'!$B$18,Paramètres!$A$1:$I$89,5,0)</f>
        <v>70.97999999999999</v>
      </c>
      <c r="GW36" s="14">
        <f t="shared" si="51"/>
        <v>19.916628839746853</v>
      </c>
      <c r="GX36" s="22">
        <f t="shared" si="28"/>
        <v>158.31162856255909</v>
      </c>
      <c r="GY36" s="62">
        <f t="shared" si="29"/>
        <v>451.64496189589238</v>
      </c>
      <c r="GZ36" s="62">
        <f ca="1">AVERAGE(OFFSET($GY$3,0,0,'Données projet'!$E$18+1,1))-AVERAGE(OFFSET($H$3,0,0,'Données projet'!$E$18+1,1))</f>
        <v>99.222094917553648</v>
      </c>
      <c r="HA36" s="62">
        <f t="shared" si="52"/>
        <v>98.371477396766352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0.91492172355930501</v>
      </c>
      <c r="HJ36" s="24">
        <f t="shared" si="30"/>
        <v>0.91492172355930501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17</v>
      </c>
      <c r="N37" s="14">
        <f>IF('Données projet'!$A$36&gt;35,N36+M37-V36,IF(A37&lt;'Données projet'!$A$36,$K$205^A37,IF(A37='Données projet'!$A$36,'Données projet'!$B$36,N36+M37-V36)))</f>
        <v>263</v>
      </c>
      <c r="O37" s="14">
        <f>N37*VLOOKUP('Données projet'!$B$9,Paramètres!$A$1:$I$89,3,0)*VLOOKUP('Données projet'!$B$9,Paramètres!$A$1:$I$89,5,0)</f>
        <v>123.08399999999999</v>
      </c>
      <c r="P37" s="14">
        <f t="shared" si="33"/>
        <v>32.393225926509828</v>
      </c>
      <c r="Q37" s="22">
        <f t="shared" si="53"/>
        <v>270.78950182200458</v>
      </c>
      <c r="R37" s="62">
        <f t="shared" si="0"/>
        <v>564.12283515533795</v>
      </c>
      <c r="S37" s="62">
        <f ca="1">AVERAGE(OFFSET($R$3,0,0,'Données projet'!$E$9+1,1))-AVERAGE(OFFSET($H$3,0,0,'Données projet'!$E$9+1,1))</f>
        <v>181.48161394994878</v>
      </c>
      <c r="T37" s="62">
        <f t="shared" si="34"/>
        <v>141.1874974464024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138.10680000000005</v>
      </c>
      <c r="AK37" s="14">
        <f t="shared" si="35"/>
        <v>35.862956890686135</v>
      </c>
      <c r="AL37" s="22">
        <f t="shared" si="4"/>
        <v>302.99732658461176</v>
      </c>
      <c r="AM37" s="62">
        <f t="shared" si="5"/>
        <v>596.33065991794501</v>
      </c>
      <c r="AN37" s="62">
        <f ca="1">AVERAGE(OFFSET($AM$3,0,0,'Données projet'!$E$10+1,1))-AVERAGE(OFFSET($H$3,0,0,'Données projet'!$E$10+1,1))</f>
        <v>340.81036749486179</v>
      </c>
      <c r="AO37" s="62">
        <f t="shared" si="36"/>
        <v>208.88199836488013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257.96727373333601</v>
      </c>
      <c r="BJ37" s="62">
        <f t="shared" si="38"/>
        <v>194.52809733694494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5.4101937472482122</v>
      </c>
      <c r="BR37" s="23">
        <f>EXP(-LN(2)/2)*BR36+(1-EXP(-LN(2)/2))/(LN(2)/2)*BL37*BO37*VLOOKUP('Données projet'!$B$11,Paramètres!$A$1:$I$89,3,0)*0.475*44/12</f>
        <v>3.5555241420862291</v>
      </c>
      <c r="BS37" s="24">
        <f t="shared" si="9"/>
        <v>8.9657178893344422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123.23376000000005</v>
      </c>
      <c r="CA37" s="14">
        <f t="shared" si="39"/>
        <v>32.428049504876491</v>
      </c>
      <c r="CB37" s="22">
        <f t="shared" si="10"/>
        <v>271.11098488765998</v>
      </c>
      <c r="CC37" s="62">
        <f t="shared" si="11"/>
        <v>564.4443182209933</v>
      </c>
      <c r="CD37" s="62">
        <f ca="1">AVERAGE(OFFSET($CC$3,0,0,'Données projet'!$E$12+1,1))-AVERAGE(OFFSET($H$3,0,0,'Données projet'!$E$12+1,1))</f>
        <v>292.83612296867898</v>
      </c>
      <c r="CE37" s="62">
        <f t="shared" si="40"/>
        <v>180.48047802041276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7.0723431558490546</v>
      </c>
      <c r="CN37" s="24">
        <f t="shared" si="12"/>
        <v>7.0723431558490546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84.271199999999979</v>
      </c>
      <c r="CV37" s="14">
        <f t="shared" si="41"/>
        <v>23.178332397368926</v>
      </c>
      <c r="CW37" s="22">
        <f t="shared" si="13"/>
        <v>187.14126892541751</v>
      </c>
      <c r="CX37" s="62">
        <f t="shared" si="14"/>
        <v>480.47460225875079</v>
      </c>
      <c r="CY37" s="62">
        <f ca="1">AVERAGE(OFFSET($CX$3,0,0,'Données projet'!$E$13+1,1))-AVERAGE(OFFSET($H$3,0,0,'Données projet'!$E$13+1,1))</f>
        <v>192.93829651668403</v>
      </c>
      <c r="CZ37" s="62">
        <f t="shared" si="42"/>
        <v>76.592736352376903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</v>
      </c>
      <c r="DO37" s="13">
        <f>IF('Données projet'!$A$166&gt;35,DO36+DN37-DW36,IF(A37&lt;'Données projet'!$A$166,$DL$205^A37,IF(A37='Données projet'!$A$166,'Données projet'!$B$166,DO36+DN37-DW36)))</f>
        <v>73.999999999999986</v>
      </c>
      <c r="DP37" s="18">
        <f>DO37*VLOOKUP('Données projet'!$B$14,Paramètres!$A$1:$I$89,3,0)*VLOOKUP('Données projet'!$B$14,Paramètres!$A$1:$I$89,5,0)</f>
        <v>49.639199999999988</v>
      </c>
      <c r="DQ37" s="14">
        <f t="shared" si="43"/>
        <v>14.520542252452634</v>
      </c>
      <c r="DR37" s="22">
        <f t="shared" si="16"/>
        <v>111.74488442302163</v>
      </c>
      <c r="DS37" s="62">
        <f t="shared" si="17"/>
        <v>405.07821775635495</v>
      </c>
      <c r="DT37" s="62">
        <f ca="1">AVERAGE(OFFSET($DS$3,0,0,'Données projet'!$E$14+1,1))-AVERAGE(OFFSET($H$3,0,0,'Données projet'!$E$14+1,1))</f>
        <v>66.964554307546564</v>
      </c>
      <c r="DU37" s="62">
        <f t="shared" si="44"/>
        <v>21.162700178818568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5</v>
      </c>
      <c r="EJ37" s="13">
        <f>IF('Données projet'!$A$192&gt;35,EJ36+EI37-ER36,IF(A37&lt;'Données projet'!$A$192,$EG$205^A37,IF(A37='Données projet'!$A$192,'Données projet'!$B$192,EJ36+EI37-ER36)))</f>
        <v>73.999999999999986</v>
      </c>
      <c r="EK37" s="18">
        <f>EJ37*VLOOKUP('Données projet'!$B$15,Paramètres!$A$1:$I$89,3,0)*VLOOKUP('Données projet'!$B$15,Paramètres!$A$1:$I$89,5,0)</f>
        <v>71.572799999999987</v>
      </c>
      <c r="EL37" s="14">
        <f t="shared" si="45"/>
        <v>20.063532712034</v>
      </c>
      <c r="EM37" s="22">
        <f t="shared" si="19"/>
        <v>159.59994614012587</v>
      </c>
      <c r="EN37" s="62">
        <f t="shared" si="20"/>
        <v>452.93327947345915</v>
      </c>
      <c r="EO37" s="62">
        <f ca="1">AVERAGE(OFFSET($EN$3,0,0,'Données projet'!$E$15+1,1))-AVERAGE(OFFSET($H$3,0,0,'Données projet'!$E$15+1,1))</f>
        <v>146.90952320473599</v>
      </c>
      <c r="EP37" s="62">
        <f t="shared" si="46"/>
        <v>56.347130462109817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5</v>
      </c>
      <c r="FE37" s="13">
        <f>IF('Données projet'!$A$218&gt;35,FE36+FD37-FM36,IF(A37&lt;'Données projet'!$A$218,$FB$205^A37,IF(A37='Données projet'!$A$218,'Données projet'!$B$218,FE36+FD37-FM36)))</f>
        <v>73.999999999999986</v>
      </c>
      <c r="FF37" s="18">
        <f>FE37*VLOOKUP('Données projet'!$B$16,Paramètres!$A$1:$I$89,3,0)*VLOOKUP('Données projet'!$B$16,Paramètres!$A$1:$I$89,5,0)</f>
        <v>79.653599999999983</v>
      </c>
      <c r="FG37" s="14">
        <f t="shared" si="47"/>
        <v>22.052466149308238</v>
      </c>
      <c r="FH37" s="22">
        <f t="shared" si="22"/>
        <v>177.13806521004514</v>
      </c>
      <c r="FI37" s="62">
        <f t="shared" si="23"/>
        <v>470.47139854337843</v>
      </c>
      <c r="FJ37" s="62">
        <f ca="1">AVERAGE(OFFSET($FI$3,0,0,'Données projet'!$E$16+1,1))-AVERAGE(OFFSET($H$3,0,0,'Données projet'!$E$16+1,1))</f>
        <v>176.21892815766847</v>
      </c>
      <c r="FK37" s="62">
        <f t="shared" si="48"/>
        <v>69.239647548491234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6.6</v>
      </c>
      <c r="FZ37" s="13">
        <f>IF('Données projet'!$A$244&gt;35,FZ36+FY37-GH36,IF(A37&lt;'Données projet'!$A$244,$FW$205^A37,IF(A37='Données projet'!$A$244,'Données projet'!$B$244,FZ36+FY37-GH36)))</f>
        <v>88.399999999999977</v>
      </c>
      <c r="GA37" s="18">
        <f>FZ37*VLOOKUP('Données projet'!$B$17,Paramètres!$A$1:$I$89,3,0)*VLOOKUP('Données projet'!$B$17,Paramètres!$A$1:$I$89,5,0)</f>
        <v>70.331039999999987</v>
      </c>
      <c r="GB37" s="14">
        <f t="shared" si="49"/>
        <v>19.755643883558012</v>
      </c>
      <c r="GC37" s="22">
        <f t="shared" si="25"/>
        <v>156.90097443053017</v>
      </c>
      <c r="GD37" s="62">
        <f t="shared" si="26"/>
        <v>450.23430776386351</v>
      </c>
      <c r="GE37" s="62">
        <f ca="1">AVERAGE(OFFSET($GD$3,0,0,'Données projet'!$E$17+1,1))-AVERAGE(OFFSET($H$3,0,0,'Données projet'!$E$17+1,1))</f>
        <v>70.834027458412379</v>
      </c>
      <c r="GF37" s="62">
        <f t="shared" si="50"/>
        <v>74.346987922112362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3.1093922495543258</v>
      </c>
      <c r="GO37" s="23">
        <f t="shared" si="27"/>
        <v>3.1093922495543258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7.5</v>
      </c>
      <c r="GU37" s="13">
        <f>IF('Données projet'!$A$270&gt;35,GU36+GT37-HC36,IF(A37&lt;'Données projet'!$A$270,$GR$205^A37,IF(A37='Données projet'!$A$270,'Données projet'!$B$270,GU36+GT37-HC36)))</f>
        <v>98.499999999999986</v>
      </c>
      <c r="GV37" s="18">
        <f>GU37*VLOOKUP('Données projet'!$B$18,Paramètres!$A$1:$I$89,3,0)*VLOOKUP('Données projet'!$B$18,Paramètres!$A$1:$I$89,5,0)</f>
        <v>76.83</v>
      </c>
      <c r="GW37" s="14">
        <f t="shared" si="51"/>
        <v>21.36028825091504</v>
      </c>
      <c r="GX37" s="22">
        <f t="shared" si="28"/>
        <v>171.01475203701034</v>
      </c>
      <c r="GY37" s="62">
        <f t="shared" si="29"/>
        <v>464.34808537034365</v>
      </c>
      <c r="GZ37" s="62">
        <f ca="1">AVERAGE(OFFSET($GY$3,0,0,'Données projet'!$E$18+1,1))-AVERAGE(OFFSET($H$3,0,0,'Données projet'!$E$18+1,1))</f>
        <v>99.222094917553648</v>
      </c>
      <c r="HA37" s="62">
        <f t="shared" si="52"/>
        <v>98.371477396766352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0.64694735498366851</v>
      </c>
      <c r="HJ37" s="24">
        <f t="shared" si="30"/>
        <v>0.64694735498366851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280</v>
      </c>
      <c r="L38" s="13">
        <f>VLOOKUP(A38,'Données projet'!$A$35:$I$55,9,0)</f>
        <v>17</v>
      </c>
      <c r="M38" s="13">
        <f t="array" ref="M38">INDEX(L:L,MIN(IF(ISNUMBER(L38:L234),ROW(L38:L234),"")))</f>
        <v>17</v>
      </c>
      <c r="N38" s="14">
        <f>IF('Données projet'!$A$36&gt;35,N37+M38-V37,IF(A38&lt;'Données projet'!$A$36,$K$205^A38,IF(A38='Données projet'!$A$36,'Données projet'!$B$36,N37+M38-V37)))</f>
        <v>280</v>
      </c>
      <c r="O38" s="14">
        <f>N38*VLOOKUP('Données projet'!$B$9,Paramètres!$A$1:$I$89,3,0)*VLOOKUP('Données projet'!$B$9,Paramètres!$A$1:$I$89,5,0)</f>
        <v>131.04</v>
      </c>
      <c r="P38" s="14">
        <f t="shared" si="33"/>
        <v>34.236561238949918</v>
      </c>
      <c r="Q38" s="22">
        <f t="shared" si="53"/>
        <v>287.85667749117107</v>
      </c>
      <c r="R38" s="62">
        <f t="shared" si="0"/>
        <v>581.19001082450438</v>
      </c>
      <c r="S38" s="62">
        <f ca="1">AVERAGE(OFFSET($R$3,0,0,'Données projet'!$E$9+1,1))-AVERAGE(OFFSET($H$3,0,0,'Données projet'!$E$9+1,1))</f>
        <v>181.48161394994878</v>
      </c>
      <c r="T38" s="62">
        <f t="shared" si="34"/>
        <v>141.1874974464024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149.05800000000008</v>
      </c>
      <c r="AK38" s="14">
        <f t="shared" si="35"/>
        <v>38.364434314370335</v>
      </c>
      <c r="AL38" s="22">
        <f t="shared" si="4"/>
        <v>326.42740643086182</v>
      </c>
      <c r="AM38" s="62">
        <f t="shared" si="5"/>
        <v>619.76073976419514</v>
      </c>
      <c r="AN38" s="62">
        <f ca="1">AVERAGE(OFFSET($AM$3,0,0,'Données projet'!$E$10+1,1))-AVERAGE(OFFSET($H$3,0,0,'Données projet'!$E$10+1,1))</f>
        <v>340.81036749486179</v>
      </c>
      <c r="AO38" s="62">
        <f t="shared" si="36"/>
        <v>208.88199836488013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257.96727373333601</v>
      </c>
      <c r="BJ38" s="62">
        <f t="shared" si="38"/>
        <v>194.52809733694494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5.2622517147199854</v>
      </c>
      <c r="BR38" s="23">
        <f>EXP(-LN(2)/2)*BR37+(1-EXP(-LN(2)/2))/(LN(2)/2)*BL38*BO38*VLOOKUP('Données projet'!$B$11,Paramètres!$A$1:$I$89,3,0)*0.475*44/12</f>
        <v>2.5141352315416543</v>
      </c>
      <c r="BS38" s="24">
        <f t="shared" si="9"/>
        <v>7.7763869462616402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133.00560000000004</v>
      </c>
      <c r="CA38" s="14">
        <f t="shared" si="39"/>
        <v>34.689938673073549</v>
      </c>
      <c r="CB38" s="22">
        <f t="shared" si="10"/>
        <v>292.06972985560316</v>
      </c>
      <c r="CC38" s="62">
        <f t="shared" si="11"/>
        <v>585.40306318893647</v>
      </c>
      <c r="CD38" s="62">
        <f ca="1">AVERAGE(OFFSET($CC$3,0,0,'Données projet'!$E$12+1,1))-AVERAGE(OFFSET($H$3,0,0,'Données projet'!$E$12+1,1))</f>
        <v>292.83612296867898</v>
      </c>
      <c r="CE38" s="62">
        <f t="shared" si="40"/>
        <v>180.48047802041276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5.0009018043791347</v>
      </c>
      <c r="CN38" s="24">
        <f t="shared" si="12"/>
        <v>5.0009018043791347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89.965199999999982</v>
      </c>
      <c r="CV38" s="14">
        <f t="shared" si="41"/>
        <v>24.556831882990153</v>
      </c>
      <c r="CW38" s="22">
        <f t="shared" si="13"/>
        <v>199.45920552954112</v>
      </c>
      <c r="CX38" s="62">
        <f t="shared" si="14"/>
        <v>492.79253886287444</v>
      </c>
      <c r="CY38" s="62">
        <f ca="1">AVERAGE(OFFSET($CX$3,0,0,'Données projet'!$E$13+1,1))-AVERAGE(OFFSET($H$3,0,0,'Données projet'!$E$13+1,1))</f>
        <v>192.93829651668403</v>
      </c>
      <c r="CZ38" s="62">
        <f t="shared" si="42"/>
        <v>76.592736352376903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79</v>
      </c>
      <c r="DM38" s="13">
        <f>VLOOKUP(A38,'Données projet'!$A$165:$I$185,9,0)</f>
        <v>5</v>
      </c>
      <c r="DN38" s="13">
        <f t="array" ref="DN38">INDEX(DM:DM,MIN(IF(ISNUMBER(DM38:DM234),ROW(DM38:DM234),"")))</f>
        <v>5</v>
      </c>
      <c r="DO38" s="13">
        <f>IF('Données projet'!$A$166&gt;35,DO37+DN38-DW37,IF(A38&lt;'Données projet'!$A$166,$DL$205^A38,IF(A38='Données projet'!$A$166,'Données projet'!$B$166,DO37+DN38-DW37)))</f>
        <v>78.999999999999986</v>
      </c>
      <c r="DP38" s="18">
        <f>DO38*VLOOKUP('Données projet'!$B$14,Paramètres!$A$1:$I$89,3,0)*VLOOKUP('Données projet'!$B$14,Paramètres!$A$1:$I$89,5,0)</f>
        <v>52.993199999999987</v>
      </c>
      <c r="DQ38" s="14">
        <f t="shared" si="43"/>
        <v>15.384131560034538</v>
      </c>
      <c r="DR38" s="22">
        <f t="shared" si="16"/>
        <v>119.09051913372679</v>
      </c>
      <c r="DS38" s="62">
        <f t="shared" si="17"/>
        <v>412.4238524670601</v>
      </c>
      <c r="DT38" s="62">
        <f ca="1">AVERAGE(OFFSET($DS$3,0,0,'Données projet'!$E$14+1,1))-AVERAGE(OFFSET($H$3,0,0,'Données projet'!$E$14+1,1))</f>
        <v>66.964554307546564</v>
      </c>
      <c r="DU38" s="62">
        <f t="shared" si="44"/>
        <v>21.162700178818568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13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79</v>
      </c>
      <c r="EH38" s="13">
        <f>VLOOKUP(A38,'Données projet'!$A$191:$I$211,9,0)</f>
        <v>5</v>
      </c>
      <c r="EI38" s="13">
        <f t="array" ref="EI38">INDEX(EH:EH,MIN(IF(ISNUMBER(EH38:EH234),ROW(EH38:EH234),"")))</f>
        <v>5</v>
      </c>
      <c r="EJ38" s="13">
        <f>IF('Données projet'!$A$192&gt;35,EJ37+EI38-ER37,IF(A38&lt;'Données projet'!$A$192,$EG$205^A38,IF(A38='Données projet'!$A$192,'Données projet'!$B$192,EJ37+EI38-ER37)))</f>
        <v>78.999999999999986</v>
      </c>
      <c r="EK38" s="18">
        <f>EJ38*VLOOKUP('Données projet'!$B$15,Paramètres!$A$1:$I$89,3,0)*VLOOKUP('Données projet'!$B$15,Paramètres!$A$1:$I$89,5,0)</f>
        <v>76.408799999999985</v>
      </c>
      <c r="EL38" s="14">
        <f t="shared" si="45"/>
        <v>21.256783764315173</v>
      </c>
      <c r="EM38" s="22">
        <f t="shared" si="19"/>
        <v>170.1008917228489</v>
      </c>
      <c r="EN38" s="62">
        <f t="shared" si="20"/>
        <v>463.43422505618219</v>
      </c>
      <c r="EO38" s="62">
        <f ca="1">AVERAGE(OFFSET($EN$3,0,0,'Données projet'!$E$15+1,1))-AVERAGE(OFFSET($H$3,0,0,'Données projet'!$E$15+1,1))</f>
        <v>146.90952320473599</v>
      </c>
      <c r="EP38" s="62">
        <f t="shared" si="46"/>
        <v>56.347130462109817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13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79</v>
      </c>
      <c r="FC38" s="13">
        <f>VLOOKUP(A38,'Données projet'!$A$217:$I$237,9,0)</f>
        <v>5</v>
      </c>
      <c r="FD38" s="13">
        <f t="array" ref="FD38">INDEX(FC:FC,MIN(IF(ISNUMBER(FC38:FC234),ROW(FC38:FC234),"")))</f>
        <v>5</v>
      </c>
      <c r="FE38" s="13">
        <f>IF('Données projet'!$A$218&gt;35,FE37+FD38-FM37,IF(A38&lt;'Données projet'!$A$218,$FB$205^A38,IF(A38='Données projet'!$A$218,'Données projet'!$B$218,FE37+FD38-FM37)))</f>
        <v>78.999999999999986</v>
      </c>
      <c r="FF38" s="18">
        <f>FE38*VLOOKUP('Données projet'!$B$16,Paramètres!$A$1:$I$89,3,0)*VLOOKUP('Données projet'!$B$16,Paramètres!$A$1:$I$89,5,0)</f>
        <v>85.035599999999974</v>
      </c>
      <c r="FG38" s="14">
        <f t="shared" si="47"/>
        <v>23.364006286119412</v>
      </c>
      <c r="FH38" s="22">
        <f t="shared" si="22"/>
        <v>188.79598094832463</v>
      </c>
      <c r="FI38" s="62">
        <f t="shared" si="23"/>
        <v>482.12931428165791</v>
      </c>
      <c r="FJ38" s="62">
        <f ca="1">AVERAGE(OFFSET($FI$3,0,0,'Données projet'!$E$16+1,1))-AVERAGE(OFFSET($H$3,0,0,'Données projet'!$E$16+1,1))</f>
        <v>176.21892815766847</v>
      </c>
      <c r="FK38" s="62">
        <f t="shared" si="48"/>
        <v>69.239647548491234</v>
      </c>
      <c r="FL38" s="16">
        <f>IF(ISNA(VLOOKUP(A38,'Données projet'!$A$217:$I$237,3,0)),0,VLOOKUP(A38,'Données projet'!$A$217:$I$237,3,0))</f>
        <v>3</v>
      </c>
      <c r="FM38" s="16">
        <f>IF(ISNA(VLOOKUP(A38,'Données projet'!$A$217:$I$237,4,0)),0,VLOOKUP(A38,'Données projet'!$A$217:$I$237,4,0))</f>
        <v>13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95</v>
      </c>
      <c r="FX38" s="13">
        <f>VLOOKUP(A38,'Données projet'!$A$243:$I$263,9,0)</f>
        <v>6.6</v>
      </c>
      <c r="FY38" s="13">
        <f t="array" ref="FY38">INDEX(FX:FX,MIN(IF(ISNUMBER(FX38:FX234),ROW(FX38:FX234),"")))</f>
        <v>6.6</v>
      </c>
      <c r="FZ38" s="13">
        <f>IF('Données projet'!$A$244&gt;35,FZ37+FY38-GH37,IF(A38&lt;'Données projet'!$A$244,$FW$205^A38,IF(A38='Données projet'!$A$244,'Données projet'!$B$244,FZ37+FY38-GH37)))</f>
        <v>94.999999999999972</v>
      </c>
      <c r="GA38" s="18">
        <f>FZ38*VLOOKUP('Données projet'!$B$17,Paramètres!$A$1:$I$89,3,0)*VLOOKUP('Données projet'!$B$17,Paramètres!$A$1:$I$89,5,0)</f>
        <v>75.581999999999979</v>
      </c>
      <c r="GB38" s="14">
        <f t="shared" si="49"/>
        <v>21.053414706764119</v>
      </c>
      <c r="GC38" s="22">
        <f t="shared" si="25"/>
        <v>168.30668061428079</v>
      </c>
      <c r="GD38" s="62">
        <f t="shared" si="26"/>
        <v>461.64001394761408</v>
      </c>
      <c r="GE38" s="62">
        <f ca="1">AVERAGE(OFFSET($GD$3,0,0,'Données projet'!$E$17+1,1))-AVERAGE(OFFSET($H$3,0,0,'Données projet'!$E$17+1,1))</f>
        <v>70.834027458412379</v>
      </c>
      <c r="GF38" s="62">
        <f t="shared" si="50"/>
        <v>74.346987922112362</v>
      </c>
      <c r="GG38" s="16">
        <f>IF(ISNA(VLOOKUP(A38,'Données projet'!$A$243:$I$263,3,0)),0,VLOOKUP(A38,'Données projet'!$A$243:$I$263,3,0))</f>
        <v>4</v>
      </c>
      <c r="GH38" s="16">
        <f>IF(ISNA(VLOOKUP(A38,'Données projet'!$A$243:$I$263,4,0)),0,VLOOKUP(A38,'Données projet'!$A$243:$I$263,4,0))</f>
        <v>14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2.1986723450287577</v>
      </c>
      <c r="GO38" s="23">
        <f t="shared" si="27"/>
        <v>2.1986723450287577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7.5</v>
      </c>
      <c r="GU38" s="13">
        <f>IF('Données projet'!$A$270&gt;35,GU37+GT38-HC37,IF(A38&lt;'Données projet'!$A$270,$GR$205^A38,IF(A38='Données projet'!$A$270,'Données projet'!$B$270,GU37+GT38-HC37)))</f>
        <v>105.99999999999999</v>
      </c>
      <c r="GV38" s="18">
        <f>GU38*VLOOKUP('Données projet'!$B$18,Paramètres!$A$1:$I$89,3,0)*VLOOKUP('Données projet'!$B$18,Paramètres!$A$1:$I$89,5,0)</f>
        <v>82.679999999999993</v>
      </c>
      <c r="GW38" s="14">
        <f t="shared" si="51"/>
        <v>22.791196124055514</v>
      </c>
      <c r="GX38" s="22">
        <f t="shared" si="28"/>
        <v>183.69566658273001</v>
      </c>
      <c r="GY38" s="62">
        <f t="shared" si="29"/>
        <v>477.0289999160633</v>
      </c>
      <c r="GZ38" s="62">
        <f ca="1">AVERAGE(OFFSET($GY$3,0,0,'Données projet'!$E$18+1,1))-AVERAGE(OFFSET($H$3,0,0,'Données projet'!$E$18+1,1))</f>
        <v>99.222094917553648</v>
      </c>
      <c r="HA38" s="62">
        <f t="shared" si="52"/>
        <v>98.371477396766352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0.45746086177965262</v>
      </c>
      <c r="HJ38" s="24">
        <f t="shared" si="30"/>
        <v>0.45746086177965262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299.57142857142856</v>
      </c>
      <c r="O39" s="14">
        <f>N39*VLOOKUP('Données projet'!$B$9,Paramètres!$A$1:$I$89,3,0)*VLOOKUP('Données projet'!$B$9,Paramètres!$A$1:$I$89,5,0)</f>
        <v>140.19942857142857</v>
      </c>
      <c r="P39" s="14">
        <f t="shared" si="33"/>
        <v>36.342687994625102</v>
      </c>
      <c r="Q39" s="22">
        <f t="shared" si="53"/>
        <v>307.47751968587681</v>
      </c>
      <c r="R39" s="62">
        <f t="shared" si="0"/>
        <v>600.81085301921007</v>
      </c>
      <c r="S39" s="62">
        <f ca="1">AVERAGE(OFFSET($R$3,0,0,'Données projet'!$E$9+1,1))-AVERAGE(OFFSET($H$3,0,0,'Données projet'!$E$9+1,1))</f>
        <v>181.48161394994878</v>
      </c>
      <c r="T39" s="62">
        <f t="shared" si="34"/>
        <v>141.1874974464024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583.29670806273748</v>
      </c>
      <c r="AN39" s="62">
        <f ca="1">AVERAGE(OFFSET($AM$3,0,0,'Données projet'!$E$10+1,1))-AVERAGE(OFFSET($H$3,0,0,'Données projet'!$E$10+1,1))</f>
        <v>340.81036749486179</v>
      </c>
      <c r="AO39" s="62">
        <f t="shared" si="36"/>
        <v>208.88199836488013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257.96727373333601</v>
      </c>
      <c r="BJ39" s="62">
        <f t="shared" si="38"/>
        <v>194.52809733694494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5.1183551648511765</v>
      </c>
      <c r="BR39" s="23">
        <f>EXP(-LN(2)/2)*BR38+(1-EXP(-LN(2)/2))/(LN(2)/2)*BL39*BO39*VLOOKUP('Données projet'!$B$11,Paramètres!$A$1:$I$89,3,0)*0.475*44/12</f>
        <v>1.7777620710431146</v>
      </c>
      <c r="BS39" s="24">
        <f t="shared" si="9"/>
        <v>6.896117235894291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117.80496000000004</v>
      </c>
      <c r="CA39" s="14">
        <f t="shared" si="39"/>
        <v>31.162493487829593</v>
      </c>
      <c r="CB39" s="22">
        <f t="shared" si="10"/>
        <v>259.45164815796994</v>
      </c>
      <c r="CC39" s="62">
        <f t="shared" si="11"/>
        <v>552.78498149130326</v>
      </c>
      <c r="CD39" s="62">
        <f ca="1">AVERAGE(OFFSET($CC$3,0,0,'Données projet'!$E$12+1,1))-AVERAGE(OFFSET($H$3,0,0,'Données projet'!$E$12+1,1))</f>
        <v>292.83612296867898</v>
      </c>
      <c r="CE39" s="62">
        <f t="shared" si="40"/>
        <v>180.48047802041276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3.5361715779245277</v>
      </c>
      <c r="CN39" s="24">
        <f t="shared" si="12"/>
        <v>3.5361715779245277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81.31031999999999</v>
      </c>
      <c r="CV39" s="14">
        <f t="shared" si="41"/>
        <v>22.457260621365378</v>
      </c>
      <c r="CW39" s="22">
        <f t="shared" si="13"/>
        <v>180.72853624887799</v>
      </c>
      <c r="CX39" s="62">
        <f t="shared" si="14"/>
        <v>474.06186958221133</v>
      </c>
      <c r="CY39" s="62">
        <f ca="1">AVERAGE(OFFSET($CX$3,0,0,'Données projet'!$E$13+1,1))-AVERAGE(OFFSET($H$3,0,0,'Données projet'!$E$13+1,1))</f>
        <v>192.93829651668403</v>
      </c>
      <c r="CZ39" s="62">
        <f t="shared" si="42"/>
        <v>76.592736352376903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5.4</v>
      </c>
      <c r="DO39" s="13">
        <f>IF('Données projet'!$A$166&gt;35,DO38+DN39-DW38,IF(A39&lt;'Données projet'!$A$166,$DL$205^A39,IF(A39='Données projet'!$A$166,'Données projet'!$B$166,DO38+DN39-DW38)))</f>
        <v>71.399999999999991</v>
      </c>
      <c r="DP39" s="18">
        <f>DO39*VLOOKUP('Données projet'!$B$14,Paramètres!$A$1:$I$89,3,0)*VLOOKUP('Données projet'!$B$14,Paramètres!$A$1:$I$89,5,0)</f>
        <v>47.895119999999991</v>
      </c>
      <c r="DQ39" s="14">
        <f t="shared" si="43"/>
        <v>14.068812032564205</v>
      </c>
      <c r="DR39" s="22">
        <f t="shared" si="16"/>
        <v>107.92051495671598</v>
      </c>
      <c r="DS39" s="62">
        <f t="shared" si="17"/>
        <v>401.25384829004929</v>
      </c>
      <c r="DT39" s="62">
        <f ca="1">AVERAGE(OFFSET($DS$3,0,0,'Données projet'!$E$14+1,1))-AVERAGE(OFFSET($H$3,0,0,'Données projet'!$E$14+1,1))</f>
        <v>66.964554307546564</v>
      </c>
      <c r="DU39" s="62">
        <f t="shared" si="44"/>
        <v>21.162700178818568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5.4</v>
      </c>
      <c r="EJ39" s="13">
        <f>IF('Données projet'!$A$192&gt;35,EJ38+EI39-ER38,IF(A39&lt;'Données projet'!$A$192,$EG$205^A39,IF(A39='Données projet'!$A$192,'Données projet'!$B$192,EJ38+EI39-ER38)))</f>
        <v>71.399999999999991</v>
      </c>
      <c r="EK39" s="18">
        <f>EJ39*VLOOKUP('Données projet'!$B$15,Paramètres!$A$1:$I$89,3,0)*VLOOKUP('Données projet'!$B$15,Paramètres!$A$1:$I$89,5,0)</f>
        <v>69.05807999999999</v>
      </c>
      <c r="EL39" s="14">
        <f t="shared" si="45"/>
        <v>19.439361528467131</v>
      </c>
      <c r="EM39" s="22">
        <f t="shared" si="19"/>
        <v>154.13304399541357</v>
      </c>
      <c r="EN39" s="62">
        <f t="shared" si="20"/>
        <v>447.46637732874689</v>
      </c>
      <c r="EO39" s="62">
        <f ca="1">AVERAGE(OFFSET($EN$3,0,0,'Données projet'!$E$15+1,1))-AVERAGE(OFFSET($H$3,0,0,'Données projet'!$E$15+1,1))</f>
        <v>146.90952320473599</v>
      </c>
      <c r="EP39" s="62">
        <f t="shared" si="46"/>
        <v>56.347130462109817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5.4</v>
      </c>
      <c r="FE39" s="13">
        <f>IF('Données projet'!$A$218&gt;35,FE38+FD39-FM38,IF(A39&lt;'Données projet'!$A$218,$FB$205^A39,IF(A39='Données projet'!$A$218,'Données projet'!$B$218,FE38+FD39-FM38)))</f>
        <v>71.399999999999991</v>
      </c>
      <c r="FF39" s="18">
        <f>FE39*VLOOKUP('Données projet'!$B$16,Paramètres!$A$1:$I$89,3,0)*VLOOKUP('Données projet'!$B$16,Paramètres!$A$1:$I$89,5,0)</f>
        <v>76.854959999999991</v>
      </c>
      <c r="FG39" s="14">
        <f t="shared" si="47"/>
        <v>21.366419773799993</v>
      </c>
      <c r="FH39" s="22">
        <f t="shared" si="22"/>
        <v>171.06890310603498</v>
      </c>
      <c r="FI39" s="62">
        <f t="shared" si="23"/>
        <v>464.40223643936827</v>
      </c>
      <c r="FJ39" s="62">
        <f ca="1">AVERAGE(OFFSET($FI$3,0,0,'Données projet'!$E$16+1,1))-AVERAGE(OFFSET($H$3,0,0,'Données projet'!$E$16+1,1))</f>
        <v>176.21892815766847</v>
      </c>
      <c r="FK39" s="62">
        <f t="shared" si="48"/>
        <v>69.239647548491234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5.8</v>
      </c>
      <c r="FZ39" s="13">
        <f>IF('Données projet'!$A$244&gt;35,FZ38+FY39-GH38,IF(A39&lt;'Données projet'!$A$244,$FW$205^A39,IF(A39='Données projet'!$A$244,'Données projet'!$B$244,FZ38+FY39-GH38)))</f>
        <v>86.799999999999969</v>
      </c>
      <c r="GA39" s="18">
        <f>FZ39*VLOOKUP('Données projet'!$B$17,Paramètres!$A$1:$I$89,3,0)*VLOOKUP('Données projet'!$B$17,Paramètres!$A$1:$I$89,5,0)</f>
        <v>69.058079999999975</v>
      </c>
      <c r="GB39" s="14">
        <f t="shared" si="49"/>
        <v>19.439361528467131</v>
      </c>
      <c r="GC39" s="22">
        <f t="shared" si="25"/>
        <v>154.13304399541354</v>
      </c>
      <c r="GD39" s="62">
        <f t="shared" si="26"/>
        <v>447.46637732874683</v>
      </c>
      <c r="GE39" s="62">
        <f ca="1">AVERAGE(OFFSET($GD$3,0,0,'Données projet'!$E$17+1,1))-AVERAGE(OFFSET($H$3,0,0,'Données projet'!$E$17+1,1))</f>
        <v>70.834027458412379</v>
      </c>
      <c r="GF39" s="62">
        <f t="shared" si="50"/>
        <v>74.346987922112362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1.5546961247771631</v>
      </c>
      <c r="GO39" s="23">
        <f t="shared" si="27"/>
        <v>1.5546961247771631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7.5</v>
      </c>
      <c r="GU39" s="13">
        <f>IF('Données projet'!$A$270&gt;35,GU38+GT39-HC38,IF(A39&lt;'Données projet'!$A$270,$GR$205^A39,IF(A39='Données projet'!$A$270,'Données projet'!$B$270,GU38+GT39-HC38)))</f>
        <v>113.49999999999999</v>
      </c>
      <c r="GV39" s="18">
        <f>GU39*VLOOKUP('Données projet'!$B$18,Paramètres!$A$1:$I$89,3,0)*VLOOKUP('Données projet'!$B$18,Paramètres!$A$1:$I$89,5,0)</f>
        <v>88.529999999999987</v>
      </c>
      <c r="GW39" s="14">
        <f t="shared" si="51"/>
        <v>24.210357310223298</v>
      </c>
      <c r="GX39" s="22">
        <f t="shared" si="28"/>
        <v>196.35612231530556</v>
      </c>
      <c r="GY39" s="62">
        <f t="shared" si="29"/>
        <v>489.68945564863884</v>
      </c>
      <c r="GZ39" s="62">
        <f ca="1">AVERAGE(OFFSET($GY$3,0,0,'Données projet'!$E$18+1,1))-AVERAGE(OFFSET($H$3,0,0,'Données projet'!$E$18+1,1))</f>
        <v>99.222094917553648</v>
      </c>
      <c r="HA39" s="62">
        <f t="shared" si="52"/>
        <v>98.371477396766352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0.32347367749183431</v>
      </c>
      <c r="HJ39" s="24">
        <f t="shared" si="30"/>
        <v>0.32347367749183431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319.14285714285711</v>
      </c>
      <c r="O40" s="14">
        <f>N40*VLOOKUP('Données projet'!$B$9,Paramètres!$A$1:$I$89,3,0)*VLOOKUP('Données projet'!$B$9,Paramètres!$A$1:$I$89,5,0)</f>
        <v>149.35885714285715</v>
      </c>
      <c r="P40" s="14">
        <f t="shared" si="33"/>
        <v>38.432847302798578</v>
      </c>
      <c r="Q40" s="22">
        <f t="shared" si="53"/>
        <v>327.07055190951706</v>
      </c>
      <c r="R40" s="62">
        <f t="shared" si="0"/>
        <v>620.40388524285038</v>
      </c>
      <c r="S40" s="62">
        <f ca="1">AVERAGE(OFFSET($R$3,0,0,'Données projet'!$E$9+1,1))-AVERAGE(OFFSET($H$3,0,0,'Données projet'!$E$9+1,1))</f>
        <v>181.48161394994878</v>
      </c>
      <c r="T40" s="62">
        <f t="shared" si="34"/>
        <v>141.1874974464024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143.37960000000004</v>
      </c>
      <c r="AK40" s="14">
        <f t="shared" si="35"/>
        <v>37.070146308317469</v>
      </c>
      <c r="AL40" s="22">
        <f t="shared" si="4"/>
        <v>314.28330815365302</v>
      </c>
      <c r="AM40" s="62">
        <f t="shared" si="5"/>
        <v>607.61664148698628</v>
      </c>
      <c r="AN40" s="62">
        <f ca="1">AVERAGE(OFFSET($AM$3,0,0,'Données projet'!$E$10+1,1))-AVERAGE(OFFSET($H$3,0,0,'Données projet'!$E$10+1,1))</f>
        <v>340.81036749486179</v>
      </c>
      <c r="AO40" s="62">
        <f t="shared" si="36"/>
        <v>208.88199836488013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257.96727373333601</v>
      </c>
      <c r="BJ40" s="62">
        <f t="shared" si="38"/>
        <v>194.52809733694494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4.9783934737057214</v>
      </c>
      <c r="BR40" s="23">
        <f>EXP(-LN(2)/2)*BR39+(1-EXP(-LN(2)/2))/(LN(2)/2)*BL40*BO40*VLOOKUP('Données projet'!$B$11,Paramètres!$A$1:$I$89,3,0)*0.475*44/12</f>
        <v>1.2570676157708272</v>
      </c>
      <c r="BS40" s="24">
        <f t="shared" si="9"/>
        <v>6.2354610894765488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127.93872000000003</v>
      </c>
      <c r="CA40" s="14">
        <f t="shared" si="39"/>
        <v>33.519615889545641</v>
      </c>
      <c r="CB40" s="22">
        <f t="shared" si="10"/>
        <v>281.20660167429202</v>
      </c>
      <c r="CC40" s="62">
        <f t="shared" si="11"/>
        <v>574.53993500762533</v>
      </c>
      <c r="CD40" s="62">
        <f ca="1">AVERAGE(OFFSET($CC$3,0,0,'Données projet'!$E$12+1,1))-AVERAGE(OFFSET($H$3,0,0,'Données projet'!$E$12+1,1))</f>
        <v>292.83612296867898</v>
      </c>
      <c r="CE40" s="62">
        <f t="shared" si="40"/>
        <v>180.48047802041276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2.5004509021895678</v>
      </c>
      <c r="CN40" s="24">
        <f t="shared" si="12"/>
        <v>2.5004509021895678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87.45984</v>
      </c>
      <c r="CV40" s="14">
        <f t="shared" si="41"/>
        <v>23.951582517613154</v>
      </c>
      <c r="CW40" s="22">
        <f t="shared" si="13"/>
        <v>194.04156088484288</v>
      </c>
      <c r="CX40" s="62">
        <f t="shared" si="14"/>
        <v>487.37489421817622</v>
      </c>
      <c r="CY40" s="62">
        <f ca="1">AVERAGE(OFFSET($CX$3,0,0,'Données projet'!$E$13+1,1))-AVERAGE(OFFSET($H$3,0,0,'Données projet'!$E$13+1,1))</f>
        <v>192.93829651668403</v>
      </c>
      <c r="CZ40" s="62">
        <f t="shared" si="42"/>
        <v>76.592736352376903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5.4</v>
      </c>
      <c r="DO40" s="13">
        <f>IF('Données projet'!$A$166&gt;35,DO39+DN40-DW39,IF(A40&lt;'Données projet'!$A$166,$DL$205^A40,IF(A40='Données projet'!$A$166,'Données projet'!$B$166,DO39+DN40-DW39)))</f>
        <v>76.8</v>
      </c>
      <c r="DP40" s="18">
        <f>DO40*VLOOKUP('Données projet'!$B$14,Paramètres!$A$1:$I$89,3,0)*VLOOKUP('Données projet'!$B$14,Paramètres!$A$1:$I$89,5,0)</f>
        <v>51.517440000000001</v>
      </c>
      <c r="DQ40" s="14">
        <f t="shared" si="43"/>
        <v>15.004960667471787</v>
      </c>
      <c r="DR40" s="22">
        <f t="shared" si="16"/>
        <v>115.85984782918003</v>
      </c>
      <c r="DS40" s="62">
        <f t="shared" si="17"/>
        <v>409.19318116251333</v>
      </c>
      <c r="DT40" s="62">
        <f ca="1">AVERAGE(OFFSET($DS$3,0,0,'Données projet'!$E$14+1,1))-AVERAGE(OFFSET($H$3,0,0,'Données projet'!$E$14+1,1))</f>
        <v>66.964554307546564</v>
      </c>
      <c r="DU40" s="62">
        <f t="shared" si="44"/>
        <v>21.162700178818568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5.4</v>
      </c>
      <c r="EJ40" s="13">
        <f>IF('Données projet'!$A$192&gt;35,EJ39+EI40-ER39,IF(A40&lt;'Données projet'!$A$192,$EG$205^A40,IF(A40='Données projet'!$A$192,'Données projet'!$B$192,EJ39+EI40-ER39)))</f>
        <v>76.8</v>
      </c>
      <c r="EK40" s="18">
        <f>EJ40*VLOOKUP('Données projet'!$B$15,Paramètres!$A$1:$I$89,3,0)*VLOOKUP('Données projet'!$B$15,Paramètres!$A$1:$I$89,5,0)</f>
        <v>74.280960000000007</v>
      </c>
      <c r="EL40" s="14">
        <f t="shared" si="45"/>
        <v>20.732870299230971</v>
      </c>
      <c r="EM40" s="22">
        <f t="shared" si="19"/>
        <v>165.48242110449394</v>
      </c>
      <c r="EN40" s="62">
        <f t="shared" si="20"/>
        <v>458.81575443782725</v>
      </c>
      <c r="EO40" s="62">
        <f ca="1">AVERAGE(OFFSET($EN$3,0,0,'Données projet'!$E$15+1,1))-AVERAGE(OFFSET($H$3,0,0,'Données projet'!$E$15+1,1))</f>
        <v>146.90952320473599</v>
      </c>
      <c r="EP40" s="62">
        <f t="shared" si="46"/>
        <v>56.347130462109817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5.4</v>
      </c>
      <c r="FE40" s="13">
        <f>IF('Données projet'!$A$218&gt;35,FE39+FD40-FM39,IF(A40&lt;'Données projet'!$A$218,$FB$205^A40,IF(A40='Données projet'!$A$218,'Données projet'!$B$218,FE39+FD40-FM39)))</f>
        <v>76.8</v>
      </c>
      <c r="FF40" s="18">
        <f>FE40*VLOOKUP('Données projet'!$B$16,Paramètres!$A$1:$I$89,3,0)*VLOOKUP('Données projet'!$B$16,Paramètres!$A$1:$I$89,5,0)</f>
        <v>82.667519999999996</v>
      </c>
      <c r="FG40" s="14">
        <f t="shared" si="47"/>
        <v>22.788156353818806</v>
      </c>
      <c r="FH40" s="22">
        <f t="shared" si="22"/>
        <v>183.6686363162344</v>
      </c>
      <c r="FI40" s="62">
        <f t="shared" si="23"/>
        <v>477.00196964956774</v>
      </c>
      <c r="FJ40" s="62">
        <f ca="1">AVERAGE(OFFSET($FI$3,0,0,'Données projet'!$E$16+1,1))-AVERAGE(OFFSET($H$3,0,0,'Données projet'!$E$16+1,1))</f>
        <v>176.21892815766847</v>
      </c>
      <c r="FK40" s="62">
        <f t="shared" si="48"/>
        <v>69.239647548491234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5.8</v>
      </c>
      <c r="FZ40" s="13">
        <f>IF('Données projet'!$A$244&gt;35,FZ39+FY40-GH39,IF(A40&lt;'Données projet'!$A$244,$FW$205^A40,IF(A40='Données projet'!$A$244,'Données projet'!$B$244,FZ39+FY40-GH39)))</f>
        <v>92.599999999999966</v>
      </c>
      <c r="GA40" s="18">
        <f>FZ40*VLOOKUP('Données projet'!$B$17,Paramètres!$A$1:$I$89,3,0)*VLOOKUP('Données projet'!$B$17,Paramètres!$A$1:$I$89,5,0)</f>
        <v>73.672559999999976</v>
      </c>
      <c r="GB40" s="14">
        <f t="shared" si="49"/>
        <v>20.582751720906458</v>
      </c>
      <c r="GC40" s="22">
        <f t="shared" si="25"/>
        <v>164.16133458057871</v>
      </c>
      <c r="GD40" s="62">
        <f t="shared" si="26"/>
        <v>457.49466791391205</v>
      </c>
      <c r="GE40" s="62">
        <f ca="1">AVERAGE(OFFSET($GD$3,0,0,'Données projet'!$E$17+1,1))-AVERAGE(OFFSET($H$3,0,0,'Données projet'!$E$17+1,1))</f>
        <v>70.834027458412379</v>
      </c>
      <c r="GF40" s="62">
        <f t="shared" si="50"/>
        <v>74.346987922112362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1.0993361725143789</v>
      </c>
      <c r="GO40" s="23">
        <f t="shared" si="27"/>
        <v>1.0993361725143789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>
        <f>VLOOKUP(A40,'Données projet'!$A$269:$I$289,2,0)</f>
        <v>121</v>
      </c>
      <c r="GS40" s="13">
        <f>VLOOKUP(A40,'Données projet'!$A$269:$I$289,9,0)</f>
        <v>7.5</v>
      </c>
      <c r="GT40" s="13">
        <f t="array" ref="GT40">INDEX(GS:GS,MIN(IF(ISNUMBER(GS40:GS236),ROW(GS40:GS236),"")))</f>
        <v>7.5</v>
      </c>
      <c r="GU40" s="13">
        <f>IF('Données projet'!$A$270&gt;35,GU39+GT40-HC39,IF(A40&lt;'Données projet'!$A$270,$GR$205^A40,IF(A40='Données projet'!$A$270,'Données projet'!$B$270,GU39+GT40-HC39)))</f>
        <v>120.99999999999999</v>
      </c>
      <c r="GV40" s="18">
        <f>GU40*VLOOKUP('Données projet'!$B$18,Paramètres!$A$1:$I$89,3,0)*VLOOKUP('Données projet'!$B$18,Paramètres!$A$1:$I$89,5,0)</f>
        <v>94.38</v>
      </c>
      <c r="GW40" s="14">
        <f t="shared" si="51"/>
        <v>25.618636348883211</v>
      </c>
      <c r="GX40" s="22">
        <f t="shared" si="28"/>
        <v>208.99762497430493</v>
      </c>
      <c r="GY40" s="62">
        <f t="shared" si="29"/>
        <v>502.33095830763824</v>
      </c>
      <c r="GZ40" s="62">
        <f ca="1">AVERAGE(OFFSET($GY$3,0,0,'Données projet'!$E$18+1,1))-AVERAGE(OFFSET($H$3,0,0,'Données projet'!$E$18+1,1))</f>
        <v>99.222094917553648</v>
      </c>
      <c r="HA40" s="62">
        <f t="shared" si="52"/>
        <v>98.371477396766352</v>
      </c>
      <c r="HB40" s="16">
        <f>IF(ISNA(VLOOKUP(A40,'Données projet'!$A$269:$I$289,3,0)),0,VLOOKUP(A40,'Données projet'!$A$269:$I$289,3,0))</f>
        <v>5</v>
      </c>
      <c r="HC40" s="16">
        <f>IF(ISNA(VLOOKUP(A40,'Données projet'!$A$269:$I$289,4,0)),0,VLOOKUP(A40,'Données projet'!$A$269:$I$289,4,0))</f>
        <v>23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0.22873043088982634</v>
      </c>
      <c r="HJ40" s="24">
        <f t="shared" si="30"/>
        <v>0.22873043088982634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338.71428571428567</v>
      </c>
      <c r="O41" s="14">
        <f>N41*VLOOKUP('Données projet'!$B$9,Paramètres!$A$1:$I$89,3,0)*VLOOKUP('Données projet'!$B$9,Paramètres!$A$1:$I$89,5,0)</f>
        <v>158.5182857142857</v>
      </c>
      <c r="P41" s="14">
        <f t="shared" si="33"/>
        <v>40.508129862224799</v>
      </c>
      <c r="Q41" s="22">
        <f t="shared" si="53"/>
        <v>346.63767379575575</v>
      </c>
      <c r="R41" s="62">
        <f t="shared" si="0"/>
        <v>639.971007129089</v>
      </c>
      <c r="S41" s="62">
        <f ca="1">AVERAGE(OFFSET($R$3,0,0,'Données projet'!$E$9+1,1))-AVERAGE(OFFSET($H$3,0,0,'Données projet'!$E$9+1,1))</f>
        <v>181.48161394994878</v>
      </c>
      <c r="T41" s="62">
        <f t="shared" si="34"/>
        <v>141.1874974464024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154.73640000000003</v>
      </c>
      <c r="AK41" s="14">
        <f t="shared" si="35"/>
        <v>39.652994320183701</v>
      </c>
      <c r="AL41" s="22">
        <f t="shared" si="4"/>
        <v>338.56152844098665</v>
      </c>
      <c r="AM41" s="62">
        <f t="shared" si="5"/>
        <v>631.89486177431991</v>
      </c>
      <c r="AN41" s="62">
        <f ca="1">AVERAGE(OFFSET($AM$3,0,0,'Données projet'!$E$10+1,1))-AVERAGE(OFFSET($H$3,0,0,'Données projet'!$E$10+1,1))</f>
        <v>340.81036749486179</v>
      </c>
      <c r="AO41" s="62">
        <f t="shared" si="36"/>
        <v>208.88199836488013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257.96727373333601</v>
      </c>
      <c r="BJ41" s="62">
        <f t="shared" si="38"/>
        <v>194.52809733694494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4.8422590423649039</v>
      </c>
      <c r="BR41" s="23">
        <f>EXP(-LN(2)/2)*BR40+(1-EXP(-LN(2)/2))/(LN(2)/2)*BL41*BO41*VLOOKUP('Données projet'!$B$11,Paramètres!$A$1:$I$89,3,0)*0.475*44/12</f>
        <v>0.88888103552155728</v>
      </c>
      <c r="BS41" s="24">
        <f t="shared" si="9"/>
        <v>5.7311400778864616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138.07248000000001</v>
      </c>
      <c r="CA41" s="14">
        <f t="shared" si="39"/>
        <v>35.85508207677799</v>
      </c>
      <c r="CB41" s="22">
        <f t="shared" si="10"/>
        <v>302.9238372837217</v>
      </c>
      <c r="CC41" s="62">
        <f t="shared" si="11"/>
        <v>596.25717061705495</v>
      </c>
      <c r="CD41" s="62">
        <f ca="1">AVERAGE(OFFSET($CC$3,0,0,'Données projet'!$E$12+1,1))-AVERAGE(OFFSET($H$3,0,0,'Données projet'!$E$12+1,1))</f>
        <v>292.83612296867898</v>
      </c>
      <c r="CE41" s="62">
        <f t="shared" si="40"/>
        <v>180.48047802041276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1.7680857889622641</v>
      </c>
      <c r="CN41" s="24">
        <f t="shared" si="12"/>
        <v>1.7680857889622641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93.609360000000009</v>
      </c>
      <c r="CV41" s="14">
        <f t="shared" si="41"/>
        <v>25.433713635877286</v>
      </c>
      <c r="CW41" s="22">
        <f t="shared" si="13"/>
        <v>207.33335324915291</v>
      </c>
      <c r="CX41" s="62">
        <f t="shared" si="14"/>
        <v>500.66668658248625</v>
      </c>
      <c r="CY41" s="62">
        <f ca="1">AVERAGE(OFFSET($CX$3,0,0,'Données projet'!$E$13+1,1))-AVERAGE(OFFSET($H$3,0,0,'Données projet'!$E$13+1,1))</f>
        <v>192.93829651668403</v>
      </c>
      <c r="CZ41" s="62">
        <f t="shared" si="42"/>
        <v>76.592736352376903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5.4</v>
      </c>
      <c r="DO41" s="13">
        <f>IF('Données projet'!$A$166&gt;35,DO40+DN41-DW40,IF(A41&lt;'Données projet'!$A$166,$DL$205^A41,IF(A41='Données projet'!$A$166,'Données projet'!$B$166,DO40+DN41-DW40)))</f>
        <v>82.2</v>
      </c>
      <c r="DP41" s="18">
        <f>DO41*VLOOKUP('Données projet'!$B$14,Paramètres!$A$1:$I$89,3,0)*VLOOKUP('Données projet'!$B$14,Paramètres!$A$1:$I$89,5,0)</f>
        <v>55.13976000000001</v>
      </c>
      <c r="DQ41" s="14">
        <f t="shared" si="43"/>
        <v>15.933472139197503</v>
      </c>
      <c r="DR41" s="22">
        <f t="shared" si="16"/>
        <v>123.78587930910233</v>
      </c>
      <c r="DS41" s="62">
        <f t="shared" si="17"/>
        <v>417.11921264243563</v>
      </c>
      <c r="DT41" s="62">
        <f ca="1">AVERAGE(OFFSET($DS$3,0,0,'Données projet'!$E$14+1,1))-AVERAGE(OFFSET($H$3,0,0,'Données projet'!$E$14+1,1))</f>
        <v>66.964554307546564</v>
      </c>
      <c r="DU41" s="62">
        <f t="shared" si="44"/>
        <v>21.162700178818568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5.4</v>
      </c>
      <c r="EJ41" s="13">
        <f>IF('Données projet'!$A$192&gt;35,EJ40+EI41-ER40,IF(A41&lt;'Données projet'!$A$192,$EG$205^A41,IF(A41='Données projet'!$A$192,'Données projet'!$B$192,EJ40+EI41-ER40)))</f>
        <v>82.2</v>
      </c>
      <c r="EK41" s="18">
        <f>EJ41*VLOOKUP('Données projet'!$B$15,Paramètres!$A$1:$I$89,3,0)*VLOOKUP('Données projet'!$B$15,Paramètres!$A$1:$I$89,5,0)</f>
        <v>79.503839999999997</v>
      </c>
      <c r="EL41" s="14">
        <f t="shared" si="45"/>
        <v>22.015826538921051</v>
      </c>
      <c r="EM41" s="22">
        <f t="shared" si="19"/>
        <v>176.81341922195415</v>
      </c>
      <c r="EN41" s="62">
        <f t="shared" si="20"/>
        <v>470.14675255528743</v>
      </c>
      <c r="EO41" s="62">
        <f ca="1">AVERAGE(OFFSET($EN$3,0,0,'Données projet'!$E$15+1,1))-AVERAGE(OFFSET($H$3,0,0,'Données projet'!$E$15+1,1))</f>
        <v>146.90952320473599</v>
      </c>
      <c r="EP41" s="62">
        <f t="shared" si="46"/>
        <v>56.347130462109817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5.4</v>
      </c>
      <c r="FE41" s="13">
        <f>IF('Données projet'!$A$218&gt;35,FE40+FD41-FM40,IF(A41&lt;'Données projet'!$A$218,$FB$205^A41,IF(A41='Données projet'!$A$218,'Données projet'!$B$218,FE40+FD41-FM40)))</f>
        <v>82.2</v>
      </c>
      <c r="FF41" s="18">
        <f>FE41*VLOOKUP('Données projet'!$B$16,Paramètres!$A$1:$I$89,3,0)*VLOOKUP('Données projet'!$B$16,Paramètres!$A$1:$I$89,5,0)</f>
        <v>88.480080000000001</v>
      </c>
      <c r="FG41" s="14">
        <f t="shared" si="47"/>
        <v>24.1982943117189</v>
      </c>
      <c r="FH41" s="22">
        <f t="shared" si="22"/>
        <v>196.24816859291039</v>
      </c>
      <c r="FI41" s="62">
        <f t="shared" si="23"/>
        <v>489.58150192624373</v>
      </c>
      <c r="FJ41" s="62">
        <f ca="1">AVERAGE(OFFSET($FI$3,0,0,'Données projet'!$E$16+1,1))-AVERAGE(OFFSET($H$3,0,0,'Données projet'!$E$16+1,1))</f>
        <v>176.21892815766847</v>
      </c>
      <c r="FK41" s="62">
        <f t="shared" si="48"/>
        <v>69.239647548491234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5.8</v>
      </c>
      <c r="FZ41" s="13">
        <f>IF('Données projet'!$A$244&gt;35,FZ40+FY41-GH40,IF(A41&lt;'Données projet'!$A$244,$FW$205^A41,IF(A41='Données projet'!$A$244,'Données projet'!$B$244,FZ40+FY41-GH40)))</f>
        <v>98.399999999999963</v>
      </c>
      <c r="GA41" s="18">
        <f>FZ41*VLOOKUP('Données projet'!$B$17,Paramètres!$A$1:$I$89,3,0)*VLOOKUP('Données projet'!$B$17,Paramètres!$A$1:$I$89,5,0)</f>
        <v>78.287039999999976</v>
      </c>
      <c r="GB41" s="14">
        <f t="shared" si="49"/>
        <v>21.717830362968904</v>
      </c>
      <c r="GC41" s="22">
        <f t="shared" si="25"/>
        <v>174.17514921550412</v>
      </c>
      <c r="GD41" s="62">
        <f t="shared" si="26"/>
        <v>467.50848254883743</v>
      </c>
      <c r="GE41" s="62">
        <f ca="1">AVERAGE(OFFSET($GD$3,0,0,'Données projet'!$E$17+1,1))-AVERAGE(OFFSET($H$3,0,0,'Données projet'!$E$17+1,1))</f>
        <v>70.834027458412379</v>
      </c>
      <c r="GF41" s="62">
        <f t="shared" si="50"/>
        <v>74.346987922112362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0.77734806238858156</v>
      </c>
      <c r="GO41" s="23">
        <f t="shared" si="27"/>
        <v>0.77734806238858156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</v>
      </c>
      <c r="GU41" s="13">
        <f>IF('Données projet'!$A$270&gt;35,GU40+GT41-HC40,IF(A41&lt;'Données projet'!$A$270,$GR$205^A41,IF(A41='Données projet'!$A$270,'Données projet'!$B$270,GU40+GT41-HC40)))</f>
        <v>104.99999999999999</v>
      </c>
      <c r="GV41" s="18">
        <f>GU41*VLOOKUP('Données projet'!$B$18,Paramètres!$A$1:$I$89,3,0)*VLOOKUP('Données projet'!$B$18,Paramètres!$A$1:$I$89,5,0)</f>
        <v>81.899999999999991</v>
      </c>
      <c r="GW41" s="14">
        <f t="shared" si="51"/>
        <v>22.601107473346342</v>
      </c>
      <c r="GX41" s="22">
        <f t="shared" si="28"/>
        <v>182.0060955160782</v>
      </c>
      <c r="GY41" s="62">
        <f t="shared" si="29"/>
        <v>475.33942884941155</v>
      </c>
      <c r="GZ41" s="62">
        <f ca="1">AVERAGE(OFFSET($GY$3,0,0,'Données projet'!$E$18+1,1))-AVERAGE(OFFSET($H$3,0,0,'Données projet'!$E$18+1,1))</f>
        <v>99.222094917553648</v>
      </c>
      <c r="HA41" s="62">
        <f t="shared" si="52"/>
        <v>98.371477396766352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0.16173683874591718</v>
      </c>
      <c r="HJ41" s="24">
        <f t="shared" si="30"/>
        <v>0.16173683874591718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358.28571428571422</v>
      </c>
      <c r="O42" s="14">
        <f>N42*VLOOKUP('Données projet'!$B$9,Paramètres!$A$1:$I$89,3,0)*VLOOKUP('Données projet'!$B$9,Paramètres!$A$1:$I$89,5,0)</f>
        <v>167.67771428571425</v>
      </c>
      <c r="P42" s="14">
        <f t="shared" si="33"/>
        <v>42.569493207492975</v>
      </c>
      <c r="Q42" s="22">
        <f t="shared" si="53"/>
        <v>366.18055305066923</v>
      </c>
      <c r="R42" s="62">
        <f t="shared" si="0"/>
        <v>659.51388638400249</v>
      </c>
      <c r="S42" s="62">
        <f ca="1">AVERAGE(OFFSET($R$3,0,0,'Données projet'!$E$9+1,1))-AVERAGE(OFFSET($H$3,0,0,'Données projet'!$E$9+1,1))</f>
        <v>181.48161394994878</v>
      </c>
      <c r="T42" s="62">
        <f t="shared" si="34"/>
        <v>141.1874974464024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166.09320000000002</v>
      </c>
      <c r="AK42" s="14">
        <f t="shared" si="35"/>
        <v>42.213849908165905</v>
      </c>
      <c r="AL42" s="22">
        <f t="shared" si="4"/>
        <v>362.80144525672227</v>
      </c>
      <c r="AM42" s="62">
        <f t="shared" si="5"/>
        <v>656.13477859005559</v>
      </c>
      <c r="AN42" s="62">
        <f ca="1">AVERAGE(OFFSET($AM$3,0,0,'Données projet'!$E$10+1,1))-AVERAGE(OFFSET($H$3,0,0,'Données projet'!$E$10+1,1))</f>
        <v>340.81036749486179</v>
      </c>
      <c r="AO42" s="62">
        <f t="shared" si="36"/>
        <v>208.88199836488013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257.96727373333601</v>
      </c>
      <c r="BJ42" s="62">
        <f t="shared" si="38"/>
        <v>194.52809733694494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4.7098472142081</v>
      </c>
      <c r="BR42" s="23">
        <f>EXP(-LN(2)/2)*BR41+(1-EXP(-LN(2)/2))/(LN(2)/2)*BL42*BO42*VLOOKUP('Données projet'!$B$11,Paramètres!$A$1:$I$89,3,0)*0.475*44/12</f>
        <v>0.62853380788541358</v>
      </c>
      <c r="BS42" s="24">
        <f t="shared" si="9"/>
        <v>5.3383810220935137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148.20624000000001</v>
      </c>
      <c r="CA42" s="14">
        <f t="shared" si="39"/>
        <v>38.170662245893794</v>
      </c>
      <c r="CB42" s="22">
        <f t="shared" si="10"/>
        <v>324.60643807826506</v>
      </c>
      <c r="CC42" s="62">
        <f t="shared" si="11"/>
        <v>617.93977141159837</v>
      </c>
      <c r="CD42" s="62">
        <f ca="1">AVERAGE(OFFSET($CC$3,0,0,'Données projet'!$E$12+1,1))-AVERAGE(OFFSET($H$3,0,0,'Données projet'!$E$12+1,1))</f>
        <v>292.83612296867898</v>
      </c>
      <c r="CE42" s="62">
        <f t="shared" si="40"/>
        <v>180.48047802041276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1.2502254510947841</v>
      </c>
      <c r="CN42" s="24">
        <f t="shared" si="12"/>
        <v>1.2502254510947841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99.758880000000019</v>
      </c>
      <c r="CV42" s="14">
        <f t="shared" si="41"/>
        <v>26.90454596491789</v>
      </c>
      <c r="CW42" s="22">
        <f t="shared" si="13"/>
        <v>220.60546688889869</v>
      </c>
      <c r="CX42" s="62">
        <f t="shared" si="14"/>
        <v>513.93880022223198</v>
      </c>
      <c r="CY42" s="62">
        <f ca="1">AVERAGE(OFFSET($CX$3,0,0,'Données projet'!$E$13+1,1))-AVERAGE(OFFSET($H$3,0,0,'Données projet'!$E$13+1,1))</f>
        <v>192.93829651668403</v>
      </c>
      <c r="CZ42" s="62">
        <f t="shared" si="42"/>
        <v>76.592736352376903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5.4</v>
      </c>
      <c r="DO42" s="13">
        <f>IF('Données projet'!$A$166&gt;35,DO41+DN42-DW41,IF(A42&lt;'Données projet'!$A$166,$DL$205^A42,IF(A42='Données projet'!$A$166,'Données projet'!$B$166,DO41+DN42-DW41)))</f>
        <v>87.600000000000009</v>
      </c>
      <c r="DP42" s="18">
        <f>DO42*VLOOKUP('Données projet'!$B$14,Paramètres!$A$1:$I$89,3,0)*VLOOKUP('Données projet'!$B$14,Paramètres!$A$1:$I$89,5,0)</f>
        <v>58.762080000000012</v>
      </c>
      <c r="DQ42" s="14">
        <f t="shared" si="43"/>
        <v>16.854905252415438</v>
      </c>
      <c r="DR42" s="22">
        <f t="shared" si="16"/>
        <v>131.6995826479569</v>
      </c>
      <c r="DS42" s="62">
        <f t="shared" si="17"/>
        <v>425.03291598129022</v>
      </c>
      <c r="DT42" s="62">
        <f ca="1">AVERAGE(OFFSET($DS$3,0,0,'Données projet'!$E$14+1,1))-AVERAGE(OFFSET($H$3,0,0,'Données projet'!$E$14+1,1))</f>
        <v>66.964554307546564</v>
      </c>
      <c r="DU42" s="62">
        <f t="shared" si="44"/>
        <v>21.162700178818568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5.4</v>
      </c>
      <c r="EJ42" s="13">
        <f>IF('Données projet'!$A$192&gt;35,EJ41+EI42-ER41,IF(A42&lt;'Données projet'!$A$192,$EG$205^A42,IF(A42='Données projet'!$A$192,'Données projet'!$B$192,EJ41+EI42-ER41)))</f>
        <v>87.600000000000009</v>
      </c>
      <c r="EK42" s="18">
        <f>EJ42*VLOOKUP('Données projet'!$B$15,Paramètres!$A$1:$I$89,3,0)*VLOOKUP('Données projet'!$B$15,Paramètres!$A$1:$I$89,5,0)</f>
        <v>84.726720000000014</v>
      </c>
      <c r="EL42" s="14">
        <f t="shared" si="45"/>
        <v>23.289002367177517</v>
      </c>
      <c r="EM42" s="22">
        <f t="shared" si="19"/>
        <v>188.1273831228342</v>
      </c>
      <c r="EN42" s="62">
        <f t="shared" si="20"/>
        <v>481.46071645616752</v>
      </c>
      <c r="EO42" s="62">
        <f ca="1">AVERAGE(OFFSET($EN$3,0,0,'Données projet'!$E$15+1,1))-AVERAGE(OFFSET($H$3,0,0,'Données projet'!$E$15+1,1))</f>
        <v>146.90952320473599</v>
      </c>
      <c r="EP42" s="62">
        <f t="shared" si="46"/>
        <v>56.347130462109817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5.4</v>
      </c>
      <c r="FE42" s="13">
        <f>IF('Données projet'!$A$218&gt;35,FE41+FD42-FM41,IF(A42&lt;'Données projet'!$A$218,$FB$205^A42,IF(A42='Données projet'!$A$218,'Données projet'!$B$218,FE41+FD42-FM41)))</f>
        <v>87.600000000000009</v>
      </c>
      <c r="FF42" s="18">
        <f>FE42*VLOOKUP('Données projet'!$B$16,Paramètres!$A$1:$I$89,3,0)*VLOOKUP('Données projet'!$B$16,Paramètres!$A$1:$I$89,5,0)</f>
        <v>94.292640000000006</v>
      </c>
      <c r="FG42" s="14">
        <f t="shared" si="47"/>
        <v>25.597682308724192</v>
      </c>
      <c r="FH42" s="22">
        <f t="shared" si="22"/>
        <v>208.80897802102797</v>
      </c>
      <c r="FI42" s="62">
        <f t="shared" si="23"/>
        <v>502.14231135436125</v>
      </c>
      <c r="FJ42" s="62">
        <f ca="1">AVERAGE(OFFSET($FI$3,0,0,'Données projet'!$E$16+1,1))-AVERAGE(OFFSET($H$3,0,0,'Données projet'!$E$16+1,1))</f>
        <v>176.21892815766847</v>
      </c>
      <c r="FK42" s="62">
        <f t="shared" si="48"/>
        <v>69.239647548491234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5.8</v>
      </c>
      <c r="FZ42" s="13">
        <f>IF('Données projet'!$A$244&gt;35,FZ41+FY42-GH41,IF(A42&lt;'Données projet'!$A$244,$FW$205^A42,IF(A42='Données projet'!$A$244,'Données projet'!$B$244,FZ41+FY42-GH41)))</f>
        <v>104.19999999999996</v>
      </c>
      <c r="GA42" s="18">
        <f>FZ42*VLOOKUP('Données projet'!$B$17,Paramètres!$A$1:$I$89,3,0)*VLOOKUP('Données projet'!$B$17,Paramètres!$A$1:$I$89,5,0)</f>
        <v>82.901519999999977</v>
      </c>
      <c r="GB42" s="14">
        <f t="shared" si="49"/>
        <v>22.845143166728665</v>
      </c>
      <c r="GC42" s="22">
        <f t="shared" si="25"/>
        <v>184.17543834871904</v>
      </c>
      <c r="GD42" s="62">
        <f t="shared" si="26"/>
        <v>477.50877168205238</v>
      </c>
      <c r="GE42" s="62">
        <f ca="1">AVERAGE(OFFSET($GD$3,0,0,'Données projet'!$E$17+1,1))-AVERAGE(OFFSET($H$3,0,0,'Données projet'!$E$17+1,1))</f>
        <v>70.834027458412379</v>
      </c>
      <c r="GF42" s="62">
        <f t="shared" si="50"/>
        <v>74.346987922112362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0.54966808625718944</v>
      </c>
      <c r="GO42" s="23">
        <f t="shared" si="27"/>
        <v>0.54966808625718944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</v>
      </c>
      <c r="GU42" s="13">
        <f>IF('Données projet'!$A$270&gt;35,GU41+GT42-HC41,IF(A42&lt;'Données projet'!$A$270,$GR$205^A42,IF(A42='Données projet'!$A$270,'Données projet'!$B$270,GU41+GT42-HC41)))</f>
        <v>111.99999999999999</v>
      </c>
      <c r="GV42" s="18">
        <f>GU42*VLOOKUP('Données projet'!$B$18,Paramètres!$A$1:$I$89,3,0)*VLOOKUP('Données projet'!$B$18,Paramètres!$A$1:$I$89,5,0)</f>
        <v>87.359999999999985</v>
      </c>
      <c r="GW42" s="14">
        <f t="shared" si="51"/>
        <v>23.927421530185931</v>
      </c>
      <c r="GX42" s="22">
        <f t="shared" si="28"/>
        <v>193.82559249840713</v>
      </c>
      <c r="GY42" s="62">
        <f t="shared" si="29"/>
        <v>487.15892583174048</v>
      </c>
      <c r="GZ42" s="62">
        <f ca="1">AVERAGE(OFFSET($GY$3,0,0,'Données projet'!$E$18+1,1))-AVERAGE(OFFSET($H$3,0,0,'Données projet'!$E$18+1,1))</f>
        <v>99.222094917553648</v>
      </c>
      <c r="HA42" s="62">
        <f t="shared" si="52"/>
        <v>98.371477396766352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0.1143652154449132</v>
      </c>
      <c r="HJ42" s="24">
        <f t="shared" si="30"/>
        <v>0.1143652154449132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377.85714285714278</v>
      </c>
      <c r="O43" s="14">
        <f>N43*VLOOKUP('Données projet'!$B$9,Paramètres!$A$1:$I$89,3,0)*VLOOKUP('Données projet'!$B$9,Paramètres!$A$1:$I$89,5,0)</f>
        <v>176.83714285714279</v>
      </c>
      <c r="P43" s="14">
        <f t="shared" si="33"/>
        <v>44.617784353930041</v>
      </c>
      <c r="Q43" s="22">
        <f t="shared" si="53"/>
        <v>385.70066489261848</v>
      </c>
      <c r="R43" s="62">
        <f t="shared" si="0"/>
        <v>679.03399822595179</v>
      </c>
      <c r="S43" s="62">
        <f ca="1">AVERAGE(OFFSET($R$3,0,0,'Données projet'!$E$9+1,1))-AVERAGE(OFFSET($H$3,0,0,'Données projet'!$E$9+1,1))</f>
        <v>181.48161394994878</v>
      </c>
      <c r="T43" s="62">
        <f t="shared" si="34"/>
        <v>141.1874974464024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177.45000000000002</v>
      </c>
      <c r="AK43" s="14">
        <f t="shared" si="35"/>
        <v>44.754387900936791</v>
      </c>
      <c r="AL43" s="22">
        <f t="shared" si="4"/>
        <v>387.0059755941316</v>
      </c>
      <c r="AM43" s="62">
        <f t="shared" si="5"/>
        <v>680.33930892746491</v>
      </c>
      <c r="AN43" s="62">
        <f ca="1">AVERAGE(OFFSET($AM$3,0,0,'Données projet'!$E$10+1,1))-AVERAGE(OFFSET($H$3,0,0,'Données projet'!$E$10+1,1))</f>
        <v>340.81036749486179</v>
      </c>
      <c r="AO43" s="62">
        <f t="shared" si="36"/>
        <v>208.88199836488013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257.96727373333601</v>
      </c>
      <c r="BJ43" s="62">
        <f t="shared" si="38"/>
        <v>194.52809733694494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4.5810561944554786</v>
      </c>
      <c r="BR43" s="23">
        <f>EXP(-LN(2)/2)*BR42+(1-EXP(-LN(2)/2))/(LN(2)/2)*BL43*BO43*VLOOKUP('Données projet'!$B$11,Paramètres!$A$1:$I$89,3,0)*0.475*44/12</f>
        <v>0.44444051776077864</v>
      </c>
      <c r="BS43" s="24">
        <f t="shared" si="9"/>
        <v>5.025496712216257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158.34</v>
      </c>
      <c r="CA43" s="14">
        <f t="shared" si="39"/>
        <v>40.467870812652819</v>
      </c>
      <c r="CB43" s="22">
        <f t="shared" si="10"/>
        <v>346.25704166537031</v>
      </c>
      <c r="CC43" s="62">
        <f t="shared" si="11"/>
        <v>639.59037499870362</v>
      </c>
      <c r="CD43" s="62">
        <f ca="1">AVERAGE(OFFSET($CC$3,0,0,'Données projet'!$E$12+1,1))-AVERAGE(OFFSET($H$3,0,0,'Données projet'!$E$12+1,1))</f>
        <v>292.83612296867898</v>
      </c>
      <c r="CE43" s="62">
        <f t="shared" si="40"/>
        <v>180.48047802041276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0.88404289448113227</v>
      </c>
      <c r="CN43" s="24">
        <f t="shared" si="12"/>
        <v>0.88404289448113227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105.90840000000003</v>
      </c>
      <c r="CV43" s="14">
        <f t="shared" si="41"/>
        <v>28.36485530760914</v>
      </c>
      <c r="CW43" s="22">
        <f t="shared" si="13"/>
        <v>233.85925299408595</v>
      </c>
      <c r="CX43" s="62">
        <f t="shared" si="14"/>
        <v>527.19258632741924</v>
      </c>
      <c r="CY43" s="62">
        <f ca="1">AVERAGE(OFFSET($CX$3,0,0,'Données projet'!$E$13+1,1))-AVERAGE(OFFSET($H$3,0,0,'Données projet'!$E$13+1,1))</f>
        <v>192.93829651668403</v>
      </c>
      <c r="CZ43" s="62">
        <f t="shared" si="42"/>
        <v>76.592736352376903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14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93</v>
      </c>
      <c r="DM43" s="13">
        <f>VLOOKUP(A43,'Données projet'!$A$165:$I$185,9,0)</f>
        <v>5.4</v>
      </c>
      <c r="DN43" s="13">
        <f t="array" ref="DN43">INDEX(DM:DM,MIN(IF(ISNUMBER(DM43:DM239),ROW(DM43:DM239),"")))</f>
        <v>5.4</v>
      </c>
      <c r="DO43" s="13">
        <f>IF('Données projet'!$A$166&gt;35,DO42+DN43-DW42,IF(A43&lt;'Données projet'!$A$166,$DL$205^A43,IF(A43='Données projet'!$A$166,'Données projet'!$B$166,DO42+DN43-DW42)))</f>
        <v>93.000000000000014</v>
      </c>
      <c r="DP43" s="18">
        <f>DO43*VLOOKUP('Données projet'!$B$14,Paramètres!$A$1:$I$89,3,0)*VLOOKUP('Données projet'!$B$14,Paramètres!$A$1:$I$89,5,0)</f>
        <v>62.384400000000007</v>
      </c>
      <c r="DQ43" s="14">
        <f t="shared" si="43"/>
        <v>17.769746024765663</v>
      </c>
      <c r="DR43" s="22">
        <f t="shared" si="16"/>
        <v>139.60180432646686</v>
      </c>
      <c r="DS43" s="62">
        <f t="shared" si="17"/>
        <v>432.93513765980015</v>
      </c>
      <c r="DT43" s="62">
        <f ca="1">AVERAGE(OFFSET($DS$3,0,0,'Données projet'!$E$14+1,1))-AVERAGE(OFFSET($H$3,0,0,'Données projet'!$E$14+1,1))</f>
        <v>66.964554307546564</v>
      </c>
      <c r="DU43" s="62">
        <f t="shared" si="44"/>
        <v>21.162700178818568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14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93</v>
      </c>
      <c r="EH43" s="13">
        <f>VLOOKUP(A43,'Données projet'!$A$191:$I$211,9,0)</f>
        <v>5.4</v>
      </c>
      <c r="EI43" s="13">
        <f t="array" ref="EI43">INDEX(EH:EH,MIN(IF(ISNUMBER(EH43:EH239),ROW(EH43:EH239),"")))</f>
        <v>5.4</v>
      </c>
      <c r="EJ43" s="13">
        <f>IF('Données projet'!$A$192&gt;35,EJ42+EI43-ER42,IF(A43&lt;'Données projet'!$A$192,$EG$205^A43,IF(A43='Données projet'!$A$192,'Données projet'!$B$192,EJ42+EI43-ER42)))</f>
        <v>93.000000000000014</v>
      </c>
      <c r="EK43" s="18">
        <f>EJ43*VLOOKUP('Données projet'!$B$15,Paramètres!$A$1:$I$89,3,0)*VLOOKUP('Données projet'!$B$15,Paramètres!$A$1:$I$89,5,0)</f>
        <v>89.949600000000018</v>
      </c>
      <c r="EL43" s="14">
        <f t="shared" si="45"/>
        <v>24.553069331291834</v>
      </c>
      <c r="EM43" s="22">
        <f t="shared" si="19"/>
        <v>199.42548241866663</v>
      </c>
      <c r="EN43" s="62">
        <f t="shared" si="20"/>
        <v>492.75881575199992</v>
      </c>
      <c r="EO43" s="62">
        <f ca="1">AVERAGE(OFFSET($EN$3,0,0,'Données projet'!$E$15+1,1))-AVERAGE(OFFSET($H$3,0,0,'Données projet'!$E$15+1,1))</f>
        <v>146.90952320473599</v>
      </c>
      <c r="EP43" s="62">
        <f t="shared" si="46"/>
        <v>56.347130462109817</v>
      </c>
      <c r="EQ43" s="16">
        <f>IF(ISNA(VLOOKUP(A43,'Données projet'!$A$191:$I$211,3,0)),0,VLOOKUP(A43,'Données projet'!$A$191:$I$211,3,0))</f>
        <v>4</v>
      </c>
      <c r="ER43" s="16">
        <f>IF(ISNA(VLOOKUP(A43,'Données projet'!$A$191:$I$211,4,0)),0,VLOOKUP(A43,'Données projet'!$A$191:$I$211,4,0))</f>
        <v>14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93</v>
      </c>
      <c r="FC43" s="13">
        <f>VLOOKUP(A43,'Données projet'!$A$217:$I$237,9,0)</f>
        <v>5.4</v>
      </c>
      <c r="FD43" s="13">
        <f t="array" ref="FD43">INDEX(FC:FC,MIN(IF(ISNUMBER(FC43:FC239),ROW(FC43:FC239),"")))</f>
        <v>5.4</v>
      </c>
      <c r="FE43" s="13">
        <f>IF('Données projet'!$A$218&gt;35,FE42+FD43-FM42,IF(A43&lt;'Données projet'!$A$218,$FB$205^A43,IF(A43='Données projet'!$A$218,'Données projet'!$B$218,FE42+FD43-FM42)))</f>
        <v>93.000000000000014</v>
      </c>
      <c r="FF43" s="18">
        <f>FE43*VLOOKUP('Données projet'!$B$16,Paramètres!$A$1:$I$89,3,0)*VLOOKUP('Données projet'!$B$16,Paramètres!$A$1:$I$89,5,0)</f>
        <v>100.10520000000001</v>
      </c>
      <c r="FG43" s="14">
        <f t="shared" si="47"/>
        <v>26.987058463795307</v>
      </c>
      <c r="FH43" s="22">
        <f t="shared" si="22"/>
        <v>221.35235015777684</v>
      </c>
      <c r="FI43" s="62">
        <f t="shared" si="23"/>
        <v>514.68568349111013</v>
      </c>
      <c r="FJ43" s="62">
        <f ca="1">AVERAGE(OFFSET($FI$3,0,0,'Données projet'!$E$16+1,1))-AVERAGE(OFFSET($H$3,0,0,'Données projet'!$E$16+1,1))</f>
        <v>176.21892815766847</v>
      </c>
      <c r="FK43" s="62">
        <f t="shared" si="48"/>
        <v>69.239647548491234</v>
      </c>
      <c r="FL43" s="16">
        <f>IF(ISNA(VLOOKUP(A43,'Données projet'!$A$217:$I$237,3,0)),0,VLOOKUP(A43,'Données projet'!$A$217:$I$237,3,0))</f>
        <v>4</v>
      </c>
      <c r="FM43" s="16">
        <f>IF(ISNA(VLOOKUP(A43,'Données projet'!$A$217:$I$237,4,0)),0,VLOOKUP(A43,'Données projet'!$A$217:$I$237,4,0))</f>
        <v>14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110</v>
      </c>
      <c r="FX43" s="13">
        <f>VLOOKUP(A43,'Données projet'!$A$243:$I$263,9,0)</f>
        <v>5.8</v>
      </c>
      <c r="FY43" s="13">
        <f t="array" ref="FY43">INDEX(FX:FX,MIN(IF(ISNUMBER(FX43:FX239),ROW(FX43:FX239),"")))</f>
        <v>5.8</v>
      </c>
      <c r="FZ43" s="13">
        <f>IF('Données projet'!$A$244&gt;35,FZ42+FY43-GH42,IF(A43&lt;'Données projet'!$A$244,$FW$205^A43,IF(A43='Données projet'!$A$244,'Données projet'!$B$244,FZ42+FY43-GH42)))</f>
        <v>109.99999999999996</v>
      </c>
      <c r="GA43" s="18">
        <f>FZ43*VLOOKUP('Données projet'!$B$17,Paramètres!$A$1:$I$89,3,0)*VLOOKUP('Données projet'!$B$17,Paramètres!$A$1:$I$89,5,0)</f>
        <v>87.515999999999977</v>
      </c>
      <c r="GB43" s="14">
        <f t="shared" si="49"/>
        <v>23.965171662037644</v>
      </c>
      <c r="GC43" s="22">
        <f t="shared" si="25"/>
        <v>194.16304064471549</v>
      </c>
      <c r="GD43" s="62">
        <f t="shared" si="26"/>
        <v>487.49637397804884</v>
      </c>
      <c r="GE43" s="62">
        <f ca="1">AVERAGE(OFFSET($GD$3,0,0,'Données projet'!$E$17+1,1))-AVERAGE(OFFSET($H$3,0,0,'Données projet'!$E$17+1,1))</f>
        <v>70.834027458412379</v>
      </c>
      <c r="GF43" s="62">
        <f t="shared" si="50"/>
        <v>74.346987922112362</v>
      </c>
      <c r="GG43" s="16">
        <f>IF(ISNA(VLOOKUP(A43,'Données projet'!$A$243:$I$263,3,0)),0,VLOOKUP(A43,'Données projet'!$A$243:$I$263,3,0))</f>
        <v>5</v>
      </c>
      <c r="GH43" s="16">
        <f>IF(ISNA(VLOOKUP(A43,'Données projet'!$A$243:$I$263,4,0)),0,VLOOKUP(A43,'Données projet'!$A$243:$I$263,4,0))</f>
        <v>14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0.38867403119429078</v>
      </c>
      <c r="GO43" s="23">
        <f t="shared" si="27"/>
        <v>0.38867403119429078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7</v>
      </c>
      <c r="GU43" s="13">
        <f>IF('Données projet'!$A$270&gt;35,GU42+GT43-HC42,IF(A43&lt;'Données projet'!$A$270,$GR$205^A43,IF(A43='Données projet'!$A$270,'Données projet'!$B$270,GU42+GT43-HC42)))</f>
        <v>118.99999999999999</v>
      </c>
      <c r="GV43" s="18">
        <f>GU43*VLOOKUP('Données projet'!$B$18,Paramètres!$A$1:$I$89,3,0)*VLOOKUP('Données projet'!$B$18,Paramètres!$A$1:$I$89,5,0)</f>
        <v>92.82</v>
      </c>
      <c r="GW43" s="14">
        <f t="shared" si="51"/>
        <v>25.244115055224704</v>
      </c>
      <c r="GX43" s="22">
        <f t="shared" si="28"/>
        <v>205.62833372118303</v>
      </c>
      <c r="GY43" s="62">
        <f t="shared" si="29"/>
        <v>498.96166705451634</v>
      </c>
      <c r="GZ43" s="62">
        <f ca="1">AVERAGE(OFFSET($GY$3,0,0,'Données projet'!$E$18+1,1))-AVERAGE(OFFSET($H$3,0,0,'Données projet'!$E$18+1,1))</f>
        <v>99.222094917553648</v>
      </c>
      <c r="HA43" s="62">
        <f t="shared" si="52"/>
        <v>98.371477396766352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8.0868419372958605E-2</v>
      </c>
      <c r="HJ43" s="24">
        <f t="shared" si="30"/>
        <v>8.0868419372958605E-2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397.42857142857133</v>
      </c>
      <c r="O44" s="14">
        <f>N44*VLOOKUP('Données projet'!$B$9,Paramètres!$A$1:$I$89,3,0)*VLOOKUP('Données projet'!$B$9,Paramètres!$A$1:$I$89,5,0)</f>
        <v>185.9965714285714</v>
      </c>
      <c r="P44" s="14">
        <f t="shared" si="33"/>
        <v>46.653757617185917</v>
      </c>
      <c r="Q44" s="22">
        <f t="shared" si="53"/>
        <v>405.19932308802726</v>
      </c>
      <c r="R44" s="62">
        <f t="shared" si="0"/>
        <v>698.53265642136057</v>
      </c>
      <c r="S44" s="62">
        <f ca="1">AVERAGE(OFFSET($R$3,0,0,'Données projet'!$E$9+1,1))-AVERAGE(OFFSET($H$3,0,0,'Données projet'!$E$9+1,1))</f>
        <v>181.48161394994878</v>
      </c>
      <c r="T44" s="62">
        <f t="shared" si="34"/>
        <v>141.1874974464024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160.61760000000001</v>
      </c>
      <c r="AK44" s="14">
        <f t="shared" si="35"/>
        <v>40.981785561145074</v>
      </c>
      <c r="AL44" s="22">
        <f t="shared" si="4"/>
        <v>351.11892985232771</v>
      </c>
      <c r="AM44" s="62">
        <f t="shared" si="5"/>
        <v>644.45226318566097</v>
      </c>
      <c r="AN44" s="62">
        <f ca="1">AVERAGE(OFFSET($AM$3,0,0,'Données projet'!$E$10+1,1))-AVERAGE(OFFSET($H$3,0,0,'Données projet'!$E$10+1,1))</f>
        <v>340.81036749486179</v>
      </c>
      <c r="AO44" s="62">
        <f t="shared" si="36"/>
        <v>208.88199836488013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</v>
      </c>
      <c r="BD44" s="13">
        <f>IF('Données projet'!$A$88&gt;35,BD43+BC44-BL43,IF(A44&lt;'Données projet'!$A$88,$BA$205^A44,IF(A44='Données projet'!$A$88,'Données projet'!$B$88,BD43+BC44-BL43)))</f>
        <v>242.00000000000006</v>
      </c>
      <c r="BE44" s="14">
        <f>BD44*VLOOKUP('Données projet'!$B$11,Paramètres!$A$1:$I$89,3,0)*VLOOKUP('Données projet'!$B$11,Paramètres!$A$1:$I$89,5,0)</f>
        <v>144.71600000000007</v>
      </c>
      <c r="BF44" s="14">
        <f t="shared" si="37"/>
        <v>37.375282885096105</v>
      </c>
      <c r="BG44" s="22">
        <f t="shared" si="7"/>
        <v>317.14231769154247</v>
      </c>
      <c r="BH44" s="62">
        <f t="shared" si="8"/>
        <v>610.47565102487579</v>
      </c>
      <c r="BI44" s="62">
        <f ca="1">AVERAGE(OFFSET($BH$3,0,0,'Données projet'!$E$11+1,1))-AVERAGE(OFFSET($H$3,0,0,'Données projet'!$E$11+1,1))</f>
        <v>257.96727373333601</v>
      </c>
      <c r="BJ44" s="62">
        <f t="shared" si="38"/>
        <v>194.52809733694494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4.4557869719108183</v>
      </c>
      <c r="BR44" s="23">
        <f>EXP(-LN(2)/2)*BR43+(1-EXP(-LN(2)/2))/(LN(2)/2)*BL44*BO44*VLOOKUP('Données projet'!$B$11,Paramètres!$A$1:$I$89,3,0)*0.475*44/12</f>
        <v>0.31426690394270679</v>
      </c>
      <c r="BS44" s="24">
        <f t="shared" si="9"/>
        <v>4.7700538758535247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143.32032000000001</v>
      </c>
      <c r="CA44" s="14">
        <f t="shared" si="39"/>
        <v>37.056603420232349</v>
      </c>
      <c r="CB44" s="22">
        <f t="shared" si="10"/>
        <v>314.15647495690467</v>
      </c>
      <c r="CC44" s="62">
        <f t="shared" si="11"/>
        <v>607.48980829023799</v>
      </c>
      <c r="CD44" s="62">
        <f ca="1">AVERAGE(OFFSET($CC$3,0,0,'Données projet'!$E$12+1,1))-AVERAGE(OFFSET($H$3,0,0,'Données projet'!$E$12+1,1))</f>
        <v>292.83612296867898</v>
      </c>
      <c r="CE44" s="62">
        <f t="shared" si="40"/>
        <v>180.48047802041276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0.62511272554739217</v>
      </c>
      <c r="CN44" s="24">
        <f t="shared" si="12"/>
        <v>0.62511272554739217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84.600000000000009</v>
      </c>
      <c r="CU44" s="18">
        <f>CT44*VLOOKUP('Données projet'!$B$13,Paramètres!$A$1:$I$89,3,0)*VLOOKUP('Données projet'!$B$13,Paramètres!$A$1:$I$89,5,0)</f>
        <v>96.342480000000009</v>
      </c>
      <c r="CV44" s="14">
        <f t="shared" si="41"/>
        <v>26.088763268244669</v>
      </c>
      <c r="CW44" s="22">
        <f t="shared" si="13"/>
        <v>213.23441535885948</v>
      </c>
      <c r="CX44" s="62">
        <f t="shared" si="14"/>
        <v>506.56774869219282</v>
      </c>
      <c r="CY44" s="62">
        <f ca="1">AVERAGE(OFFSET($CX$3,0,0,'Données projet'!$E$13+1,1))-AVERAGE(OFFSET($H$3,0,0,'Données projet'!$E$13+1,1))</f>
        <v>192.93829651668403</v>
      </c>
      <c r="CZ44" s="62">
        <f t="shared" si="42"/>
        <v>76.592736352376903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5.6</v>
      </c>
      <c r="DO44" s="13">
        <f>IF('Données projet'!$A$166&gt;35,DO43+DN44-DW43,IF(A44&lt;'Données projet'!$A$166,$DL$205^A44,IF(A44='Données projet'!$A$166,'Données projet'!$B$166,DO43+DN44-DW43)))</f>
        <v>84.600000000000009</v>
      </c>
      <c r="DP44" s="18">
        <f>DO44*VLOOKUP('Données projet'!$B$14,Paramètres!$A$1:$I$89,3,0)*VLOOKUP('Données projet'!$B$14,Paramètres!$A$1:$I$89,5,0)</f>
        <v>56.749680000000005</v>
      </c>
      <c r="DQ44" s="14">
        <f t="shared" si="43"/>
        <v>16.343841431568325</v>
      </c>
      <c r="DR44" s="22">
        <f t="shared" si="16"/>
        <v>127.30454982664817</v>
      </c>
      <c r="DS44" s="62">
        <f t="shared" si="17"/>
        <v>420.63788315998147</v>
      </c>
      <c r="DT44" s="62">
        <f ca="1">AVERAGE(OFFSET($DS$3,0,0,'Données projet'!$E$14+1,1))-AVERAGE(OFFSET($H$3,0,0,'Données projet'!$E$14+1,1))</f>
        <v>66.964554307546564</v>
      </c>
      <c r="DU44" s="62">
        <f t="shared" si="44"/>
        <v>21.162700178818568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5.6</v>
      </c>
      <c r="EJ44" s="13">
        <f>IF('Données projet'!$A$192&gt;35,EJ43+EI44-ER43,IF(A44&lt;'Données projet'!$A$192,$EG$205^A44,IF(A44='Données projet'!$A$192,'Données projet'!$B$192,EJ43+EI44-ER43)))</f>
        <v>84.600000000000009</v>
      </c>
      <c r="EK44" s="18">
        <f>EJ44*VLOOKUP('Données projet'!$B$15,Paramètres!$A$1:$I$89,3,0)*VLOOKUP('Données projet'!$B$15,Paramètres!$A$1:$I$89,5,0)</f>
        <v>81.825120000000013</v>
      </c>
      <c r="EL44" s="14">
        <f t="shared" si="45"/>
        <v>22.58284790619167</v>
      </c>
      <c r="EM44" s="22">
        <f t="shared" si="19"/>
        <v>181.84387743661719</v>
      </c>
      <c r="EN44" s="62">
        <f t="shared" si="20"/>
        <v>475.17721076995053</v>
      </c>
      <c r="EO44" s="62">
        <f ca="1">AVERAGE(OFFSET($EN$3,0,0,'Données projet'!$E$15+1,1))-AVERAGE(OFFSET($H$3,0,0,'Données projet'!$E$15+1,1))</f>
        <v>146.90952320473599</v>
      </c>
      <c r="EP44" s="62">
        <f t="shared" si="46"/>
        <v>56.347130462109817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5.6</v>
      </c>
      <c r="FE44" s="13">
        <f>IF('Données projet'!$A$218&gt;35,FE43+FD44-FM43,IF(A44&lt;'Données projet'!$A$218,$FB$205^A44,IF(A44='Données projet'!$A$218,'Données projet'!$B$218,FE43+FD44-FM43)))</f>
        <v>84.600000000000009</v>
      </c>
      <c r="FF44" s="18">
        <f>FE44*VLOOKUP('Données projet'!$B$16,Paramètres!$A$1:$I$89,3,0)*VLOOKUP('Données projet'!$B$16,Paramètres!$A$1:$I$89,5,0)</f>
        <v>91.06344</v>
      </c>
      <c r="FG44" s="14">
        <f t="shared" si="47"/>
        <v>24.821525508693981</v>
      </c>
      <c r="FH44" s="22">
        <f t="shared" si="22"/>
        <v>201.83298159430865</v>
      </c>
      <c r="FI44" s="62">
        <f t="shared" si="23"/>
        <v>495.16631492764196</v>
      </c>
      <c r="FJ44" s="62">
        <f ca="1">AVERAGE(OFFSET($FI$3,0,0,'Données projet'!$E$16+1,1))-AVERAGE(OFFSET($H$3,0,0,'Données projet'!$E$16+1,1))</f>
        <v>176.21892815766847</v>
      </c>
      <c r="FK44" s="62">
        <f t="shared" si="48"/>
        <v>69.239647548491234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4.8</v>
      </c>
      <c r="FZ44" s="13">
        <f>IF('Données projet'!$A$244&gt;35,FZ43+FY44-GH43,IF(A44&lt;'Données projet'!$A$244,$FW$205^A44,IF(A44='Données projet'!$A$244,'Données projet'!$B$244,FZ43+FY44-GH43)))</f>
        <v>100.79999999999995</v>
      </c>
      <c r="GA44" s="18">
        <f>FZ44*VLOOKUP('Données projet'!$B$17,Paramètres!$A$1:$I$89,3,0)*VLOOKUP('Données projet'!$B$17,Paramètres!$A$1:$I$89,5,0)</f>
        <v>80.196479999999966</v>
      </c>
      <c r="GB44" s="14">
        <f t="shared" si="49"/>
        <v>22.185217649516314</v>
      </c>
      <c r="GC44" s="22">
        <f t="shared" si="25"/>
        <v>178.31479007290753</v>
      </c>
      <c r="GD44" s="62">
        <f t="shared" si="26"/>
        <v>471.64812340624087</v>
      </c>
      <c r="GE44" s="62">
        <f ca="1">AVERAGE(OFFSET($GD$3,0,0,'Données projet'!$E$17+1,1))-AVERAGE(OFFSET($H$3,0,0,'Données projet'!$E$17+1,1))</f>
        <v>70.834027458412379</v>
      </c>
      <c r="GF44" s="62">
        <f t="shared" si="50"/>
        <v>74.346987922112362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0.27483404312859472</v>
      </c>
      <c r="GO44" s="23">
        <f t="shared" si="27"/>
        <v>0.27483404312859472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</v>
      </c>
      <c r="GU44" s="13">
        <f>IF('Données projet'!$A$270&gt;35,GU43+GT44-HC43,IF(A44&lt;'Données projet'!$A$270,$GR$205^A44,IF(A44='Données projet'!$A$270,'Données projet'!$B$270,GU43+GT44-HC43)))</f>
        <v>125.99999999999999</v>
      </c>
      <c r="GV44" s="18">
        <f>GU44*VLOOKUP('Données projet'!$B$18,Paramètres!$A$1:$I$89,3,0)*VLOOKUP('Données projet'!$B$18,Paramètres!$A$1:$I$89,5,0)</f>
        <v>98.279999999999987</v>
      </c>
      <c r="GW44" s="14">
        <f t="shared" si="51"/>
        <v>26.551818424463448</v>
      </c>
      <c r="GX44" s="22">
        <f t="shared" si="28"/>
        <v>217.4154170892738</v>
      </c>
      <c r="GY44" s="62">
        <f t="shared" si="29"/>
        <v>510.74875042260715</v>
      </c>
      <c r="GZ44" s="62">
        <f ca="1">AVERAGE(OFFSET($GY$3,0,0,'Données projet'!$E$18+1,1))-AVERAGE(OFFSET($H$3,0,0,'Données projet'!$E$18+1,1))</f>
        <v>99.222094917553648</v>
      </c>
      <c r="HA44" s="62">
        <f t="shared" si="52"/>
        <v>98.371477396766352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5.7182607722456605E-2</v>
      </c>
      <c r="HJ44" s="24">
        <f t="shared" si="30"/>
        <v>5.7182607722456605E-2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417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416.99999999999989</v>
      </c>
      <c r="O45" s="14">
        <f>N45*VLOOKUP('Données projet'!$B$9,Paramètres!$A$1:$I$89,3,0)*VLOOKUP('Données projet'!$B$9,Paramètres!$A$1:$I$89,5,0)</f>
        <v>195.15599999999995</v>
      </c>
      <c r="P45" s="14">
        <f t="shared" si="33"/>
        <v>48.678088823054175</v>
      </c>
      <c r="Q45" s="22">
        <f t="shared" si="53"/>
        <v>424.67770470015256</v>
      </c>
      <c r="R45" s="62">
        <f t="shared" si="0"/>
        <v>718.01103803348587</v>
      </c>
      <c r="S45" s="62">
        <f ca="1">AVERAGE(OFFSET($R$3,0,0,'Données projet'!$E$9+1,1))-AVERAGE(OFFSET($H$3,0,0,'Données projet'!$E$9+1,1))</f>
        <v>181.48161394994878</v>
      </c>
      <c r="T45" s="62">
        <f t="shared" si="34"/>
        <v>141.1874974464024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172.1772</v>
      </c>
      <c r="AK45" s="14">
        <f t="shared" si="35"/>
        <v>43.577282221917017</v>
      </c>
      <c r="AL45" s="22">
        <f t="shared" si="4"/>
        <v>375.77238986983883</v>
      </c>
      <c r="AM45" s="62">
        <f t="shared" si="5"/>
        <v>669.10572320317215</v>
      </c>
      <c r="AN45" s="62">
        <f ca="1">AVERAGE(OFFSET($AM$3,0,0,'Données projet'!$E$10+1,1))-AVERAGE(OFFSET($H$3,0,0,'Données projet'!$E$10+1,1))</f>
        <v>340.81036749486179</v>
      </c>
      <c r="AO45" s="62">
        <f t="shared" si="36"/>
        <v>208.88199836488013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</v>
      </c>
      <c r="BD45" s="13">
        <f>IF('Données projet'!$A$88&gt;35,BD44+BC45-BL44,IF(A45&lt;'Données projet'!$A$88,$BA$205^A45,IF(A45='Données projet'!$A$88,'Données projet'!$B$88,BD44+BC45-BL44)))</f>
        <v>261.00000000000006</v>
      </c>
      <c r="BE45" s="14">
        <f>BD45*VLOOKUP('Données projet'!$B$11,Paramètres!$A$1:$I$89,3,0)*VLOOKUP('Données projet'!$B$11,Paramètres!$A$1:$I$89,5,0)</f>
        <v>156.07800000000003</v>
      </c>
      <c r="BF45" s="14">
        <f t="shared" si="37"/>
        <v>39.956623674978466</v>
      </c>
      <c r="BG45" s="22">
        <f t="shared" si="7"/>
        <v>341.42696956725422</v>
      </c>
      <c r="BH45" s="62">
        <f t="shared" si="8"/>
        <v>634.76030290058748</v>
      </c>
      <c r="BI45" s="62">
        <f ca="1">AVERAGE(OFFSET($BH$3,0,0,'Données projet'!$E$11+1,1))-AVERAGE(OFFSET($H$3,0,0,'Données projet'!$E$11+1,1))</f>
        <v>257.96727373333601</v>
      </c>
      <c r="BJ45" s="62">
        <f t="shared" si="38"/>
        <v>194.52809733694494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4.3339432428442644</v>
      </c>
      <c r="BR45" s="23">
        <f>EXP(-LN(2)/2)*BR44+(1-EXP(-LN(2)/2))/(LN(2)/2)*BL45*BO45*VLOOKUP('Données projet'!$B$11,Paramètres!$A$1:$I$89,3,0)*0.475*44/12</f>
        <v>0.22222025888038932</v>
      </c>
      <c r="BS45" s="24">
        <f t="shared" si="9"/>
        <v>4.5561635017246536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153.63504</v>
      </c>
      <c r="CA45" s="14">
        <f t="shared" si="39"/>
        <v>39.403506785222667</v>
      </c>
      <c r="CB45" s="22">
        <f t="shared" si="10"/>
        <v>336.20880231759617</v>
      </c>
      <c r="CC45" s="62">
        <f t="shared" si="11"/>
        <v>629.54213565092948</v>
      </c>
      <c r="CD45" s="62">
        <f ca="1">AVERAGE(OFFSET($CC$3,0,0,'Données projet'!$E$12+1,1))-AVERAGE(OFFSET($H$3,0,0,'Données projet'!$E$12+1,1))</f>
        <v>292.83612296867898</v>
      </c>
      <c r="CE45" s="62">
        <f t="shared" si="40"/>
        <v>180.48047802041276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0.44202144724056619</v>
      </c>
      <c r="CN45" s="24">
        <f t="shared" si="12"/>
        <v>0.44202144724056619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90.2</v>
      </c>
      <c r="CU45" s="18">
        <f>CT45*VLOOKUP('Données projet'!$B$13,Paramètres!$A$1:$I$89,3,0)*VLOOKUP('Données projet'!$B$13,Paramètres!$A$1:$I$89,5,0)</f>
        <v>102.71976000000001</v>
      </c>
      <c r="CV45" s="14">
        <f t="shared" si="41"/>
        <v>27.608927464604609</v>
      </c>
      <c r="CW45" s="22">
        <f t="shared" si="13"/>
        <v>226.9891306675197</v>
      </c>
      <c r="CX45" s="62">
        <f t="shared" si="14"/>
        <v>520.32246400085296</v>
      </c>
      <c r="CY45" s="62">
        <f ca="1">AVERAGE(OFFSET($CX$3,0,0,'Données projet'!$E$13+1,1))-AVERAGE(OFFSET($H$3,0,0,'Données projet'!$E$13+1,1))</f>
        <v>192.93829651668403</v>
      </c>
      <c r="CZ45" s="62">
        <f t="shared" si="42"/>
        <v>76.592736352376903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5.6</v>
      </c>
      <c r="DO45" s="13">
        <f>IF('Données projet'!$A$166&gt;35,DO44+DN45-DW44,IF(A45&lt;'Données projet'!$A$166,$DL$205^A45,IF(A45='Données projet'!$A$166,'Données projet'!$B$166,DO44+DN45-DW44)))</f>
        <v>90.2</v>
      </c>
      <c r="DP45" s="18">
        <f>DO45*VLOOKUP('Données projet'!$B$14,Paramètres!$A$1:$I$89,3,0)*VLOOKUP('Données projet'!$B$14,Paramètres!$A$1:$I$89,5,0)</f>
        <v>60.506160000000001</v>
      </c>
      <c r="DQ45" s="14">
        <f t="shared" si="43"/>
        <v>17.296179506002705</v>
      </c>
      <c r="DR45" s="22">
        <f t="shared" si="16"/>
        <v>135.50574130628803</v>
      </c>
      <c r="DS45" s="62">
        <f t="shared" si="17"/>
        <v>428.83907463962134</v>
      </c>
      <c r="DT45" s="62">
        <f ca="1">AVERAGE(OFFSET($DS$3,0,0,'Données projet'!$E$14+1,1))-AVERAGE(OFFSET($H$3,0,0,'Données projet'!$E$14+1,1))</f>
        <v>66.964554307546564</v>
      </c>
      <c r="DU45" s="62">
        <f t="shared" si="44"/>
        <v>21.162700178818568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5.6</v>
      </c>
      <c r="EJ45" s="13">
        <f>IF('Données projet'!$A$192&gt;35,EJ44+EI45-ER44,IF(A45&lt;'Données projet'!$A$192,$EG$205^A45,IF(A45='Données projet'!$A$192,'Données projet'!$B$192,EJ44+EI45-ER44)))</f>
        <v>90.2</v>
      </c>
      <c r="EK45" s="18">
        <f>EJ45*VLOOKUP('Données projet'!$B$15,Paramètres!$A$1:$I$89,3,0)*VLOOKUP('Données projet'!$B$15,Paramètres!$A$1:$I$89,5,0)</f>
        <v>87.241439999999997</v>
      </c>
      <c r="EL45" s="14">
        <f t="shared" si="45"/>
        <v>23.898726182438701</v>
      </c>
      <c r="EM45" s="22">
        <f t="shared" si="19"/>
        <v>193.56912276774736</v>
      </c>
      <c r="EN45" s="62">
        <f t="shared" si="20"/>
        <v>486.9024561010807</v>
      </c>
      <c r="EO45" s="62">
        <f ca="1">AVERAGE(OFFSET($EN$3,0,0,'Données projet'!$E$15+1,1))-AVERAGE(OFFSET($H$3,0,0,'Données projet'!$E$15+1,1))</f>
        <v>146.90952320473599</v>
      </c>
      <c r="EP45" s="62">
        <f t="shared" si="46"/>
        <v>56.347130462109817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5.6</v>
      </c>
      <c r="FE45" s="13">
        <f>IF('Données projet'!$A$218&gt;35,FE44+FD45-FM44,IF(A45&lt;'Données projet'!$A$218,$FB$205^A45,IF(A45='Données projet'!$A$218,'Données projet'!$B$218,FE44+FD45-FM44)))</f>
        <v>90.2</v>
      </c>
      <c r="FF45" s="18">
        <f>FE45*VLOOKUP('Données projet'!$B$16,Paramètres!$A$1:$I$89,3,0)*VLOOKUP('Données projet'!$B$16,Paramètres!$A$1:$I$89,5,0)</f>
        <v>97.091279999999998</v>
      </c>
      <c r="FG45" s="14">
        <f t="shared" si="47"/>
        <v>26.267849122787243</v>
      </c>
      <c r="FH45" s="22">
        <f t="shared" si="22"/>
        <v>214.85048322218776</v>
      </c>
      <c r="FI45" s="62">
        <f t="shared" si="23"/>
        <v>508.18381655552105</v>
      </c>
      <c r="FJ45" s="62">
        <f ca="1">AVERAGE(OFFSET($FI$3,0,0,'Données projet'!$E$16+1,1))-AVERAGE(OFFSET($H$3,0,0,'Données projet'!$E$16+1,1))</f>
        <v>176.21892815766847</v>
      </c>
      <c r="FK45" s="62">
        <f t="shared" si="48"/>
        <v>69.239647548491234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4.8</v>
      </c>
      <c r="FZ45" s="13">
        <f>IF('Données projet'!$A$244&gt;35,FZ44+FY45-GH44,IF(A45&lt;'Données projet'!$A$244,$FW$205^A45,IF(A45='Données projet'!$A$244,'Données projet'!$B$244,FZ44+FY45-GH44)))</f>
        <v>105.59999999999995</v>
      </c>
      <c r="GA45" s="18">
        <f>FZ45*VLOOKUP('Données projet'!$B$17,Paramètres!$A$1:$I$89,3,0)*VLOOKUP('Données projet'!$B$17,Paramètres!$A$1:$I$89,5,0)</f>
        <v>84.015359999999959</v>
      </c>
      <c r="GB45" s="14">
        <f t="shared" si="49"/>
        <v>23.116144771414408</v>
      </c>
      <c r="GC45" s="22">
        <f t="shared" si="25"/>
        <v>186.58737081021334</v>
      </c>
      <c r="GD45" s="62">
        <f t="shared" si="26"/>
        <v>479.92070414354669</v>
      </c>
      <c r="GE45" s="62">
        <f ca="1">AVERAGE(OFFSET($GD$3,0,0,'Données projet'!$E$17+1,1))-AVERAGE(OFFSET($H$3,0,0,'Données projet'!$E$17+1,1))</f>
        <v>70.834027458412379</v>
      </c>
      <c r="GF45" s="62">
        <f t="shared" si="50"/>
        <v>74.346987922112362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0.19433701559714539</v>
      </c>
      <c r="GO45" s="23">
        <f t="shared" si="27"/>
        <v>0.19433701559714539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</v>
      </c>
      <c r="GU45" s="13">
        <f>IF('Données projet'!$A$270&gt;35,GU44+GT45-HC44,IF(A45&lt;'Données projet'!$A$270,$GR$205^A45,IF(A45='Données projet'!$A$270,'Données projet'!$B$270,GU44+GT45-HC44)))</f>
        <v>133</v>
      </c>
      <c r="GV45" s="18">
        <f>GU45*VLOOKUP('Données projet'!$B$18,Paramètres!$A$1:$I$89,3,0)*VLOOKUP('Données projet'!$B$18,Paramètres!$A$1:$I$89,5,0)</f>
        <v>103.74000000000001</v>
      </c>
      <c r="GW45" s="14">
        <f t="shared" si="51"/>
        <v>27.851088016239377</v>
      </c>
      <c r="GX45" s="22">
        <f t="shared" si="28"/>
        <v>229.18781162828358</v>
      </c>
      <c r="GY45" s="62">
        <f t="shared" si="29"/>
        <v>522.52114496161687</v>
      </c>
      <c r="GZ45" s="62">
        <f ca="1">AVERAGE(OFFSET($GY$3,0,0,'Données projet'!$E$18+1,1))-AVERAGE(OFFSET($H$3,0,0,'Données projet'!$E$18+1,1))</f>
        <v>99.222094917553648</v>
      </c>
      <c r="HA45" s="62">
        <f t="shared" si="52"/>
        <v>98.371477396766352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4.043420968647931E-2</v>
      </c>
      <c r="HJ45" s="24">
        <f t="shared" si="30"/>
        <v>4.043420968647931E-2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256</v>
      </c>
      <c r="L46" s="13">
        <f>VLOOKUP(A46,'Données projet'!$A$35:$I$55,9,0)</f>
        <v>21</v>
      </c>
      <c r="M46" s="13">
        <f t="array" ref="M46">INDEX(L:L,MIN(IF(ISNUMBER(L46:L242),ROW(L46:L242),"")))</f>
        <v>21</v>
      </c>
      <c r="N46" s="14">
        <f>IF('Données projet'!$A$36&gt;35,N45+M46-V45,IF(A46&lt;'Données projet'!$A$36,$K$205^A46,IF(A46='Données projet'!$A$36,'Données projet'!$B$36,N45+M46-V45)))</f>
        <v>255.99999999999989</v>
      </c>
      <c r="O46" s="14">
        <f>N46*VLOOKUP('Données projet'!$B$9,Paramètres!$A$1:$I$89,3,0)*VLOOKUP('Données projet'!$B$9,Paramètres!$A$1:$I$89,5,0)</f>
        <v>119.80799999999995</v>
      </c>
      <c r="P46" s="14">
        <f t="shared" si="33"/>
        <v>31.630214274643535</v>
      </c>
      <c r="Q46" s="22">
        <f t="shared" si="53"/>
        <v>263.75488986167073</v>
      </c>
      <c r="R46" s="62">
        <f t="shared" si="0"/>
        <v>557.08822319500405</v>
      </c>
      <c r="S46" s="62">
        <f ca="1">AVERAGE(OFFSET($R$3,0,0,'Données projet'!$E$9+1,1))-AVERAGE(OFFSET($H$3,0,0,'Données projet'!$E$9+1,1))</f>
        <v>181.48161394994878</v>
      </c>
      <c r="T46" s="62">
        <f t="shared" si="34"/>
        <v>141.1874974464024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183.73680000000002</v>
      </c>
      <c r="AK46" s="14">
        <f t="shared" si="35"/>
        <v>46.152558509293854</v>
      </c>
      <c r="AL46" s="22">
        <f t="shared" si="4"/>
        <v>400.3906327370201</v>
      </c>
      <c r="AM46" s="62">
        <f t="shared" si="5"/>
        <v>693.72396607035341</v>
      </c>
      <c r="AN46" s="62">
        <f ca="1">AVERAGE(OFFSET($AM$3,0,0,'Données projet'!$E$10+1,1))-AVERAGE(OFFSET($H$3,0,0,'Données projet'!$E$10+1,1))</f>
        <v>340.81036749486179</v>
      </c>
      <c r="AO46" s="62">
        <f t="shared" si="36"/>
        <v>208.88199836488013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19</v>
      </c>
      <c r="BD46" s="13">
        <f>IF('Données projet'!$A$88&gt;35,BD45+BC46-BL45,IF(A46&lt;'Données projet'!$A$88,$BA$205^A46,IF(A46='Données projet'!$A$88,'Données projet'!$B$88,BD45+BC46-BL45)))</f>
        <v>280.00000000000006</v>
      </c>
      <c r="BE46" s="14">
        <f>BD46*VLOOKUP('Données projet'!$B$11,Paramètres!$A$1:$I$89,3,0)*VLOOKUP('Données projet'!$B$11,Paramètres!$A$1:$I$89,5,0)</f>
        <v>167.44000000000005</v>
      </c>
      <c r="BF46" s="14">
        <f t="shared" si="37"/>
        <v>42.516163405082935</v>
      </c>
      <c r="BG46" s="22">
        <f t="shared" si="7"/>
        <v>365.67365126385283</v>
      </c>
      <c r="BH46" s="62">
        <f t="shared" si="8"/>
        <v>659.00698459718615</v>
      </c>
      <c r="BI46" s="62">
        <f ca="1">AVERAGE(OFFSET($BH$3,0,0,'Données projet'!$E$11+1,1))-AVERAGE(OFFSET($H$3,0,0,'Données projet'!$E$11+1,1))</f>
        <v>257.96727373333601</v>
      </c>
      <c r="BJ46" s="62">
        <f t="shared" si="38"/>
        <v>194.52809733694494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4.2154313369565184</v>
      </c>
      <c r="BR46" s="23">
        <f>EXP(-LN(2)/2)*BR45+(1-EXP(-LN(2)/2))/(LN(2)/2)*BL46*BO46*VLOOKUP('Données projet'!$B$11,Paramètres!$A$1:$I$89,3,0)*0.475*44/12</f>
        <v>0.15713345197135339</v>
      </c>
      <c r="BS46" s="24">
        <f t="shared" si="9"/>
        <v>4.372564788927872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163.94976</v>
      </c>
      <c r="CA46" s="14">
        <f t="shared" si="39"/>
        <v>41.732126457893308</v>
      </c>
      <c r="CB46" s="22">
        <f t="shared" si="10"/>
        <v>358.22928558083089</v>
      </c>
      <c r="CC46" s="62">
        <f t="shared" si="11"/>
        <v>651.5626189141642</v>
      </c>
      <c r="CD46" s="62">
        <f ca="1">AVERAGE(OFFSET($CC$3,0,0,'Données projet'!$E$12+1,1))-AVERAGE(OFFSET($H$3,0,0,'Données projet'!$E$12+1,1))</f>
        <v>292.83612296867898</v>
      </c>
      <c r="CE46" s="62">
        <f t="shared" si="40"/>
        <v>180.48047802041276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0.31255636277369614</v>
      </c>
      <c r="CN46" s="24">
        <f t="shared" si="12"/>
        <v>0.31255636277369614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95.8</v>
      </c>
      <c r="CU46" s="18">
        <f>CT46*VLOOKUP('Données projet'!$B$13,Paramètres!$A$1:$I$89,3,0)*VLOOKUP('Données projet'!$B$13,Paramètres!$A$1:$I$89,5,0)</f>
        <v>109.09704000000001</v>
      </c>
      <c r="CV46" s="14">
        <f t="shared" si="41"/>
        <v>29.118138203692205</v>
      </c>
      <c r="CW46" s="22">
        <f t="shared" si="13"/>
        <v>240.72476870476387</v>
      </c>
      <c r="CX46" s="62">
        <f t="shared" si="14"/>
        <v>534.05810203809722</v>
      </c>
      <c r="CY46" s="62">
        <f ca="1">AVERAGE(OFFSET($CX$3,0,0,'Données projet'!$E$13+1,1))-AVERAGE(OFFSET($H$3,0,0,'Données projet'!$E$13+1,1))</f>
        <v>192.93829651668403</v>
      </c>
      <c r="CZ46" s="62">
        <f t="shared" si="42"/>
        <v>76.592736352376903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5.6</v>
      </c>
      <c r="DO46" s="13">
        <f>IF('Données projet'!$A$166&gt;35,DO45+DN46-DW45,IF(A46&lt;'Données projet'!$A$166,$DL$205^A46,IF(A46='Données projet'!$A$166,'Données projet'!$B$166,DO45+DN46-DW45)))</f>
        <v>95.8</v>
      </c>
      <c r="DP46" s="18">
        <f>DO46*VLOOKUP('Données projet'!$B$14,Paramètres!$A$1:$I$89,3,0)*VLOOKUP('Données projet'!$B$14,Paramètres!$A$1:$I$89,5,0)</f>
        <v>64.26263999999999</v>
      </c>
      <c r="DQ46" s="14">
        <f t="shared" si="43"/>
        <v>18.24165556222081</v>
      </c>
      <c r="DR46" s="22">
        <f t="shared" si="16"/>
        <v>143.69498143753455</v>
      </c>
      <c r="DS46" s="62">
        <f t="shared" si="17"/>
        <v>437.02831477086784</v>
      </c>
      <c r="DT46" s="62">
        <f ca="1">AVERAGE(OFFSET($DS$3,0,0,'Données projet'!$E$14+1,1))-AVERAGE(OFFSET($H$3,0,0,'Données projet'!$E$14+1,1))</f>
        <v>66.964554307546564</v>
      </c>
      <c r="DU46" s="62">
        <f t="shared" si="44"/>
        <v>21.162700178818568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5.6</v>
      </c>
      <c r="EJ46" s="13">
        <f>IF('Données projet'!$A$192&gt;35,EJ45+EI46-ER45,IF(A46&lt;'Données projet'!$A$192,$EG$205^A46,IF(A46='Données projet'!$A$192,'Données projet'!$B$192,EJ45+EI46-ER45)))</f>
        <v>95.8</v>
      </c>
      <c r="EK46" s="18">
        <f>EJ46*VLOOKUP('Données projet'!$B$15,Paramètres!$A$1:$I$89,3,0)*VLOOKUP('Données projet'!$B$15,Paramètres!$A$1:$I$89,5,0)</f>
        <v>92.65776000000001</v>
      </c>
      <c r="EL46" s="14">
        <f t="shared" si="45"/>
        <v>25.205122972074609</v>
      </c>
      <c r="EM46" s="22">
        <f t="shared" si="19"/>
        <v>205.2778545096966</v>
      </c>
      <c r="EN46" s="62">
        <f t="shared" si="20"/>
        <v>498.61118784302994</v>
      </c>
      <c r="EO46" s="62">
        <f ca="1">AVERAGE(OFFSET($EN$3,0,0,'Données projet'!$E$15+1,1))-AVERAGE(OFFSET($H$3,0,0,'Données projet'!$E$15+1,1))</f>
        <v>146.90952320473599</v>
      </c>
      <c r="EP46" s="62">
        <f t="shared" si="46"/>
        <v>56.347130462109817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5.6</v>
      </c>
      <c r="FE46" s="13">
        <f>IF('Données projet'!$A$218&gt;35,FE45+FD46-FM45,IF(A46&lt;'Données projet'!$A$218,$FB$205^A46,IF(A46='Données projet'!$A$218,'Données projet'!$B$218,FE45+FD46-FM45)))</f>
        <v>95.8</v>
      </c>
      <c r="FF46" s="18">
        <f>FE46*VLOOKUP('Données projet'!$B$16,Paramètres!$A$1:$I$89,3,0)*VLOOKUP('Données projet'!$B$16,Paramètres!$A$1:$I$89,5,0)</f>
        <v>103.11911999999998</v>
      </c>
      <c r="FG46" s="14">
        <f t="shared" si="47"/>
        <v>27.703751333753903</v>
      </c>
      <c r="FH46" s="22">
        <f t="shared" si="22"/>
        <v>227.84983423962134</v>
      </c>
      <c r="FI46" s="62">
        <f t="shared" si="23"/>
        <v>521.18316757295463</v>
      </c>
      <c r="FJ46" s="62">
        <f ca="1">AVERAGE(OFFSET($FI$3,0,0,'Données projet'!$E$16+1,1))-AVERAGE(OFFSET($H$3,0,0,'Données projet'!$E$16+1,1))</f>
        <v>176.21892815766847</v>
      </c>
      <c r="FK46" s="62">
        <f t="shared" si="48"/>
        <v>69.239647548491234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4.8</v>
      </c>
      <c r="FZ46" s="13">
        <f>IF('Données projet'!$A$244&gt;35,FZ45+FY46-GH45,IF(A46&lt;'Données projet'!$A$244,$FW$205^A46,IF(A46='Données projet'!$A$244,'Données projet'!$B$244,FZ45+FY46-GH45)))</f>
        <v>110.39999999999995</v>
      </c>
      <c r="GA46" s="18">
        <f>FZ46*VLOOKUP('Données projet'!$B$17,Paramètres!$A$1:$I$89,3,0)*VLOOKUP('Données projet'!$B$17,Paramètres!$A$1:$I$89,5,0)</f>
        <v>87.834239999999966</v>
      </c>
      <c r="GB46" s="14">
        <f t="shared" si="49"/>
        <v>24.042157662768496</v>
      </c>
      <c r="GC46" s="22">
        <f t="shared" si="25"/>
        <v>194.85139259598839</v>
      </c>
      <c r="GD46" s="62">
        <f t="shared" si="26"/>
        <v>488.1847259293217</v>
      </c>
      <c r="GE46" s="62">
        <f ca="1">AVERAGE(OFFSET($GD$3,0,0,'Données projet'!$E$17+1,1))-AVERAGE(OFFSET($H$3,0,0,'Données projet'!$E$17+1,1))</f>
        <v>70.834027458412379</v>
      </c>
      <c r="GF46" s="62">
        <f t="shared" si="50"/>
        <v>74.346987922112362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0.13741702156429736</v>
      </c>
      <c r="GO46" s="23">
        <f t="shared" si="27"/>
        <v>0.13741702156429736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</v>
      </c>
      <c r="GU46" s="13">
        <f>IF('Données projet'!$A$270&gt;35,GU45+GT46-HC45,IF(A46&lt;'Données projet'!$A$270,$GR$205^A46,IF(A46='Données projet'!$A$270,'Données projet'!$B$270,GU45+GT46-HC45)))</f>
        <v>140</v>
      </c>
      <c r="GV46" s="18">
        <f>GU46*VLOOKUP('Données projet'!$B$18,Paramètres!$A$1:$I$89,3,0)*VLOOKUP('Données projet'!$B$18,Paramètres!$A$1:$I$89,5,0)</f>
        <v>109.2</v>
      </c>
      <c r="GW46" s="14">
        <f t="shared" si="51"/>
        <v>29.142418334948612</v>
      </c>
      <c r="GX46" s="22">
        <f t="shared" si="28"/>
        <v>240.94637860003544</v>
      </c>
      <c r="GY46" s="62">
        <f t="shared" si="29"/>
        <v>534.27971193336873</v>
      </c>
      <c r="GZ46" s="62">
        <f ca="1">AVERAGE(OFFSET($GY$3,0,0,'Données projet'!$E$18+1,1))-AVERAGE(OFFSET($H$3,0,0,'Données projet'!$E$18+1,1))</f>
        <v>99.222094917553648</v>
      </c>
      <c r="HA46" s="62">
        <f t="shared" si="52"/>
        <v>98.371477396766352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2.8591303861228306E-2</v>
      </c>
      <c r="HJ46" s="24">
        <f t="shared" si="30"/>
        <v>2.8591303861228306E-2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</v>
      </c>
      <c r="N47" s="14">
        <f>IF('Données projet'!$A$36&gt;35,N46+M47-V46,IF(A47&lt;'Données projet'!$A$36,$K$205^A47,IF(A47='Données projet'!$A$36,'Données projet'!$B$36,N46+M47-V46)))</f>
        <v>273.49999999999989</v>
      </c>
      <c r="O47" s="14">
        <f>N47*VLOOKUP('Données projet'!$B$9,Paramètres!$A$1:$I$89,3,0)*VLOOKUP('Données projet'!$B$9,Paramètres!$A$1:$I$89,5,0)</f>
        <v>127.99799999999995</v>
      </c>
      <c r="P47" s="14">
        <f t="shared" si="33"/>
        <v>33.533338894635314</v>
      </c>
      <c r="Q47" s="22">
        <f t="shared" si="53"/>
        <v>281.33374857482306</v>
      </c>
      <c r="R47" s="62">
        <f t="shared" si="0"/>
        <v>574.66708190815643</v>
      </c>
      <c r="S47" s="62">
        <f ca="1">AVERAGE(OFFSET($R$3,0,0,'Données projet'!$E$9+1,1))-AVERAGE(OFFSET($H$3,0,0,'Données projet'!$E$9+1,1))</f>
        <v>181.48161394994878</v>
      </c>
      <c r="T47" s="62">
        <f t="shared" si="34"/>
        <v>141.1874974464024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195.29640000000003</v>
      </c>
      <c r="AK47" s="14">
        <f t="shared" si="35"/>
        <v>48.709031383366153</v>
      </c>
      <c r="AL47" s="22">
        <f t="shared" si="4"/>
        <v>424.97612632602949</v>
      </c>
      <c r="AM47" s="62">
        <f t="shared" si="5"/>
        <v>718.3094596593628</v>
      </c>
      <c r="AN47" s="62">
        <f ca="1">AVERAGE(OFFSET($AM$3,0,0,'Données projet'!$E$10+1,1))-AVERAGE(OFFSET($H$3,0,0,'Données projet'!$E$10+1,1))</f>
        <v>340.81036749486179</v>
      </c>
      <c r="AO47" s="62">
        <f t="shared" si="36"/>
        <v>208.88199836488013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19</v>
      </c>
      <c r="BD47" s="13">
        <f>IF('Données projet'!$A$88&gt;35,BD46+BC47-BL46,IF(A47&lt;'Données projet'!$A$88,$BA$205^A47,IF(A47='Données projet'!$A$88,'Données projet'!$B$88,BD46+BC47-BL46)))</f>
        <v>299.00000000000006</v>
      </c>
      <c r="BE47" s="14">
        <f>BD47*VLOOKUP('Données projet'!$B$11,Paramètres!$A$1:$I$89,3,0)*VLOOKUP('Données projet'!$B$11,Paramètres!$A$1:$I$89,5,0)</f>
        <v>178.80200000000002</v>
      </c>
      <c r="BF47" s="14">
        <f t="shared" si="37"/>
        <v>45.055549739375941</v>
      </c>
      <c r="BG47" s="22">
        <f t="shared" si="7"/>
        <v>389.88523246274644</v>
      </c>
      <c r="BH47" s="62">
        <f t="shared" si="8"/>
        <v>683.2185657960797</v>
      </c>
      <c r="BI47" s="62">
        <f ca="1">AVERAGE(OFFSET($BH$3,0,0,'Données projet'!$E$11+1,1))-AVERAGE(OFFSET($H$3,0,0,'Données projet'!$E$11+1,1))</f>
        <v>257.96727373333601</v>
      </c>
      <c r="BJ47" s="62">
        <f t="shared" si="38"/>
        <v>194.52809733694494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4.1001601453675427</v>
      </c>
      <c r="BR47" s="23">
        <f>EXP(-LN(2)/2)*BR46+(1-EXP(-LN(2)/2))/(LN(2)/2)*BL47*BO47*VLOOKUP('Données projet'!$B$11,Paramètres!$A$1:$I$89,3,0)*0.475*44/12</f>
        <v>0.11111012944019466</v>
      </c>
      <c r="BS47" s="24">
        <f t="shared" si="9"/>
        <v>4.2112702748077373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174.26447999999999</v>
      </c>
      <c r="CA47" s="14">
        <f t="shared" si="39"/>
        <v>44.043743683739521</v>
      </c>
      <c r="CB47" s="22">
        <f t="shared" si="10"/>
        <v>380.22015624917964</v>
      </c>
      <c r="CC47" s="62">
        <f t="shared" si="11"/>
        <v>673.55348958251295</v>
      </c>
      <c r="CD47" s="62">
        <f ca="1">AVERAGE(OFFSET($CC$3,0,0,'Données projet'!$E$12+1,1))-AVERAGE(OFFSET($H$3,0,0,'Données projet'!$E$12+1,1))</f>
        <v>292.83612296867898</v>
      </c>
      <c r="CE47" s="62">
        <f t="shared" si="40"/>
        <v>180.48047802041276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0.22101072362028315</v>
      </c>
      <c r="CN47" s="24">
        <f t="shared" si="12"/>
        <v>0.22101072362028315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101.39999999999999</v>
      </c>
      <c r="CU47" s="18">
        <f>CT47*VLOOKUP('Données projet'!$B$13,Paramètres!$A$1:$I$89,3,0)*VLOOKUP('Données projet'!$B$13,Paramètres!$A$1:$I$89,5,0)</f>
        <v>115.47431999999999</v>
      </c>
      <c r="CV47" s="14">
        <f t="shared" si="41"/>
        <v>30.617108709605674</v>
      </c>
      <c r="CW47" s="22">
        <f t="shared" si="13"/>
        <v>254.44257166922989</v>
      </c>
      <c r="CX47" s="62">
        <f t="shared" si="14"/>
        <v>547.77590500256315</v>
      </c>
      <c r="CY47" s="62">
        <f ca="1">AVERAGE(OFFSET($CX$3,0,0,'Données projet'!$E$13+1,1))-AVERAGE(OFFSET($H$3,0,0,'Données projet'!$E$13+1,1))</f>
        <v>192.93829651668403</v>
      </c>
      <c r="CZ47" s="62">
        <f t="shared" si="42"/>
        <v>76.592736352376903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5.6</v>
      </c>
      <c r="DO47" s="13">
        <f>IF('Données projet'!$A$166&gt;35,DO46+DN47-DW46,IF(A47&lt;'Données projet'!$A$166,$DL$205^A47,IF(A47='Données projet'!$A$166,'Données projet'!$B$166,DO46+DN47-DW46)))</f>
        <v>101.39999999999999</v>
      </c>
      <c r="DP47" s="18">
        <f>DO47*VLOOKUP('Données projet'!$B$14,Paramètres!$A$1:$I$89,3,0)*VLOOKUP('Données projet'!$B$14,Paramètres!$A$1:$I$89,5,0)</f>
        <v>68.019120000000001</v>
      </c>
      <c r="DQ47" s="14">
        <f t="shared" si="43"/>
        <v>19.180716414103657</v>
      </c>
      <c r="DR47" s="22">
        <f t="shared" si="16"/>
        <v>151.87304842123052</v>
      </c>
      <c r="DS47" s="62">
        <f t="shared" si="17"/>
        <v>445.20638175456384</v>
      </c>
      <c r="DT47" s="62">
        <f ca="1">AVERAGE(OFFSET($DS$3,0,0,'Données projet'!$E$14+1,1))-AVERAGE(OFFSET($H$3,0,0,'Données projet'!$E$14+1,1))</f>
        <v>66.964554307546564</v>
      </c>
      <c r="DU47" s="62">
        <f t="shared" si="44"/>
        <v>21.162700178818568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5.6</v>
      </c>
      <c r="EJ47" s="13">
        <f>IF('Données projet'!$A$192&gt;35,EJ46+EI47-ER46,IF(A47&lt;'Données projet'!$A$192,$EG$205^A47,IF(A47='Données projet'!$A$192,'Données projet'!$B$192,EJ46+EI47-ER46)))</f>
        <v>101.39999999999999</v>
      </c>
      <c r="EK47" s="18">
        <f>EJ47*VLOOKUP('Données projet'!$B$15,Paramètres!$A$1:$I$89,3,0)*VLOOKUP('Données projet'!$B$15,Paramètres!$A$1:$I$89,5,0)</f>
        <v>98.074079999999995</v>
      </c>
      <c r="EL47" s="14">
        <f t="shared" si="45"/>
        <v>26.502655653208453</v>
      </c>
      <c r="EM47" s="22">
        <f t="shared" si="19"/>
        <v>216.97114792933803</v>
      </c>
      <c r="EN47" s="62">
        <f t="shared" si="20"/>
        <v>510.30448126267135</v>
      </c>
      <c r="EO47" s="62">
        <f ca="1">AVERAGE(OFFSET($EN$3,0,0,'Données projet'!$E$15+1,1))-AVERAGE(OFFSET($H$3,0,0,'Données projet'!$E$15+1,1))</f>
        <v>146.90952320473599</v>
      </c>
      <c r="EP47" s="62">
        <f t="shared" si="46"/>
        <v>56.347130462109817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5.6</v>
      </c>
      <c r="FE47" s="13">
        <f>IF('Données projet'!$A$218&gt;35,FE46+FD47-FM46,IF(A47&lt;'Données projet'!$A$218,$FB$205^A47,IF(A47='Données projet'!$A$218,'Données projet'!$B$218,FE46+FD47-FM46)))</f>
        <v>101.39999999999999</v>
      </c>
      <c r="FF47" s="18">
        <f>FE47*VLOOKUP('Données projet'!$B$16,Paramètres!$A$1:$I$89,3,0)*VLOOKUP('Données projet'!$B$16,Paramètres!$A$1:$I$89,5,0)</f>
        <v>109.14695999999999</v>
      </c>
      <c r="FG47" s="14">
        <f t="shared" si="47"/>
        <v>29.129910721485377</v>
      </c>
      <c r="FH47" s="22">
        <f t="shared" si="22"/>
        <v>240.83221650658706</v>
      </c>
      <c r="FI47" s="62">
        <f t="shared" si="23"/>
        <v>534.16554983992035</v>
      </c>
      <c r="FJ47" s="62">
        <f ca="1">AVERAGE(OFFSET($FI$3,0,0,'Données projet'!$E$16+1,1))-AVERAGE(OFFSET($H$3,0,0,'Données projet'!$E$16+1,1))</f>
        <v>176.21892815766847</v>
      </c>
      <c r="FK47" s="62">
        <f t="shared" si="48"/>
        <v>69.239647548491234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4.8</v>
      </c>
      <c r="FZ47" s="13">
        <f>IF('Données projet'!$A$244&gt;35,FZ46+FY47-GH46,IF(A47&lt;'Données projet'!$A$244,$FW$205^A47,IF(A47='Données projet'!$A$244,'Données projet'!$B$244,FZ46+FY47-GH46)))</f>
        <v>115.19999999999995</v>
      </c>
      <c r="GA47" s="18">
        <f>FZ47*VLOOKUP('Données projet'!$B$17,Paramètres!$A$1:$I$89,3,0)*VLOOKUP('Données projet'!$B$17,Paramètres!$A$1:$I$89,5,0)</f>
        <v>91.653119999999959</v>
      </c>
      <c r="GB47" s="14">
        <f t="shared" si="49"/>
        <v>24.963494406608504</v>
      </c>
      <c r="GC47" s="22">
        <f t="shared" si="25"/>
        <v>203.10727009150972</v>
      </c>
      <c r="GD47" s="62">
        <f t="shared" si="26"/>
        <v>496.44060342484306</v>
      </c>
      <c r="GE47" s="62">
        <f ca="1">AVERAGE(OFFSET($GD$3,0,0,'Données projet'!$E$17+1,1))-AVERAGE(OFFSET($H$3,0,0,'Données projet'!$E$17+1,1))</f>
        <v>70.834027458412379</v>
      </c>
      <c r="GF47" s="62">
        <f t="shared" si="50"/>
        <v>74.346987922112362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9.7168507798572695E-2</v>
      </c>
      <c r="GO47" s="23">
        <f t="shared" si="27"/>
        <v>9.7168507798572695E-2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>
        <f>VLOOKUP(A47,'Données projet'!$A$269:$I$289,2,0)</f>
        <v>147</v>
      </c>
      <c r="GS47" s="13">
        <f>VLOOKUP(A47,'Données projet'!$A$269:$I$289,9,0)</f>
        <v>7</v>
      </c>
      <c r="GT47" s="13">
        <f t="array" ref="GT47">INDEX(GS:GS,MIN(IF(ISNUMBER(GS47:GS243),ROW(GS47:GS243),"")))</f>
        <v>7</v>
      </c>
      <c r="GU47" s="13">
        <f>IF('Données projet'!$A$270&gt;35,GU46+GT47-HC46,IF(A47&lt;'Données projet'!$A$270,$GR$205^A47,IF(A47='Données projet'!$A$270,'Données projet'!$B$270,GU46+GT47-HC46)))</f>
        <v>147</v>
      </c>
      <c r="GV47" s="18">
        <f>GU47*VLOOKUP('Données projet'!$B$18,Paramètres!$A$1:$I$89,3,0)*VLOOKUP('Données projet'!$B$18,Paramètres!$A$1:$I$89,5,0)</f>
        <v>114.66000000000001</v>
      </c>
      <c r="GW47" s="14">
        <f t="shared" si="51"/>
        <v>30.426251641117418</v>
      </c>
      <c r="GX47" s="22">
        <f t="shared" si="28"/>
        <v>252.69188827494614</v>
      </c>
      <c r="GY47" s="62">
        <f t="shared" si="29"/>
        <v>546.02522160827948</v>
      </c>
      <c r="GZ47" s="62">
        <f ca="1">AVERAGE(OFFSET($GY$3,0,0,'Données projet'!$E$18+1,1))-AVERAGE(OFFSET($H$3,0,0,'Données projet'!$E$18+1,1))</f>
        <v>99.222094917553648</v>
      </c>
      <c r="HA47" s="62">
        <f t="shared" si="52"/>
        <v>98.371477396766352</v>
      </c>
      <c r="HB47" s="16">
        <f>IF(ISNA(VLOOKUP(A47,'Données projet'!$A$269:$I$289,3,0)),0,VLOOKUP(A47,'Données projet'!$A$269:$I$289,3,0))</f>
        <v>6</v>
      </c>
      <c r="HC47" s="16">
        <f>IF(ISNA(VLOOKUP(A47,'Données projet'!$A$269:$I$289,4,0)),0,VLOOKUP(A47,'Données projet'!$A$269:$I$289,4,0))</f>
        <v>28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2.0217104843239655E-2</v>
      </c>
      <c r="HJ47" s="24">
        <f t="shared" si="30"/>
        <v>2.0217104843239655E-2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</v>
      </c>
      <c r="N48" s="14">
        <f>IF('Données projet'!$A$36&gt;35,N47+M48-V47,IF(A48&lt;'Données projet'!$A$36,$K$205^A48,IF(A48='Données projet'!$A$36,'Données projet'!$B$36,N47+M48-V47)))</f>
        <v>290.99999999999989</v>
      </c>
      <c r="O48" s="14">
        <f>N48*VLOOKUP('Données projet'!$B$9,Paramètres!$A$1:$I$89,3,0)*VLOOKUP('Données projet'!$B$9,Paramètres!$A$1:$I$89,5,0)</f>
        <v>136.18799999999993</v>
      </c>
      <c r="P48" s="14">
        <f t="shared" si="33"/>
        <v>35.422331714503152</v>
      </c>
      <c r="Q48" s="22">
        <f t="shared" si="53"/>
        <v>298.88799440275955</v>
      </c>
      <c r="R48" s="62">
        <f t="shared" si="0"/>
        <v>592.22132773609292</v>
      </c>
      <c r="S48" s="62">
        <f ca="1">AVERAGE(OFFSET($R$3,0,0,'Données projet'!$E$9+1,1))-AVERAGE(OFFSET($H$3,0,0,'Données projet'!$E$9+1,1))</f>
        <v>181.48161394994878</v>
      </c>
      <c r="T48" s="62">
        <f t="shared" si="34"/>
        <v>141.1874974464024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206.85600000000005</v>
      </c>
      <c r="AK48" s="14">
        <f t="shared" si="35"/>
        <v>51.247940588293027</v>
      </c>
      <c r="AL48" s="22">
        <f t="shared" si="4"/>
        <v>449.53102985794379</v>
      </c>
      <c r="AM48" s="62">
        <f t="shared" si="5"/>
        <v>742.86436319127711</v>
      </c>
      <c r="AN48" s="62">
        <f ca="1">AVERAGE(OFFSET($AM$3,0,0,'Données projet'!$E$10+1,1))-AVERAGE(OFFSET($H$3,0,0,'Données projet'!$E$10+1,1))</f>
        <v>340.81036749486179</v>
      </c>
      <c r="AO48" s="62">
        <f t="shared" si="36"/>
        <v>208.88199836488013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318</v>
      </c>
      <c r="BB48" s="13">
        <f>VLOOKUP(A48,'Données projet'!$A$87:$I$107,9,0)</f>
        <v>19</v>
      </c>
      <c r="BC48" s="13">
        <f t="array" ref="BC48">INDEX(BB:BB,MIN(IF(ISNUMBER(BB48:BB244),ROW(BB48:BB244),"")))</f>
        <v>19</v>
      </c>
      <c r="BD48" s="13">
        <f>IF('Données projet'!$A$88&gt;35,BD47+BC48-BL47,IF(A48&lt;'Données projet'!$A$88,$BA$205^A48,IF(A48='Données projet'!$A$88,'Données projet'!$B$88,BD47+BC48-BL47)))</f>
        <v>318.00000000000006</v>
      </c>
      <c r="BE48" s="14">
        <f>BD48*VLOOKUP('Données projet'!$B$11,Paramètres!$A$1:$I$89,3,0)*VLOOKUP('Données projet'!$B$11,Paramètres!$A$1:$I$89,5,0)</f>
        <v>190.16400000000004</v>
      </c>
      <c r="BF48" s="14">
        <f t="shared" si="37"/>
        <v>47.576209101852911</v>
      </c>
      <c r="BG48" s="22">
        <f t="shared" si="7"/>
        <v>414.06419751906054</v>
      </c>
      <c r="BH48" s="62">
        <f t="shared" si="8"/>
        <v>707.39753085239386</v>
      </c>
      <c r="BI48" s="62">
        <f ca="1">AVERAGE(OFFSET($BH$3,0,0,'Données projet'!$E$11+1,1))-AVERAGE(OFFSET($H$3,0,0,'Données projet'!$E$11+1,1))</f>
        <v>257.96727373333601</v>
      </c>
      <c r="BJ48" s="62">
        <f t="shared" si="38"/>
        <v>194.52809733694494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3.9880410505744162</v>
      </c>
      <c r="BR48" s="23">
        <f>EXP(-LN(2)/2)*BR47+(1-EXP(-LN(2)/2))/(LN(2)/2)*BL48*BO48*VLOOKUP('Données projet'!$B$11,Paramètres!$A$1:$I$89,3,0)*0.475*44/12</f>
        <v>7.8566725985676697E-2</v>
      </c>
      <c r="BS48" s="24">
        <f t="shared" si="9"/>
        <v>4.066607776560093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184.57920000000001</v>
      </c>
      <c r="CA48" s="14">
        <f t="shared" si="39"/>
        <v>46.339479465836661</v>
      </c>
      <c r="CB48" s="22">
        <f t="shared" si="10"/>
        <v>402.18336673633218</v>
      </c>
      <c r="CC48" s="62">
        <f t="shared" si="11"/>
        <v>695.51670006966549</v>
      </c>
      <c r="CD48" s="62">
        <f ca="1">AVERAGE(OFFSET($CC$3,0,0,'Données projet'!$E$12+1,1))-AVERAGE(OFFSET($H$3,0,0,'Données projet'!$E$12+1,1))</f>
        <v>292.83612296867898</v>
      </c>
      <c r="CE48" s="62">
        <f t="shared" si="40"/>
        <v>180.48047802041276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0.1562781813868481</v>
      </c>
      <c r="CN48" s="24">
        <f t="shared" si="12"/>
        <v>0.1562781813868481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107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106.99999999999999</v>
      </c>
      <c r="CU48" s="18">
        <f>CT48*VLOOKUP('Données projet'!$B$13,Paramètres!$A$1:$I$89,3,0)*VLOOKUP('Données projet'!$B$13,Paramètres!$A$1:$I$89,5,0)</f>
        <v>121.85159999999998</v>
      </c>
      <c r="CV48" s="14">
        <f t="shared" si="41"/>
        <v>32.106468978964038</v>
      </c>
      <c r="CW48" s="22">
        <f t="shared" si="13"/>
        <v>268.14363680502896</v>
      </c>
      <c r="CX48" s="62">
        <f t="shared" si="14"/>
        <v>561.47697013836228</v>
      </c>
      <c r="CY48" s="62">
        <f ca="1">AVERAGE(OFFSET($CX$3,0,0,'Données projet'!$E$13+1,1))-AVERAGE(OFFSET($H$3,0,0,'Données projet'!$E$13+1,1))</f>
        <v>192.93829651668403</v>
      </c>
      <c r="CZ48" s="62">
        <f t="shared" si="42"/>
        <v>76.592736352376903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14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107</v>
      </c>
      <c r="DM48" s="13">
        <f>VLOOKUP(A48,'Données projet'!$A$165:$I$185,9,0)</f>
        <v>5.6</v>
      </c>
      <c r="DN48" s="13">
        <f t="array" ref="DN48">INDEX(DM:DM,MIN(IF(ISNUMBER(DM48:DM244),ROW(DM48:DM244),"")))</f>
        <v>5.6</v>
      </c>
      <c r="DO48" s="13">
        <f>IF('Données projet'!$A$166&gt;35,DO47+DN48-DW47,IF(A48&lt;'Données projet'!$A$166,$DL$205^A48,IF(A48='Données projet'!$A$166,'Données projet'!$B$166,DO47+DN48-DW47)))</f>
        <v>106.99999999999999</v>
      </c>
      <c r="DP48" s="18">
        <f>DO48*VLOOKUP('Données projet'!$B$14,Paramètres!$A$1:$I$89,3,0)*VLOOKUP('Données projet'!$B$14,Paramètres!$A$1:$I$89,5,0)</f>
        <v>71.775599999999983</v>
      </c>
      <c r="DQ48" s="14">
        <f t="shared" si="43"/>
        <v>20.113756735968991</v>
      </c>
      <c r="DR48" s="22">
        <f t="shared" si="16"/>
        <v>160.04062964847927</v>
      </c>
      <c r="DS48" s="62">
        <f t="shared" si="17"/>
        <v>453.37396298181261</v>
      </c>
      <c r="DT48" s="62">
        <f ca="1">AVERAGE(OFFSET($DS$3,0,0,'Données projet'!$E$14+1,1))-AVERAGE(OFFSET($H$3,0,0,'Données projet'!$E$14+1,1))</f>
        <v>66.964554307546564</v>
      </c>
      <c r="DU48" s="62">
        <f t="shared" si="44"/>
        <v>21.162700178818568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14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107</v>
      </c>
      <c r="EH48" s="13">
        <f>VLOOKUP(A48,'Données projet'!$A$191:$I$211,9,0)</f>
        <v>5.6</v>
      </c>
      <c r="EI48" s="13">
        <f t="array" ref="EI48">INDEX(EH:EH,MIN(IF(ISNUMBER(EH48:EH244),ROW(EH48:EH244),"")))</f>
        <v>5.6</v>
      </c>
      <c r="EJ48" s="13">
        <f>IF('Données projet'!$A$192&gt;35,EJ47+EI48-ER47,IF(A48&lt;'Données projet'!$A$192,$EG$205^A48,IF(A48='Données projet'!$A$192,'Données projet'!$B$192,EJ47+EI48-ER47)))</f>
        <v>106.99999999999999</v>
      </c>
      <c r="EK48" s="18">
        <f>EJ48*VLOOKUP('Données projet'!$B$15,Paramètres!$A$1:$I$89,3,0)*VLOOKUP('Données projet'!$B$15,Paramètres!$A$1:$I$89,5,0)</f>
        <v>103.49039999999998</v>
      </c>
      <c r="EL48" s="14">
        <f t="shared" si="45"/>
        <v>27.791869560921153</v>
      </c>
      <c r="EM48" s="22">
        <f t="shared" si="19"/>
        <v>228.64995281860425</v>
      </c>
      <c r="EN48" s="62">
        <f t="shared" si="20"/>
        <v>521.98328615193759</v>
      </c>
      <c r="EO48" s="62">
        <f ca="1">AVERAGE(OFFSET($EN$3,0,0,'Données projet'!$E$15+1,1))-AVERAGE(OFFSET($H$3,0,0,'Données projet'!$E$15+1,1))</f>
        <v>146.90952320473599</v>
      </c>
      <c r="EP48" s="62">
        <f t="shared" si="46"/>
        <v>56.347130462109817</v>
      </c>
      <c r="EQ48" s="16">
        <f>IF(ISNA(VLOOKUP(A48,'Données projet'!$A$191:$I$211,3,0)),0,VLOOKUP(A48,'Données projet'!$A$191:$I$211,3,0))</f>
        <v>5</v>
      </c>
      <c r="ER48" s="16">
        <f>IF(ISNA(VLOOKUP(A48,'Données projet'!$A$191:$I$211,4,0)),0,VLOOKUP(A48,'Données projet'!$A$191:$I$211,4,0))</f>
        <v>14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107</v>
      </c>
      <c r="FC48" s="13">
        <f>VLOOKUP(A48,'Données projet'!$A$217:$I$237,9,0)</f>
        <v>5.6</v>
      </c>
      <c r="FD48" s="13">
        <f t="array" ref="FD48">INDEX(FC:FC,MIN(IF(ISNUMBER(FC48:FC244),ROW(FC48:FC244),"")))</f>
        <v>5.6</v>
      </c>
      <c r="FE48" s="13">
        <f>IF('Données projet'!$A$218&gt;35,FE47+FD48-FM47,IF(A48&lt;'Données projet'!$A$218,$FB$205^A48,IF(A48='Données projet'!$A$218,'Données projet'!$B$218,FE47+FD48-FM47)))</f>
        <v>106.99999999999999</v>
      </c>
      <c r="FF48" s="18">
        <f>FE48*VLOOKUP('Données projet'!$B$16,Paramètres!$A$1:$I$89,3,0)*VLOOKUP('Données projet'!$B$16,Paramètres!$A$1:$I$89,5,0)</f>
        <v>115.17479999999998</v>
      </c>
      <c r="FG48" s="14">
        <f t="shared" si="47"/>
        <v>30.546926681092497</v>
      </c>
      <c r="FH48" s="22">
        <f t="shared" si="22"/>
        <v>253.79867396956936</v>
      </c>
      <c r="FI48" s="62">
        <f t="shared" si="23"/>
        <v>547.13200730290271</v>
      </c>
      <c r="FJ48" s="62">
        <f ca="1">AVERAGE(OFFSET($FI$3,0,0,'Données projet'!$E$16+1,1))-AVERAGE(OFFSET($H$3,0,0,'Données projet'!$E$16+1,1))</f>
        <v>176.21892815766847</v>
      </c>
      <c r="FK48" s="62">
        <f t="shared" si="48"/>
        <v>69.239647548491234</v>
      </c>
      <c r="FL48" s="16">
        <f>IF(ISNA(VLOOKUP(A48,'Données projet'!$A$217:$I$237,3,0)),0,VLOOKUP(A48,'Données projet'!$A$217:$I$237,3,0))</f>
        <v>5</v>
      </c>
      <c r="FM48" s="16">
        <f>IF(ISNA(VLOOKUP(A48,'Données projet'!$A$217:$I$237,4,0)),0,VLOOKUP(A48,'Données projet'!$A$217:$I$237,4,0))</f>
        <v>14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120</v>
      </c>
      <c r="FX48" s="13">
        <f>VLOOKUP(A48,'Données projet'!$A$243:$I$263,9,0)</f>
        <v>4.8</v>
      </c>
      <c r="FY48" s="13">
        <f t="array" ref="FY48">INDEX(FX:FX,MIN(IF(ISNUMBER(FX48:FX244),ROW(FX48:FX244),"")))</f>
        <v>4.8</v>
      </c>
      <c r="FZ48" s="13">
        <f>IF('Données projet'!$A$244&gt;35,FZ47+FY48-GH47,IF(A48&lt;'Données projet'!$A$244,$FW$205^A48,IF(A48='Données projet'!$A$244,'Données projet'!$B$244,FZ47+FY48-GH47)))</f>
        <v>119.99999999999994</v>
      </c>
      <c r="GA48" s="18">
        <f>FZ48*VLOOKUP('Données projet'!$B$17,Paramètres!$A$1:$I$89,3,0)*VLOOKUP('Données projet'!$B$17,Paramètres!$A$1:$I$89,5,0)</f>
        <v>95.471999999999966</v>
      </c>
      <c r="GB48" s="14">
        <f t="shared" si="49"/>
        <v>25.880372123231144</v>
      </c>
      <c r="GC48" s="22">
        <f t="shared" si="25"/>
        <v>211.35538144796081</v>
      </c>
      <c r="GD48" s="62">
        <f t="shared" si="26"/>
        <v>504.68871478129415</v>
      </c>
      <c r="GE48" s="62">
        <f ca="1">AVERAGE(OFFSET($GD$3,0,0,'Données projet'!$E$17+1,1))-AVERAGE(OFFSET($H$3,0,0,'Données projet'!$E$17+1,1))</f>
        <v>70.834027458412379</v>
      </c>
      <c r="GF48" s="62">
        <f t="shared" si="50"/>
        <v>74.346987922112362</v>
      </c>
      <c r="GG48" s="16">
        <f>IF(ISNA(VLOOKUP(A48,'Données projet'!$A$243:$I$263,3,0)),0,VLOOKUP(A48,'Données projet'!$A$243:$I$263,3,0))</f>
        <v>6</v>
      </c>
      <c r="GH48" s="16">
        <f>IF(ISNA(VLOOKUP(A48,'Données projet'!$A$243:$I$263,4,0)),0,VLOOKUP(A48,'Données projet'!$A$243:$I$263,4,0))</f>
        <v>14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6.870851078214868E-2</v>
      </c>
      <c r="GO48" s="23">
        <f t="shared" si="27"/>
        <v>6.870851078214868E-2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6.75</v>
      </c>
      <c r="GU48" s="13">
        <f>IF('Données projet'!$A$270&gt;35,GU47+GT48-HC47,IF(A48&lt;'Données projet'!$A$270,$GR$205^A48,IF(A48='Données projet'!$A$270,'Données projet'!$B$270,GU47+GT48-HC47)))</f>
        <v>125.75</v>
      </c>
      <c r="GV48" s="18">
        <f>GU48*VLOOKUP('Données projet'!$B$18,Paramètres!$A$1:$I$89,3,0)*VLOOKUP('Données projet'!$B$18,Paramètres!$A$1:$I$89,5,0)</f>
        <v>98.085000000000008</v>
      </c>
      <c r="GW48" s="14">
        <f t="shared" si="51"/>
        <v>26.5052630713468</v>
      </c>
      <c r="GX48" s="22">
        <f t="shared" si="28"/>
        <v>216.9947081825957</v>
      </c>
      <c r="GY48" s="62">
        <f t="shared" si="29"/>
        <v>510.32804151592904</v>
      </c>
      <c r="GZ48" s="62">
        <f ca="1">AVERAGE(OFFSET($GY$3,0,0,'Données projet'!$E$18+1,1))-AVERAGE(OFFSET($H$3,0,0,'Données projet'!$E$18+1,1))</f>
        <v>99.222094917553648</v>
      </c>
      <c r="HA48" s="62">
        <f t="shared" si="52"/>
        <v>98.371477396766352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1.4295651930614153E-2</v>
      </c>
      <c r="HJ48" s="24">
        <f t="shared" si="30"/>
        <v>1.4295651930614153E-2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</v>
      </c>
      <c r="N49" s="14">
        <f>IF('Données projet'!$A$36&gt;35,N48+M49-V48,IF(A49&lt;'Données projet'!$A$36,$K$205^A49,IF(A49='Données projet'!$A$36,'Données projet'!$B$36,N48+M49-V48)))</f>
        <v>308.49999999999989</v>
      </c>
      <c r="O49" s="14">
        <f>N49*VLOOKUP('Données projet'!$B$9,Paramètres!$A$1:$I$89,3,0)*VLOOKUP('Données projet'!$B$9,Paramètres!$A$1:$I$89,5,0)</f>
        <v>144.37799999999996</v>
      </c>
      <c r="P49" s="14">
        <f t="shared" si="33"/>
        <v>37.298139369272413</v>
      </c>
      <c r="Q49" s="22">
        <f t="shared" si="53"/>
        <v>316.41927606814937</v>
      </c>
      <c r="R49" s="62">
        <f t="shared" si="0"/>
        <v>609.75260940148269</v>
      </c>
      <c r="S49" s="62">
        <f ca="1">AVERAGE(OFFSET($R$3,0,0,'Données projet'!$E$9+1,1))-AVERAGE(OFFSET($H$3,0,0,'Données projet'!$E$9+1,1))</f>
        <v>181.48161394994878</v>
      </c>
      <c r="T49" s="62">
        <f t="shared" si="34"/>
        <v>141.1874974464024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189.61800000000005</v>
      </c>
      <c r="AK49" s="14">
        <f t="shared" si="35"/>
        <v>47.4554881852685</v>
      </c>
      <c r="AL49" s="22">
        <f t="shared" si="4"/>
        <v>412.90299192267599</v>
      </c>
      <c r="AM49" s="62">
        <f t="shared" si="5"/>
        <v>706.23632525600931</v>
      </c>
      <c r="AN49" s="62">
        <f ca="1">AVERAGE(OFFSET($AM$3,0,0,'Données projet'!$E$10+1,1))-AVERAGE(OFFSET($H$3,0,0,'Données projet'!$E$10+1,1))</f>
        <v>340.81036749486179</v>
      </c>
      <c r="AO49" s="62">
        <f t="shared" si="36"/>
        <v>208.88199836488013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282.40000000000003</v>
      </c>
      <c r="BE49" s="14">
        <f>BD49*VLOOKUP('Données projet'!$B$11,Paramètres!$A$1:$I$89,3,0)*VLOOKUP('Données projet'!$B$11,Paramètres!$A$1:$I$89,5,0)</f>
        <v>168.87520000000004</v>
      </c>
      <c r="BF49" s="14">
        <f t="shared" si="37"/>
        <v>42.838008554673955</v>
      </c>
      <c r="BG49" s="22">
        <f t="shared" si="7"/>
        <v>368.73383823272388</v>
      </c>
      <c r="BH49" s="62">
        <f t="shared" si="8"/>
        <v>662.06717156605714</v>
      </c>
      <c r="BI49" s="62">
        <f ca="1">AVERAGE(OFFSET($BH$3,0,0,'Données projet'!$E$11+1,1))-AVERAGE(OFFSET($H$3,0,0,'Données projet'!$E$11+1,1))</f>
        <v>257.96727373333601</v>
      </c>
      <c r="BJ49" s="62">
        <f t="shared" si="38"/>
        <v>194.52809733694494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3.8789878583244946</v>
      </c>
      <c r="BR49" s="23">
        <f>EXP(-LN(2)/2)*BR48+(1-EXP(-LN(2)/2))/(LN(2)/2)*BL49*BO49*VLOOKUP('Données projet'!$B$11,Paramètres!$A$1:$I$89,3,0)*0.475*44/12</f>
        <v>5.555506472009733E-2</v>
      </c>
      <c r="BS49" s="24">
        <f t="shared" si="9"/>
        <v>3.9345429230445919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169.19760000000002</v>
      </c>
      <c r="CA49" s="14">
        <f t="shared" si="39"/>
        <v>42.910263223432885</v>
      </c>
      <c r="CB49" s="22">
        <f t="shared" si="10"/>
        <v>369.42119511414558</v>
      </c>
      <c r="CC49" s="62">
        <f t="shared" si="11"/>
        <v>662.75452844747883</v>
      </c>
      <c r="CD49" s="62">
        <f ca="1">AVERAGE(OFFSET($CC$3,0,0,'Données projet'!$E$12+1,1))-AVERAGE(OFFSET($H$3,0,0,'Données projet'!$E$12+1,1))</f>
        <v>292.83612296867898</v>
      </c>
      <c r="CE49" s="62">
        <f t="shared" si="40"/>
        <v>180.48047802041276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0.11050536181014159</v>
      </c>
      <c r="CN49" s="24">
        <f t="shared" si="12"/>
        <v>0.11050536181014159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112.28567999999997</v>
      </c>
      <c r="CV49" s="14">
        <f t="shared" si="41"/>
        <v>29.868862334766153</v>
      </c>
      <c r="CW49" s="22">
        <f t="shared" si="13"/>
        <v>247.58582789971763</v>
      </c>
      <c r="CX49" s="62">
        <f t="shared" si="14"/>
        <v>540.919161233051</v>
      </c>
      <c r="CY49" s="62">
        <f ca="1">AVERAGE(OFFSET($CX$3,0,0,'Données projet'!$E$13+1,1))-AVERAGE(OFFSET($H$3,0,0,'Données projet'!$E$13+1,1))</f>
        <v>192.93829651668403</v>
      </c>
      <c r="CZ49" s="62">
        <f t="shared" si="42"/>
        <v>76.592736352376903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5.6</v>
      </c>
      <c r="DO49" s="13">
        <f>IF('Données projet'!$A$166&gt;35,DO48+DN49-DW48,IF(A49&lt;'Données projet'!$A$166,$DL$205^A49,IF(A49='Données projet'!$A$166,'Données projet'!$B$166,DO48+DN49-DW48)))</f>
        <v>98.59999999999998</v>
      </c>
      <c r="DP49" s="18">
        <f>DO49*VLOOKUP('Données projet'!$B$14,Paramètres!$A$1:$I$89,3,0)*VLOOKUP('Données projet'!$B$14,Paramètres!$A$1:$I$89,5,0)</f>
        <v>66.140879999999981</v>
      </c>
      <c r="DQ49" s="14">
        <f t="shared" si="43"/>
        <v>18.711962108796726</v>
      </c>
      <c r="DR49" s="22">
        <f t="shared" si="16"/>
        <v>147.78536667282091</v>
      </c>
      <c r="DS49" s="62">
        <f t="shared" si="17"/>
        <v>441.1187000061542</v>
      </c>
      <c r="DT49" s="62">
        <f ca="1">AVERAGE(OFFSET($DS$3,0,0,'Données projet'!$E$14+1,1))-AVERAGE(OFFSET($H$3,0,0,'Données projet'!$E$14+1,1))</f>
        <v>66.964554307546564</v>
      </c>
      <c r="DU49" s="62">
        <f t="shared" si="44"/>
        <v>21.162700178818568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5.6</v>
      </c>
      <c r="EJ49" s="13">
        <f>IF('Données projet'!$A$192&gt;35,EJ48+EI49-ER48,IF(A49&lt;'Données projet'!$A$192,$EG$205^A49,IF(A49='Données projet'!$A$192,'Données projet'!$B$192,EJ48+EI49-ER48)))</f>
        <v>98.59999999999998</v>
      </c>
      <c r="EK49" s="18">
        <f>EJ49*VLOOKUP('Données projet'!$B$15,Paramètres!$A$1:$I$89,3,0)*VLOOKUP('Données projet'!$B$15,Paramètres!$A$1:$I$89,5,0)</f>
        <v>95.365919999999974</v>
      </c>
      <c r="EL49" s="14">
        <f t="shared" si="45"/>
        <v>25.854961705219438</v>
      </c>
      <c r="EM49" s="22">
        <f t="shared" si="19"/>
        <v>211.12636896992379</v>
      </c>
      <c r="EN49" s="62">
        <f t="shared" si="20"/>
        <v>504.45970230325713</v>
      </c>
      <c r="EO49" s="62">
        <f ca="1">AVERAGE(OFFSET($EN$3,0,0,'Données projet'!$E$15+1,1))-AVERAGE(OFFSET($H$3,0,0,'Données projet'!$E$15+1,1))</f>
        <v>146.90952320473599</v>
      </c>
      <c r="EP49" s="62">
        <f t="shared" si="46"/>
        <v>56.347130462109817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5.6</v>
      </c>
      <c r="FE49" s="13">
        <f>IF('Données projet'!$A$218&gt;35,FE48+FD49-FM48,IF(A49&lt;'Données projet'!$A$218,$FB$205^A49,IF(A49='Données projet'!$A$218,'Données projet'!$B$218,FE48+FD49-FM48)))</f>
        <v>98.59999999999998</v>
      </c>
      <c r="FF49" s="18">
        <f>FE49*VLOOKUP('Données projet'!$B$16,Paramètres!$A$1:$I$89,3,0)*VLOOKUP('Données projet'!$B$16,Paramètres!$A$1:$I$89,5,0)</f>
        <v>106.13303999999997</v>
      </c>
      <c r="FG49" s="14">
        <f t="shared" si="47"/>
        <v>28.418009728368016</v>
      </c>
      <c r="FH49" s="22">
        <f t="shared" si="22"/>
        <v>234.34307827690756</v>
      </c>
      <c r="FI49" s="62">
        <f t="shared" si="23"/>
        <v>527.67641161024085</v>
      </c>
      <c r="FJ49" s="62">
        <f ca="1">AVERAGE(OFFSET($FI$3,0,0,'Données projet'!$E$16+1,1))-AVERAGE(OFFSET($H$3,0,0,'Données projet'!$E$16+1,1))</f>
        <v>176.21892815766847</v>
      </c>
      <c r="FK49" s="62">
        <f t="shared" si="48"/>
        <v>69.239647548491234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4.2</v>
      </c>
      <c r="FZ49" s="13">
        <f>IF('Données projet'!$A$244&gt;35,FZ48+FY49-GH48,IF(A49&lt;'Données projet'!$A$244,$FW$205^A49,IF(A49='Données projet'!$A$244,'Données projet'!$B$244,FZ48+FY49-GH48)))</f>
        <v>110.19999999999995</v>
      </c>
      <c r="GA49" s="18">
        <f>FZ49*VLOOKUP('Données projet'!$B$17,Paramètres!$A$1:$I$89,3,0)*VLOOKUP('Données projet'!$B$17,Paramètres!$A$1:$I$89,5,0)</f>
        <v>87.675119999999964</v>
      </c>
      <c r="GB49" s="14">
        <f t="shared" si="49"/>
        <v>24.003668728272238</v>
      </c>
      <c r="GC49" s="22">
        <f t="shared" si="25"/>
        <v>194.50722370174071</v>
      </c>
      <c r="GD49" s="62">
        <f t="shared" si="26"/>
        <v>487.84055703507403</v>
      </c>
      <c r="GE49" s="62">
        <f ca="1">AVERAGE(OFFSET($GD$3,0,0,'Données projet'!$E$17+1,1))-AVERAGE(OFFSET($H$3,0,0,'Données projet'!$E$17+1,1))</f>
        <v>70.834027458412379</v>
      </c>
      <c r="GF49" s="62">
        <f t="shared" si="50"/>
        <v>74.346987922112362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4.8584253899286348E-2</v>
      </c>
      <c r="GO49" s="23">
        <f t="shared" si="27"/>
        <v>4.8584253899286348E-2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6.75</v>
      </c>
      <c r="GU49" s="13">
        <f>IF('Données projet'!$A$270&gt;35,GU48+GT49-HC48,IF(A49&lt;'Données projet'!$A$270,$GR$205^A49,IF(A49='Données projet'!$A$270,'Données projet'!$B$270,GU48+GT49-HC48)))</f>
        <v>132.5</v>
      </c>
      <c r="GV49" s="18">
        <f>GU49*VLOOKUP('Données projet'!$B$18,Paramètres!$A$1:$I$89,3,0)*VLOOKUP('Données projet'!$B$18,Paramètres!$A$1:$I$89,5,0)</f>
        <v>103.35000000000001</v>
      </c>
      <c r="GW49" s="14">
        <f t="shared" si="51"/>
        <v>27.758551875853698</v>
      </c>
      <c r="GX49" s="22">
        <f t="shared" si="28"/>
        <v>228.34739451711189</v>
      </c>
      <c r="GY49" s="62">
        <f t="shared" si="29"/>
        <v>521.68072785044524</v>
      </c>
      <c r="GZ49" s="62">
        <f ca="1">AVERAGE(OFFSET($GY$3,0,0,'Données projet'!$E$18+1,1))-AVERAGE(OFFSET($H$3,0,0,'Données projet'!$E$18+1,1))</f>
        <v>99.222094917553648</v>
      </c>
      <c r="HA49" s="62">
        <f t="shared" si="52"/>
        <v>98.371477396766352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1.0108552421619827E-2</v>
      </c>
      <c r="HJ49" s="24">
        <f t="shared" si="30"/>
        <v>1.0108552421619827E-2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</v>
      </c>
      <c r="N50" s="14">
        <f>IF('Données projet'!$A$36&gt;35,N49+M50-V49,IF(A50&lt;'Données projet'!$A$36,$K$205^A50,IF(A50='Données projet'!$A$36,'Données projet'!$B$36,N49+M50-V49)))</f>
        <v>325.99999999999989</v>
      </c>
      <c r="O50" s="14">
        <f>N50*VLOOKUP('Données projet'!$B$9,Paramètres!$A$1:$I$89,3,0)*VLOOKUP('Données projet'!$B$9,Paramètres!$A$1:$I$89,5,0)</f>
        <v>152.56799999999996</v>
      </c>
      <c r="P50" s="14">
        <f t="shared" si="33"/>
        <v>39.161595030150863</v>
      </c>
      <c r="Q50" s="22">
        <f t="shared" si="53"/>
        <v>333.92904467751265</v>
      </c>
      <c r="R50" s="62">
        <f t="shared" si="0"/>
        <v>627.26237801084596</v>
      </c>
      <c r="S50" s="62">
        <f ca="1">AVERAGE(OFFSET($R$3,0,0,'Données projet'!$E$9+1,1))-AVERAGE(OFFSET($H$3,0,0,'Données projet'!$E$9+1,1))</f>
        <v>181.48161394994878</v>
      </c>
      <c r="T50" s="62">
        <f t="shared" si="34"/>
        <v>141.1874974464024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200.77200000000002</v>
      </c>
      <c r="AK50" s="14">
        <f t="shared" si="35"/>
        <v>49.913791898945412</v>
      </c>
      <c r="AL50" s="22">
        <f t="shared" si="4"/>
        <v>436.61108755732994</v>
      </c>
      <c r="AM50" s="62">
        <f t="shared" si="5"/>
        <v>729.9444208906632</v>
      </c>
      <c r="AN50" s="62">
        <f ca="1">AVERAGE(OFFSET($AM$3,0,0,'Données projet'!$E$10+1,1))-AVERAGE(OFFSET($H$3,0,0,'Données projet'!$E$10+1,1))</f>
        <v>340.81036749486179</v>
      </c>
      <c r="AO50" s="62">
        <f t="shared" si="36"/>
        <v>208.88199836488013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299.8</v>
      </c>
      <c r="BE50" s="14">
        <f>BD50*VLOOKUP('Données projet'!$B$11,Paramètres!$A$1:$I$89,3,0)*VLOOKUP('Données projet'!$B$11,Paramètres!$A$1:$I$89,5,0)</f>
        <v>179.28040000000001</v>
      </c>
      <c r="BF50" s="14">
        <f t="shared" si="37"/>
        <v>45.162051118824294</v>
      </c>
      <c r="BG50" s="22">
        <f t="shared" si="7"/>
        <v>390.90393569861902</v>
      </c>
      <c r="BH50" s="62">
        <f t="shared" si="8"/>
        <v>684.23726903195234</v>
      </c>
      <c r="BI50" s="62">
        <f ca="1">AVERAGE(OFFSET($BH$3,0,0,'Données projet'!$E$11+1,1))-AVERAGE(OFFSET($H$3,0,0,'Données projet'!$E$11+1,1))</f>
        <v>257.96727373333601</v>
      </c>
      <c r="BJ50" s="62">
        <f t="shared" si="38"/>
        <v>194.52809733694494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3.7729167313515055</v>
      </c>
      <c r="BR50" s="23">
        <f>EXP(-LN(2)/2)*BR49+(1-EXP(-LN(2)/2))/(LN(2)/2)*BL50*BO50*VLOOKUP('Données projet'!$B$11,Paramètres!$A$1:$I$89,3,0)*0.475*44/12</f>
        <v>3.9283362992838348E-2</v>
      </c>
      <c r="BS50" s="24">
        <f t="shared" si="9"/>
        <v>3.8122000943443437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179.15040000000002</v>
      </c>
      <c r="CA50" s="14">
        <f t="shared" si="39"/>
        <v>45.133113803437304</v>
      </c>
      <c r="CB50" s="22">
        <f t="shared" si="10"/>
        <v>390.62711987431999</v>
      </c>
      <c r="CC50" s="62">
        <f t="shared" si="11"/>
        <v>683.96045320765325</v>
      </c>
      <c r="CD50" s="62">
        <f ca="1">AVERAGE(OFFSET($CC$3,0,0,'Données projet'!$E$12+1,1))-AVERAGE(OFFSET($H$3,0,0,'Données projet'!$E$12+1,1))</f>
        <v>292.83612296867898</v>
      </c>
      <c r="CE50" s="62">
        <f t="shared" si="40"/>
        <v>180.48047802041276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7.8139090693424063E-2</v>
      </c>
      <c r="CN50" s="24">
        <f t="shared" si="12"/>
        <v>7.8139090693424063E-2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118.66295999999997</v>
      </c>
      <c r="CV50" s="14">
        <f t="shared" si="41"/>
        <v>31.362953608533388</v>
      </c>
      <c r="CW50" s="22">
        <f t="shared" si="13"/>
        <v>261.29513286819559</v>
      </c>
      <c r="CX50" s="62">
        <f t="shared" si="14"/>
        <v>554.62846620152891</v>
      </c>
      <c r="CY50" s="62">
        <f ca="1">AVERAGE(OFFSET($CX$3,0,0,'Données projet'!$E$13+1,1))-AVERAGE(OFFSET($H$3,0,0,'Données projet'!$E$13+1,1))</f>
        <v>192.93829651668403</v>
      </c>
      <c r="CZ50" s="62">
        <f t="shared" si="42"/>
        <v>76.592736352376903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5.6</v>
      </c>
      <c r="DO50" s="13">
        <f>IF('Données projet'!$A$166&gt;35,DO49+DN50-DW49,IF(A50&lt;'Données projet'!$A$166,$DL$205^A50,IF(A50='Données projet'!$A$166,'Données projet'!$B$166,DO49+DN50-DW49)))</f>
        <v>104.19999999999997</v>
      </c>
      <c r="DP50" s="18">
        <f>DO50*VLOOKUP('Données projet'!$B$14,Paramètres!$A$1:$I$89,3,0)*VLOOKUP('Données projet'!$B$14,Paramètres!$A$1:$I$89,5,0)</f>
        <v>69.897359999999992</v>
      </c>
      <c r="DQ50" s="14">
        <f t="shared" si="43"/>
        <v>19.647966265515983</v>
      </c>
      <c r="DR50" s="22">
        <f t="shared" si="16"/>
        <v>155.95810991244028</v>
      </c>
      <c r="DS50" s="62">
        <f t="shared" si="17"/>
        <v>449.29144324577362</v>
      </c>
      <c r="DT50" s="62">
        <f ca="1">AVERAGE(OFFSET($DS$3,0,0,'Données projet'!$E$14+1,1))-AVERAGE(OFFSET($H$3,0,0,'Données projet'!$E$14+1,1))</f>
        <v>66.964554307546564</v>
      </c>
      <c r="DU50" s="62">
        <f t="shared" si="44"/>
        <v>21.162700178818568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5.6</v>
      </c>
      <c r="EJ50" s="13">
        <f>IF('Données projet'!$A$192&gt;35,EJ49+EI50-ER49,IF(A50&lt;'Données projet'!$A$192,$EG$205^A50,IF(A50='Données projet'!$A$192,'Données projet'!$B$192,EJ49+EI50-ER49)))</f>
        <v>104.19999999999997</v>
      </c>
      <c r="EK50" s="18">
        <f>EJ50*VLOOKUP('Données projet'!$B$15,Paramètres!$A$1:$I$89,3,0)*VLOOKUP('Données projet'!$B$15,Paramètres!$A$1:$I$89,5,0)</f>
        <v>100.78223999999997</v>
      </c>
      <c r="EL50" s="14">
        <f t="shared" si="45"/>
        <v>27.148270845500655</v>
      </c>
      <c r="EM50" s="22">
        <f t="shared" si="19"/>
        <v>222.81230638924691</v>
      </c>
      <c r="EN50" s="62">
        <f t="shared" si="20"/>
        <v>516.1456397225802</v>
      </c>
      <c r="EO50" s="62">
        <f ca="1">AVERAGE(OFFSET($EN$3,0,0,'Données projet'!$E$15+1,1))-AVERAGE(OFFSET($H$3,0,0,'Données projet'!$E$15+1,1))</f>
        <v>146.90952320473599</v>
      </c>
      <c r="EP50" s="62">
        <f t="shared" si="46"/>
        <v>56.347130462109817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5.6</v>
      </c>
      <c r="FE50" s="13">
        <f>IF('Données projet'!$A$218&gt;35,FE49+FD50-FM49,IF(A50&lt;'Données projet'!$A$218,$FB$205^A50,IF(A50='Données projet'!$A$218,'Données projet'!$B$218,FE49+FD50-FM49)))</f>
        <v>104.19999999999997</v>
      </c>
      <c r="FF50" s="18">
        <f>FE50*VLOOKUP('Données projet'!$B$16,Paramètres!$A$1:$I$89,3,0)*VLOOKUP('Données projet'!$B$16,Paramètres!$A$1:$I$89,5,0)</f>
        <v>112.16087999999998</v>
      </c>
      <c r="FG50" s="14">
        <f t="shared" si="47"/>
        <v>29.839526888181876</v>
      </c>
      <c r="FH50" s="22">
        <f t="shared" si="22"/>
        <v>247.31737533025003</v>
      </c>
      <c r="FI50" s="62">
        <f t="shared" si="23"/>
        <v>540.65070866358337</v>
      </c>
      <c r="FJ50" s="62">
        <f ca="1">AVERAGE(OFFSET($FI$3,0,0,'Données projet'!$E$16+1,1))-AVERAGE(OFFSET($H$3,0,0,'Données projet'!$E$16+1,1))</f>
        <v>176.21892815766847</v>
      </c>
      <c r="FK50" s="62">
        <f t="shared" si="48"/>
        <v>69.239647548491234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4.2</v>
      </c>
      <c r="FZ50" s="13">
        <f>IF('Données projet'!$A$244&gt;35,FZ49+FY50-GH49,IF(A50&lt;'Données projet'!$A$244,$FW$205^A50,IF(A50='Données projet'!$A$244,'Données projet'!$B$244,FZ49+FY50-GH49)))</f>
        <v>114.39999999999995</v>
      </c>
      <c r="GA50" s="18">
        <f>FZ50*VLOOKUP('Données projet'!$B$17,Paramètres!$A$1:$I$89,3,0)*VLOOKUP('Données projet'!$B$17,Paramètres!$A$1:$I$89,5,0)</f>
        <v>91.016639999999967</v>
      </c>
      <c r="GB50" s="14">
        <f t="shared" si="49"/>
        <v>24.810253560871615</v>
      </c>
      <c r="GC50" s="22">
        <f t="shared" si="25"/>
        <v>201.73183961851797</v>
      </c>
      <c r="GD50" s="62">
        <f t="shared" si="26"/>
        <v>495.06517295185131</v>
      </c>
      <c r="GE50" s="62">
        <f ca="1">AVERAGE(OFFSET($GD$3,0,0,'Données projet'!$E$17+1,1))-AVERAGE(OFFSET($H$3,0,0,'Données projet'!$E$17+1,1))</f>
        <v>70.834027458412379</v>
      </c>
      <c r="GF50" s="62">
        <f t="shared" si="50"/>
        <v>74.346987922112362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3.435425539107434E-2</v>
      </c>
      <c r="GO50" s="23">
        <f t="shared" si="27"/>
        <v>3.435425539107434E-2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6.75</v>
      </c>
      <c r="GU50" s="13">
        <f>IF('Données projet'!$A$270&gt;35,GU49+GT50-HC49,IF(A50&lt;'Données projet'!$A$270,$GR$205^A50,IF(A50='Données projet'!$A$270,'Données projet'!$B$270,GU49+GT50-HC49)))</f>
        <v>139.25</v>
      </c>
      <c r="GV50" s="18">
        <f>GU50*VLOOKUP('Données projet'!$B$18,Paramètres!$A$1:$I$89,3,0)*VLOOKUP('Données projet'!$B$18,Paramètres!$A$1:$I$89,5,0)</f>
        <v>108.61500000000001</v>
      </c>
      <c r="GW50" s="14">
        <f t="shared" si="51"/>
        <v>29.004427520043176</v>
      </c>
      <c r="GX50" s="22">
        <f t="shared" si="28"/>
        <v>239.68716959740854</v>
      </c>
      <c r="GY50" s="62">
        <f t="shared" si="29"/>
        <v>533.02050293074183</v>
      </c>
      <c r="GZ50" s="62">
        <f ca="1">AVERAGE(OFFSET($GY$3,0,0,'Données projet'!$E$18+1,1))-AVERAGE(OFFSET($H$3,0,0,'Données projet'!$E$18+1,1))</f>
        <v>99.222094917553648</v>
      </c>
      <c r="HA50" s="62">
        <f t="shared" si="52"/>
        <v>98.371477396766352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7.1478259653070765E-3</v>
      </c>
      <c r="HJ50" s="24">
        <f t="shared" si="30"/>
        <v>7.1478259653070765E-3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</v>
      </c>
      <c r="N51" s="14">
        <f>IF('Données projet'!$A$36&gt;35,N50+M51-V50,IF(A51&lt;'Données projet'!$A$36,$K$205^A51,IF(A51='Données projet'!$A$36,'Données projet'!$B$36,N50+M51-V50)))</f>
        <v>343.49999999999989</v>
      </c>
      <c r="O51" s="14">
        <f>N51*VLOOKUP('Données projet'!$B$9,Paramètres!$A$1:$I$89,3,0)*VLOOKUP('Données projet'!$B$9,Paramètres!$A$1:$I$89,5,0)</f>
        <v>160.75799999999995</v>
      </c>
      <c r="P51" s="14">
        <f t="shared" si="33"/>
        <v>41.013437365421375</v>
      </c>
      <c r="Q51" s="22">
        <f t="shared" si="53"/>
        <v>351.41858674477544</v>
      </c>
      <c r="R51" s="62">
        <f t="shared" si="0"/>
        <v>644.7519200781087</v>
      </c>
      <c r="S51" s="62">
        <f ca="1">AVERAGE(OFFSET($R$3,0,0,'Données projet'!$E$9+1,1))-AVERAGE(OFFSET($H$3,0,0,'Données projet'!$E$9+1,1))</f>
        <v>181.48161394994878</v>
      </c>
      <c r="T51" s="62">
        <f t="shared" si="34"/>
        <v>141.1874974464024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211.92600000000004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753.62490353300643</v>
      </c>
      <c r="AN51" s="62">
        <f ca="1">AVERAGE(OFFSET($AM$3,0,0,'Données projet'!$E$10+1,1))-AVERAGE(OFFSET($H$3,0,0,'Données projet'!$E$10+1,1))</f>
        <v>340.81036749486179</v>
      </c>
      <c r="AO51" s="62">
        <f t="shared" si="36"/>
        <v>208.88199836488013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317.2</v>
      </c>
      <c r="BE51" s="14">
        <f>BD51*VLOOKUP('Données projet'!$B$11,Paramètres!$A$1:$I$89,3,0)*VLOOKUP('Données projet'!$B$11,Paramètres!$A$1:$I$89,5,0)</f>
        <v>189.68560000000002</v>
      </c>
      <c r="BF51" s="14">
        <f t="shared" si="37"/>
        <v>47.470436776872745</v>
      </c>
      <c r="BG51" s="22">
        <f t="shared" si="7"/>
        <v>413.04676405305344</v>
      </c>
      <c r="BH51" s="62">
        <f t="shared" si="8"/>
        <v>706.38009738638675</v>
      </c>
      <c r="BI51" s="62">
        <f ca="1">AVERAGE(OFFSET($BH$3,0,0,'Données projet'!$E$11+1,1))-AVERAGE(OFFSET($H$3,0,0,'Données projet'!$E$11+1,1))</f>
        <v>257.96727373333601</v>
      </c>
      <c r="BJ51" s="62">
        <f t="shared" si="38"/>
        <v>194.52809733694494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3.6697461249236309</v>
      </c>
      <c r="BR51" s="23">
        <f>EXP(-LN(2)/2)*BR50+(1-EXP(-LN(2)/2))/(LN(2)/2)*BL51*BO51*VLOOKUP('Données projet'!$B$11,Paramètres!$A$1:$I$89,3,0)*0.475*44/12</f>
        <v>2.7777532360048665E-2</v>
      </c>
      <c r="BS51" s="24">
        <f t="shared" si="9"/>
        <v>3.6975236572836798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189.10320000000002</v>
      </c>
      <c r="CA51" s="14">
        <f t="shared" si="39"/>
        <v>47.34162854278712</v>
      </c>
      <c r="CB51" s="22">
        <f t="shared" si="10"/>
        <v>411.80807637868764</v>
      </c>
      <c r="CC51" s="62">
        <f t="shared" si="11"/>
        <v>705.14140971202096</v>
      </c>
      <c r="CD51" s="62">
        <f ca="1">AVERAGE(OFFSET($CC$3,0,0,'Données projet'!$E$12+1,1))-AVERAGE(OFFSET($H$3,0,0,'Données projet'!$E$12+1,1))</f>
        <v>292.83612296867898</v>
      </c>
      <c r="CE51" s="62">
        <f t="shared" si="40"/>
        <v>180.48047802041276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5.5252680905070801E-2</v>
      </c>
      <c r="CN51" s="24">
        <f t="shared" si="12"/>
        <v>5.5252680905070801E-2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125.04023999999998</v>
      </c>
      <c r="CV51" s="14">
        <f t="shared" si="41"/>
        <v>32.847722788381112</v>
      </c>
      <c r="CW51" s="22">
        <f t="shared" si="13"/>
        <v>274.98820185643041</v>
      </c>
      <c r="CX51" s="62">
        <f t="shared" si="14"/>
        <v>568.32153518976372</v>
      </c>
      <c r="CY51" s="62">
        <f ca="1">AVERAGE(OFFSET($CX$3,0,0,'Données projet'!$E$13+1,1))-AVERAGE(OFFSET($H$3,0,0,'Données projet'!$E$13+1,1))</f>
        <v>192.93829651668403</v>
      </c>
      <c r="CZ51" s="62">
        <f t="shared" si="42"/>
        <v>76.592736352376903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5.6</v>
      </c>
      <c r="DO51" s="13">
        <f>IF('Données projet'!$A$166&gt;35,DO50+DN51-DW50,IF(A51&lt;'Données projet'!$A$166,$DL$205^A51,IF(A51='Données projet'!$A$166,'Données projet'!$B$166,DO50+DN51-DW50)))</f>
        <v>109.79999999999997</v>
      </c>
      <c r="DP51" s="18">
        <f>DO51*VLOOKUP('Données projet'!$B$14,Paramètres!$A$1:$I$89,3,0)*VLOOKUP('Données projet'!$B$14,Paramètres!$A$1:$I$89,5,0)</f>
        <v>73.653839999999974</v>
      </c>
      <c r="DQ51" s="14">
        <f t="shared" si="43"/>
        <v>20.578130405088231</v>
      </c>
      <c r="DR51" s="22">
        <f t="shared" si="16"/>
        <v>164.12068178886196</v>
      </c>
      <c r="DS51" s="62">
        <f t="shared" si="17"/>
        <v>457.4540151221953</v>
      </c>
      <c r="DT51" s="62">
        <f ca="1">AVERAGE(OFFSET($DS$3,0,0,'Données projet'!$E$14+1,1))-AVERAGE(OFFSET($H$3,0,0,'Données projet'!$E$14+1,1))</f>
        <v>66.964554307546564</v>
      </c>
      <c r="DU51" s="62">
        <f t="shared" si="44"/>
        <v>21.162700178818568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5.6</v>
      </c>
      <c r="EJ51" s="13">
        <f>IF('Données projet'!$A$192&gt;35,EJ50+EI51-ER50,IF(A51&lt;'Données projet'!$A$192,$EG$205^A51,IF(A51='Données projet'!$A$192,'Données projet'!$B$192,EJ50+EI51-ER50)))</f>
        <v>109.79999999999997</v>
      </c>
      <c r="EK51" s="18">
        <f>EJ51*VLOOKUP('Données projet'!$B$15,Paramètres!$A$1:$I$89,3,0)*VLOOKUP('Données projet'!$B$15,Paramètres!$A$1:$I$89,5,0)</f>
        <v>106.19855999999997</v>
      </c>
      <c r="EL51" s="14">
        <f t="shared" si="45"/>
        <v>28.433510633203252</v>
      </c>
      <c r="EM51" s="22">
        <f t="shared" si="19"/>
        <v>234.48418968616227</v>
      </c>
      <c r="EN51" s="62">
        <f t="shared" si="20"/>
        <v>527.81752301949564</v>
      </c>
      <c r="EO51" s="62">
        <f ca="1">AVERAGE(OFFSET($EN$3,0,0,'Données projet'!$E$15+1,1))-AVERAGE(OFFSET($H$3,0,0,'Données projet'!$E$15+1,1))</f>
        <v>146.90952320473599</v>
      </c>
      <c r="EP51" s="62">
        <f t="shared" si="46"/>
        <v>56.347130462109817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5.6</v>
      </c>
      <c r="FE51" s="13">
        <f>IF('Données projet'!$A$218&gt;35,FE50+FD51-FM50,IF(A51&lt;'Données projet'!$A$218,$FB$205^A51,IF(A51='Données projet'!$A$218,'Données projet'!$B$218,FE50+FD51-FM50)))</f>
        <v>109.79999999999997</v>
      </c>
      <c r="FF51" s="18">
        <f>FE51*VLOOKUP('Données projet'!$B$16,Paramètres!$A$1:$I$89,3,0)*VLOOKUP('Données projet'!$B$16,Paramètres!$A$1:$I$89,5,0)</f>
        <v>118.18871999999996</v>
      </c>
      <c r="FG51" s="14">
        <f t="shared" si="47"/>
        <v>31.252174766242543</v>
      </c>
      <c r="FH51" s="22">
        <f t="shared" si="22"/>
        <v>260.2762250512057</v>
      </c>
      <c r="FI51" s="62">
        <f t="shared" si="23"/>
        <v>553.60955838453901</v>
      </c>
      <c r="FJ51" s="62">
        <f ca="1">AVERAGE(OFFSET($FI$3,0,0,'Données projet'!$E$16+1,1))-AVERAGE(OFFSET($H$3,0,0,'Données projet'!$E$16+1,1))</f>
        <v>176.21892815766847</v>
      </c>
      <c r="FK51" s="62">
        <f t="shared" si="48"/>
        <v>69.239647548491234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4.2</v>
      </c>
      <c r="FZ51" s="13">
        <f>IF('Données projet'!$A$244&gt;35,FZ50+FY51-GH50,IF(A51&lt;'Données projet'!$A$244,$FW$205^A51,IF(A51='Données projet'!$A$244,'Données projet'!$B$244,FZ50+FY51-GH50)))</f>
        <v>118.59999999999995</v>
      </c>
      <c r="GA51" s="18">
        <f>FZ51*VLOOKUP('Données projet'!$B$17,Paramètres!$A$1:$I$89,3,0)*VLOOKUP('Données projet'!$B$17,Paramètres!$A$1:$I$89,5,0)</f>
        <v>94.35815999999997</v>
      </c>
      <c r="GB51" s="14">
        <f t="shared" si="49"/>
        <v>25.613398050576336</v>
      </c>
      <c r="GC51" s="22">
        <f t="shared" si="25"/>
        <v>208.95046360475374</v>
      </c>
      <c r="GD51" s="62">
        <f t="shared" si="26"/>
        <v>502.28379693808705</v>
      </c>
      <c r="GE51" s="62">
        <f ca="1">AVERAGE(OFFSET($GD$3,0,0,'Données projet'!$E$17+1,1))-AVERAGE(OFFSET($H$3,0,0,'Données projet'!$E$17+1,1))</f>
        <v>70.834027458412379</v>
      </c>
      <c r="GF51" s="62">
        <f t="shared" si="50"/>
        <v>74.346987922112362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2.4292126949643174E-2</v>
      </c>
      <c r="GO51" s="23">
        <f t="shared" si="27"/>
        <v>2.4292126949643174E-2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6.75</v>
      </c>
      <c r="GU51" s="13">
        <f>IF('Données projet'!$A$270&gt;35,GU50+GT51-HC50,IF(A51&lt;'Données projet'!$A$270,$GR$205^A51,IF(A51='Données projet'!$A$270,'Données projet'!$B$270,GU50+GT51-HC50)))</f>
        <v>146</v>
      </c>
      <c r="GV51" s="18">
        <f>GU51*VLOOKUP('Données projet'!$B$18,Paramètres!$A$1:$I$89,3,0)*VLOOKUP('Données projet'!$B$18,Paramètres!$A$1:$I$89,5,0)</f>
        <v>113.88000000000001</v>
      </c>
      <c r="GW51" s="14">
        <f t="shared" si="51"/>
        <v>30.243290368229957</v>
      </c>
      <c r="GX51" s="22">
        <f t="shared" si="28"/>
        <v>251.01473072466717</v>
      </c>
      <c r="GY51" s="62">
        <f t="shared" si="29"/>
        <v>544.34806405800055</v>
      </c>
      <c r="GZ51" s="62">
        <f ca="1">AVERAGE(OFFSET($GY$3,0,0,'Données projet'!$E$18+1,1))-AVERAGE(OFFSET($H$3,0,0,'Données projet'!$E$18+1,1))</f>
        <v>99.222094917553648</v>
      </c>
      <c r="HA51" s="62">
        <f t="shared" si="52"/>
        <v>98.371477396766352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5.0542762108099137E-3</v>
      </c>
      <c r="HJ51" s="24">
        <f t="shared" si="30"/>
        <v>5.0542762108099137E-3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</v>
      </c>
      <c r="L52" s="13">
        <f>VLOOKUP(A52,'Données projet'!$A$35:$I$55,9,0)</f>
        <v>17.5</v>
      </c>
      <c r="M52" s="13">
        <f t="array" ref="M52">INDEX(L:L,MIN(IF(ISNUMBER(L52:L248),ROW(L52:L248),"")))</f>
        <v>17.5</v>
      </c>
      <c r="N52" s="14">
        <f>IF('Données projet'!$A$36&gt;35,N51+M52-V51,IF(A52&lt;'Données projet'!$A$36,$K$205^A52,IF(A52='Données projet'!$A$36,'Données projet'!$B$36,N51+M52-V51)))</f>
        <v>360.99999999999989</v>
      </c>
      <c r="O52" s="14">
        <f>N52*VLOOKUP('Données projet'!$B$9,Paramètres!$A$1:$I$89,3,0)*VLOOKUP('Données projet'!$B$9,Paramètres!$A$1:$I$89,5,0)</f>
        <v>168.94799999999995</v>
      </c>
      <c r="P52" s="14">
        <f t="shared" si="33"/>
        <v>42.854325527446242</v>
      </c>
      <c r="Q52" s="22">
        <f t="shared" si="53"/>
        <v>368.88905029363542</v>
      </c>
      <c r="R52" s="62">
        <f t="shared" si="0"/>
        <v>662.22238362696874</v>
      </c>
      <c r="S52" s="62">
        <f ca="1">AVERAGE(OFFSET($R$3,0,0,'Données projet'!$E$9+1,1))-AVERAGE(OFFSET($H$3,0,0,'Données projet'!$E$9+1,1))</f>
        <v>181.48161394994878</v>
      </c>
      <c r="T52" s="62">
        <f t="shared" si="34"/>
        <v>141.1874974464024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777.27939223762587</v>
      </c>
      <c r="AN52" s="62">
        <f ca="1">AVERAGE(OFFSET($AM$3,0,0,'Données projet'!$E$10+1,1))-AVERAGE(OFFSET($H$3,0,0,'Données projet'!$E$10+1,1))</f>
        <v>340.81036749486179</v>
      </c>
      <c r="AO52" s="62">
        <f t="shared" si="36"/>
        <v>208.88199836488013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334.59999999999997</v>
      </c>
      <c r="BE52" s="14">
        <f>BD52*VLOOKUP('Données projet'!$B$11,Paramètres!$A$1:$I$89,3,0)*VLOOKUP('Données projet'!$B$11,Paramètres!$A$1:$I$89,5,0)</f>
        <v>200.0908</v>
      </c>
      <c r="BF52" s="14">
        <f t="shared" si="37"/>
        <v>49.764122289960234</v>
      </c>
      <c r="BG52" s="22">
        <f t="shared" si="7"/>
        <v>435.16398965501406</v>
      </c>
      <c r="BH52" s="62">
        <f t="shared" si="8"/>
        <v>728.49732298834738</v>
      </c>
      <c r="BI52" s="62">
        <f ca="1">AVERAGE(OFFSET($BH$3,0,0,'Données projet'!$E$11+1,1))-AVERAGE(OFFSET($H$3,0,0,'Données projet'!$E$11+1,1))</f>
        <v>257.96727373333601</v>
      </c>
      <c r="BJ52" s="62">
        <f t="shared" si="38"/>
        <v>194.52809733694494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3.569396724154033</v>
      </c>
      <c r="BR52" s="23">
        <f>EXP(-LN(2)/2)*BR51+(1-EXP(-LN(2)/2))/(LN(2)/2)*BL52*BO52*VLOOKUP('Données projet'!$B$11,Paramètres!$A$1:$I$89,3,0)*0.475*44/12</f>
        <v>1.9641681496419174E-2</v>
      </c>
      <c r="BS52" s="24">
        <f t="shared" si="9"/>
        <v>3.5890384056504523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199.05600000000001</v>
      </c>
      <c r="CA52" s="14">
        <f t="shared" si="39"/>
        <v>49.536648006253934</v>
      </c>
      <c r="CB52" s="22">
        <f t="shared" si="10"/>
        <v>432.96552861089231</v>
      </c>
      <c r="CC52" s="62">
        <f t="shared" si="11"/>
        <v>726.29886194422556</v>
      </c>
      <c r="CD52" s="62">
        <f ca="1">AVERAGE(OFFSET($CC$3,0,0,'Données projet'!$E$12+1,1))-AVERAGE(OFFSET($H$3,0,0,'Données projet'!$E$12+1,1))</f>
        <v>292.83612296867898</v>
      </c>
      <c r="CE52" s="62">
        <f t="shared" si="40"/>
        <v>180.48047802041276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3.9069545346712031E-2</v>
      </c>
      <c r="CN52" s="24">
        <f t="shared" si="12"/>
        <v>3.9069545346712031E-2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131.41751999999997</v>
      </c>
      <c r="CV52" s="14">
        <f t="shared" si="41"/>
        <v>34.323699557891082</v>
      </c>
      <c r="CW52" s="22">
        <f t="shared" si="13"/>
        <v>288.66595739666019</v>
      </c>
      <c r="CX52" s="62">
        <f t="shared" si="14"/>
        <v>581.9992907299935</v>
      </c>
      <c r="CY52" s="62">
        <f ca="1">AVERAGE(OFFSET($CX$3,0,0,'Données projet'!$E$13+1,1))-AVERAGE(OFFSET($H$3,0,0,'Données projet'!$E$13+1,1))</f>
        <v>192.93829651668403</v>
      </c>
      <c r="CZ52" s="62">
        <f t="shared" si="42"/>
        <v>76.592736352376903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5.6</v>
      </c>
      <c r="DO52" s="13">
        <f>IF('Données projet'!$A$166&gt;35,DO51+DN52-DW51,IF(A52&lt;'Données projet'!$A$166,$DL$205^A52,IF(A52='Données projet'!$A$166,'Données projet'!$B$166,DO51+DN52-DW51)))</f>
        <v>115.39999999999996</v>
      </c>
      <c r="DP52" s="18">
        <f>DO52*VLOOKUP('Données projet'!$B$14,Paramètres!$A$1:$I$89,3,0)*VLOOKUP('Données projet'!$B$14,Paramètres!$A$1:$I$89,5,0)</f>
        <v>77.410319999999984</v>
      </c>
      <c r="DQ52" s="14">
        <f t="shared" si="43"/>
        <v>21.50278635866929</v>
      </c>
      <c r="DR52" s="22">
        <f t="shared" si="16"/>
        <v>172.27366024134895</v>
      </c>
      <c r="DS52" s="62">
        <f t="shared" si="17"/>
        <v>465.60699357468229</v>
      </c>
      <c r="DT52" s="62">
        <f ca="1">AVERAGE(OFFSET($DS$3,0,0,'Données projet'!$E$14+1,1))-AVERAGE(OFFSET($H$3,0,0,'Données projet'!$E$14+1,1))</f>
        <v>66.964554307546564</v>
      </c>
      <c r="DU52" s="62">
        <f t="shared" si="44"/>
        <v>21.162700178818568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5.6</v>
      </c>
      <c r="EJ52" s="13">
        <f>IF('Données projet'!$A$192&gt;35,EJ51+EI52-ER51,IF(A52&lt;'Données projet'!$A$192,$EG$205^A52,IF(A52='Données projet'!$A$192,'Données projet'!$B$192,EJ51+EI52-ER51)))</f>
        <v>115.39999999999996</v>
      </c>
      <c r="EK52" s="18">
        <f>EJ52*VLOOKUP('Données projet'!$B$15,Paramètres!$A$1:$I$89,3,0)*VLOOKUP('Données projet'!$B$15,Paramètres!$A$1:$I$89,5,0)</f>
        <v>111.61487999999996</v>
      </c>
      <c r="EL52" s="14">
        <f t="shared" si="45"/>
        <v>29.711139570849625</v>
      </c>
      <c r="EM52" s="22">
        <f t="shared" si="19"/>
        <v>246.14281741922969</v>
      </c>
      <c r="EN52" s="62">
        <f t="shared" si="20"/>
        <v>539.47615075256294</v>
      </c>
      <c r="EO52" s="62">
        <f ca="1">AVERAGE(OFFSET($EN$3,0,0,'Données projet'!$E$15+1,1))-AVERAGE(OFFSET($H$3,0,0,'Données projet'!$E$15+1,1))</f>
        <v>146.90952320473599</v>
      </c>
      <c r="EP52" s="62">
        <f t="shared" si="46"/>
        <v>56.347130462109817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5.6</v>
      </c>
      <c r="FE52" s="13">
        <f>IF('Données projet'!$A$218&gt;35,FE51+FD52-FM51,IF(A52&lt;'Données projet'!$A$218,$FB$205^A52,IF(A52='Données projet'!$A$218,'Données projet'!$B$218,FE51+FD52-FM51)))</f>
        <v>115.39999999999996</v>
      </c>
      <c r="FF52" s="18">
        <f>FE52*VLOOKUP('Données projet'!$B$16,Paramètres!$A$1:$I$89,3,0)*VLOOKUP('Données projet'!$B$16,Paramètres!$A$1:$I$89,5,0)</f>
        <v>124.21655999999994</v>
      </c>
      <c r="FG52" s="14">
        <f t="shared" si="47"/>
        <v>32.656457317237347</v>
      </c>
      <c r="FH52" s="22">
        <f t="shared" si="22"/>
        <v>273.220505160855</v>
      </c>
      <c r="FI52" s="62">
        <f t="shared" si="23"/>
        <v>566.55383849418831</v>
      </c>
      <c r="FJ52" s="62">
        <f ca="1">AVERAGE(OFFSET($FI$3,0,0,'Données projet'!$E$16+1,1))-AVERAGE(OFFSET($H$3,0,0,'Données projet'!$E$16+1,1))</f>
        <v>176.21892815766847</v>
      </c>
      <c r="FK52" s="62">
        <f t="shared" si="48"/>
        <v>69.239647548491234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4.2</v>
      </c>
      <c r="FZ52" s="13">
        <f>IF('Données projet'!$A$244&gt;35,FZ51+FY52-GH51,IF(A52&lt;'Données projet'!$A$244,$FW$205^A52,IF(A52='Données projet'!$A$244,'Données projet'!$B$244,FZ51+FY52-GH51)))</f>
        <v>122.79999999999995</v>
      </c>
      <c r="GA52" s="18">
        <f>FZ52*VLOOKUP('Données projet'!$B$17,Paramètres!$A$1:$I$89,3,0)*VLOOKUP('Données projet'!$B$17,Paramètres!$A$1:$I$89,5,0)</f>
        <v>97.699679999999972</v>
      </c>
      <c r="GB52" s="14">
        <f t="shared" si="49"/>
        <v>26.413237989944633</v>
      </c>
      <c r="GC52" s="22">
        <f t="shared" si="25"/>
        <v>216.16333216582018</v>
      </c>
      <c r="GD52" s="62">
        <f t="shared" si="26"/>
        <v>509.49666549915349</v>
      </c>
      <c r="GE52" s="62">
        <f ca="1">AVERAGE(OFFSET($GD$3,0,0,'Données projet'!$E$17+1,1))-AVERAGE(OFFSET($H$3,0,0,'Données projet'!$E$17+1,1))</f>
        <v>70.834027458412379</v>
      </c>
      <c r="GF52" s="62">
        <f t="shared" si="50"/>
        <v>74.346987922112362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1.717712769553717E-2</v>
      </c>
      <c r="GO52" s="23">
        <f t="shared" si="27"/>
        <v>1.717712769553717E-2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6.75</v>
      </c>
      <c r="GU52" s="13">
        <f>IF('Données projet'!$A$270&gt;35,GU51+GT52-HC51,IF(A52&lt;'Données projet'!$A$270,$GR$205^A52,IF(A52='Données projet'!$A$270,'Données projet'!$B$270,GU51+GT52-HC51)))</f>
        <v>152.75</v>
      </c>
      <c r="GV52" s="18">
        <f>GU52*VLOOKUP('Données projet'!$B$18,Paramètres!$A$1:$I$89,3,0)*VLOOKUP('Données projet'!$B$18,Paramètres!$A$1:$I$89,5,0)</f>
        <v>119.14500000000001</v>
      </c>
      <c r="GW52" s="14">
        <f t="shared" si="51"/>
        <v>31.475501672437705</v>
      </c>
      <c r="GX52" s="22">
        <f t="shared" si="28"/>
        <v>262.33070707949565</v>
      </c>
      <c r="GY52" s="62">
        <f t="shared" si="29"/>
        <v>555.66404041282897</v>
      </c>
      <c r="GZ52" s="62">
        <f ca="1">AVERAGE(OFFSET($GY$3,0,0,'Données projet'!$E$18+1,1))-AVERAGE(OFFSET($H$3,0,0,'Données projet'!$E$18+1,1))</f>
        <v>99.222094917553648</v>
      </c>
      <c r="HA52" s="62">
        <f t="shared" si="52"/>
        <v>98.371477396766352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3.5739129826535382E-3</v>
      </c>
      <c r="HJ52" s="24">
        <f t="shared" si="30"/>
        <v>3.5739129826535382E-3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278</v>
      </c>
      <c r="L53" s="13">
        <f>VLOOKUP(A53,'Données projet'!$A$35:$I$55,9,0)</f>
        <v>17</v>
      </c>
      <c r="M53" s="13">
        <f t="array" ref="M53">INDEX(L:L,MIN(IF(ISNUMBER(L53:L249),ROW(L53:L249),"")))</f>
        <v>17</v>
      </c>
      <c r="N53" s="14">
        <f>IF('Données projet'!$A$36&gt;35,N52+M53-V52,IF(A53&lt;'Données projet'!$A$36,$K$205^A53,IF(A53='Données projet'!$A$36,'Données projet'!$B$36,N52+M53-V52)))</f>
        <v>277.99999999999989</v>
      </c>
      <c r="O53" s="14">
        <f>N53*VLOOKUP('Données projet'!$B$9,Paramètres!$A$1:$I$89,3,0)*VLOOKUP('Données projet'!$B$9,Paramètres!$A$1:$I$89,5,0)</f>
        <v>130.10399999999996</v>
      </c>
      <c r="P53" s="14">
        <f t="shared" si="33"/>
        <v>34.020389560268086</v>
      </c>
      <c r="Q53" s="22">
        <f t="shared" si="53"/>
        <v>285.84997848413349</v>
      </c>
      <c r="R53" s="62">
        <f t="shared" si="0"/>
        <v>579.1833118174668</v>
      </c>
      <c r="S53" s="62">
        <f ca="1">AVERAGE(OFFSET($R$3,0,0,'Données projet'!$E$9+1,1))-AVERAGE(OFFSET($H$3,0,0,'Données projet'!$E$9+1,1))</f>
        <v>181.48161394994878</v>
      </c>
      <c r="T53" s="62">
        <f t="shared" si="34"/>
        <v>141.1874974464024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800.90933500769279</v>
      </c>
      <c r="AN53" s="62">
        <f ca="1">AVERAGE(OFFSET($AM$3,0,0,'Données projet'!$E$10+1,1))-AVERAGE(OFFSET($H$3,0,0,'Données projet'!$E$10+1,1))</f>
        <v>340.81036749486179</v>
      </c>
      <c r="AO53" s="62">
        <f t="shared" si="36"/>
        <v>208.88199836488013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352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351.99999999999994</v>
      </c>
      <c r="BE53" s="14">
        <f>BD53*VLOOKUP('Données projet'!$B$11,Paramètres!$A$1:$I$89,3,0)*VLOOKUP('Données projet'!$B$11,Paramètres!$A$1:$I$89,5,0)</f>
        <v>210.49599999999998</v>
      </c>
      <c r="BF53" s="14">
        <f t="shared" si="37"/>
        <v>52.043959291168463</v>
      </c>
      <c r="BG53" s="22">
        <f t="shared" si="7"/>
        <v>457.25709576545165</v>
      </c>
      <c r="BH53" s="62">
        <f t="shared" si="8"/>
        <v>750.59042909878497</v>
      </c>
      <c r="BI53" s="62">
        <f ca="1">AVERAGE(OFFSET($BH$3,0,0,'Données projet'!$E$11+1,1))-AVERAGE(OFFSET($H$3,0,0,'Données projet'!$E$11+1,1))</f>
        <v>257.96727373333601</v>
      </c>
      <c r="BJ53" s="62">
        <f t="shared" si="38"/>
        <v>194.52809733694494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3.4717913830256251</v>
      </c>
      <c r="BR53" s="23">
        <f>EXP(-LN(2)/2)*BR52+(1-EXP(-LN(2)/2))/(LN(2)/2)*BL53*BO53*VLOOKUP('Données projet'!$B$11,Paramètres!$A$1:$I$89,3,0)*0.475*44/12</f>
        <v>1.3888766180024333E-2</v>
      </c>
      <c r="BS53" s="24">
        <f t="shared" si="9"/>
        <v>3.4856801492056495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209.00880000000004</v>
      </c>
      <c r="CA53" s="14">
        <f t="shared" si="39"/>
        <v>51.718923953824252</v>
      </c>
      <c r="CB53" s="22">
        <f t="shared" si="10"/>
        <v>454.10078588624395</v>
      </c>
      <c r="CC53" s="62">
        <f t="shared" si="11"/>
        <v>747.43411921957727</v>
      </c>
      <c r="CD53" s="62">
        <f ca="1">AVERAGE(OFFSET($CC$3,0,0,'Données projet'!$E$12+1,1))-AVERAGE(OFFSET($H$3,0,0,'Données projet'!$E$12+1,1))</f>
        <v>292.83612296867898</v>
      </c>
      <c r="CE53" s="62">
        <f t="shared" si="40"/>
        <v>180.48047802041276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2.7626340452535401E-2</v>
      </c>
      <c r="CN53" s="24">
        <f t="shared" si="12"/>
        <v>2.7626340452535401E-2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137.79479999999995</v>
      </c>
      <c r="CV53" s="14">
        <f t="shared" si="41"/>
        <v>35.79135928840963</v>
      </c>
      <c r="CW53" s="22">
        <f t="shared" si="13"/>
        <v>302.32922742731336</v>
      </c>
      <c r="CX53" s="62">
        <f t="shared" si="14"/>
        <v>595.66256076064667</v>
      </c>
      <c r="CY53" s="62">
        <f ca="1">AVERAGE(OFFSET($CX$3,0,0,'Données projet'!$E$13+1,1))-AVERAGE(OFFSET($H$3,0,0,'Données projet'!$E$13+1,1))</f>
        <v>192.93829651668403</v>
      </c>
      <c r="CZ53" s="62">
        <f t="shared" si="42"/>
        <v>76.592736352376903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14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121</v>
      </c>
      <c r="DM53" s="13">
        <f>VLOOKUP(A53,'Données projet'!$A$165:$I$185,9,0)</f>
        <v>5.6</v>
      </c>
      <c r="DN53" s="13">
        <f t="array" ref="DN53">INDEX(DM:DM,MIN(IF(ISNUMBER(DM53:DM249),ROW(DM53:DM249),"")))</f>
        <v>5.6</v>
      </c>
      <c r="DO53" s="13">
        <f>IF('Données projet'!$A$166&gt;35,DO52+DN53-DW52,IF(A53&lt;'Données projet'!$A$166,$DL$205^A53,IF(A53='Données projet'!$A$166,'Données projet'!$B$166,DO52+DN53-DW52)))</f>
        <v>120.99999999999996</v>
      </c>
      <c r="DP53" s="18">
        <f>DO53*VLOOKUP('Données projet'!$B$14,Paramètres!$A$1:$I$89,3,0)*VLOOKUP('Données projet'!$B$14,Paramètres!$A$1:$I$89,5,0)</f>
        <v>81.166799999999967</v>
      </c>
      <c r="DQ53" s="14">
        <f t="shared" si="43"/>
        <v>22.422231932399924</v>
      </c>
      <c r="DR53" s="22">
        <f t="shared" si="16"/>
        <v>180.4175639489298</v>
      </c>
      <c r="DS53" s="62">
        <f t="shared" si="17"/>
        <v>473.75089728226311</v>
      </c>
      <c r="DT53" s="62">
        <f ca="1">AVERAGE(OFFSET($DS$3,0,0,'Données projet'!$E$14+1,1))-AVERAGE(OFFSET($H$3,0,0,'Données projet'!$E$14+1,1))</f>
        <v>66.964554307546564</v>
      </c>
      <c r="DU53" s="62">
        <f t="shared" si="44"/>
        <v>21.162700178818568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14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121</v>
      </c>
      <c r="EH53" s="13">
        <f>VLOOKUP(A53,'Données projet'!$A$191:$I$211,9,0)</f>
        <v>5.6</v>
      </c>
      <c r="EI53" s="13">
        <f t="array" ref="EI53">INDEX(EH:EH,MIN(IF(ISNUMBER(EH53:EH249),ROW(EH53:EH249),"")))</f>
        <v>5.6</v>
      </c>
      <c r="EJ53" s="13">
        <f>IF('Données projet'!$A$192&gt;35,EJ52+EI53-ER52,IF(A53&lt;'Données projet'!$A$192,$EG$205^A53,IF(A53='Données projet'!$A$192,'Données projet'!$B$192,EJ52+EI53-ER52)))</f>
        <v>120.99999999999996</v>
      </c>
      <c r="EK53" s="18">
        <f>EJ53*VLOOKUP('Données projet'!$B$15,Paramètres!$A$1:$I$89,3,0)*VLOOKUP('Données projet'!$B$15,Paramètres!$A$1:$I$89,5,0)</f>
        <v>117.03119999999996</v>
      </c>
      <c r="EL53" s="14">
        <f t="shared" si="45"/>
        <v>30.981569147428527</v>
      </c>
      <c r="EM53" s="22">
        <f t="shared" si="19"/>
        <v>257.78890626510457</v>
      </c>
      <c r="EN53" s="62">
        <f t="shared" si="20"/>
        <v>551.12223959843789</v>
      </c>
      <c r="EO53" s="62">
        <f ca="1">AVERAGE(OFFSET($EN$3,0,0,'Données projet'!$E$15+1,1))-AVERAGE(OFFSET($H$3,0,0,'Données projet'!$E$15+1,1))</f>
        <v>146.90952320473599</v>
      </c>
      <c r="EP53" s="62">
        <f t="shared" si="46"/>
        <v>56.347130462109817</v>
      </c>
      <c r="EQ53" s="16">
        <f>IF(ISNA(VLOOKUP(A53,'Données projet'!$A$191:$I$211,3,0)),0,VLOOKUP(A53,'Données projet'!$A$191:$I$211,3,0))</f>
        <v>6</v>
      </c>
      <c r="ER53" s="16">
        <f>IF(ISNA(VLOOKUP(A53,'Données projet'!$A$191:$I$211,4,0)),0,VLOOKUP(A53,'Données projet'!$A$191:$I$211,4,0))</f>
        <v>14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121</v>
      </c>
      <c r="FC53" s="13">
        <f>VLOOKUP(A53,'Données projet'!$A$217:$I$237,9,0)</f>
        <v>5.6</v>
      </c>
      <c r="FD53" s="13">
        <f t="array" ref="FD53">INDEX(FC:FC,MIN(IF(ISNUMBER(FC53:FC249),ROW(FC53:FC249),"")))</f>
        <v>5.6</v>
      </c>
      <c r="FE53" s="13">
        <f>IF('Données projet'!$A$218&gt;35,FE52+FD53-FM52,IF(A53&lt;'Données projet'!$A$218,$FB$205^A53,IF(A53='Données projet'!$A$218,'Données projet'!$B$218,FE52+FD53-FM52)))</f>
        <v>120.99999999999996</v>
      </c>
      <c r="FF53" s="18">
        <f>FE53*VLOOKUP('Données projet'!$B$16,Paramètres!$A$1:$I$89,3,0)*VLOOKUP('Données projet'!$B$16,Paramètres!$A$1:$I$89,5,0)</f>
        <v>130.24439999999996</v>
      </c>
      <c r="FG53" s="14">
        <f t="shared" si="47"/>
        <v>34.052826821785409</v>
      </c>
      <c r="FH53" s="22">
        <f t="shared" si="22"/>
        <v>286.1510033812761</v>
      </c>
      <c r="FI53" s="62">
        <f t="shared" si="23"/>
        <v>579.48433671460941</v>
      </c>
      <c r="FJ53" s="62">
        <f ca="1">AVERAGE(OFFSET($FI$3,0,0,'Données projet'!$E$16+1,1))-AVERAGE(OFFSET($H$3,0,0,'Données projet'!$E$16+1,1))</f>
        <v>176.21892815766847</v>
      </c>
      <c r="FK53" s="62">
        <f t="shared" si="48"/>
        <v>69.239647548491234</v>
      </c>
      <c r="FL53" s="16">
        <f>IF(ISNA(VLOOKUP(A53,'Données projet'!$A$217:$I$237,3,0)),0,VLOOKUP(A53,'Données projet'!$A$217:$I$237,3,0))</f>
        <v>6</v>
      </c>
      <c r="FM53" s="16">
        <f>IF(ISNA(VLOOKUP(A53,'Données projet'!$A$217:$I$237,4,0)),0,VLOOKUP(A53,'Données projet'!$A$217:$I$237,4,0))</f>
        <v>14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127</v>
      </c>
      <c r="FX53" s="13">
        <f>VLOOKUP(A53,'Données projet'!$A$243:$I$263,9,0)</f>
        <v>4.2</v>
      </c>
      <c r="FY53" s="13">
        <f t="array" ref="FY53">INDEX(FX:FX,MIN(IF(ISNUMBER(FX53:FX249),ROW(FX53:FX249),"")))</f>
        <v>4.2</v>
      </c>
      <c r="FZ53" s="13">
        <f>IF('Données projet'!$A$244&gt;35,FZ52+FY53-GH52,IF(A53&lt;'Données projet'!$A$244,$FW$205^A53,IF(A53='Données projet'!$A$244,'Données projet'!$B$244,FZ52+FY53-GH52)))</f>
        <v>126.99999999999996</v>
      </c>
      <c r="GA53" s="18">
        <f>FZ53*VLOOKUP('Données projet'!$B$17,Paramètres!$A$1:$I$89,3,0)*VLOOKUP('Données projet'!$B$17,Paramètres!$A$1:$I$89,5,0)</f>
        <v>101.04119999999998</v>
      </c>
      <c r="GB53" s="14">
        <f t="shared" si="49"/>
        <v>27.209899355903595</v>
      </c>
      <c r="GC53" s="22">
        <f t="shared" si="25"/>
        <v>223.37066471153204</v>
      </c>
      <c r="GD53" s="62">
        <f t="shared" si="26"/>
        <v>516.70399804486533</v>
      </c>
      <c r="GE53" s="62">
        <f ca="1">AVERAGE(OFFSET($GD$3,0,0,'Données projet'!$E$17+1,1))-AVERAGE(OFFSET($H$3,0,0,'Données projet'!$E$17+1,1))</f>
        <v>70.834027458412379</v>
      </c>
      <c r="GF53" s="62">
        <f t="shared" si="50"/>
        <v>74.346987922112362</v>
      </c>
      <c r="GG53" s="16">
        <f>IF(ISNA(VLOOKUP(A53,'Données projet'!$A$243:$I$263,3,0)),0,VLOOKUP(A53,'Données projet'!$A$243:$I$263,3,0))</f>
        <v>7</v>
      </c>
      <c r="GH53" s="16">
        <f>IF(ISNA(VLOOKUP(A53,'Données projet'!$A$243:$I$263,4,0)),0,VLOOKUP(A53,'Données projet'!$A$243:$I$263,4,0))</f>
        <v>11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1.2146063474821587E-2</v>
      </c>
      <c r="GO53" s="23">
        <f t="shared" si="27"/>
        <v>1.2146063474821587E-2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6.75</v>
      </c>
      <c r="GU53" s="13">
        <f>IF('Données projet'!$A$270&gt;35,GU52+GT53-HC52,IF(A53&lt;'Données projet'!$A$270,$GR$205^A53,IF(A53='Données projet'!$A$270,'Données projet'!$B$270,GU52+GT53-HC52)))</f>
        <v>159.5</v>
      </c>
      <c r="GV53" s="18">
        <f>GU53*VLOOKUP('Données projet'!$B$18,Paramètres!$A$1:$I$89,3,0)*VLOOKUP('Données projet'!$B$18,Paramètres!$A$1:$I$89,5,0)</f>
        <v>124.41000000000001</v>
      </c>
      <c r="GW53" s="14">
        <f t="shared" si="51"/>
        <v>32.701388952140334</v>
      </c>
      <c r="GX53" s="22">
        <f t="shared" si="28"/>
        <v>273.63566909164439</v>
      </c>
      <c r="GY53" s="62">
        <f t="shared" si="29"/>
        <v>566.9690024249777</v>
      </c>
      <c r="GZ53" s="62">
        <f ca="1">AVERAGE(OFFSET($GY$3,0,0,'Données projet'!$E$18+1,1))-AVERAGE(OFFSET($H$3,0,0,'Données projet'!$E$18+1,1))</f>
        <v>99.222094917553648</v>
      </c>
      <c r="HA53" s="62">
        <f t="shared" si="52"/>
        <v>98.371477396766352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2.5271381054049569E-3</v>
      </c>
      <c r="HJ53" s="24">
        <f t="shared" si="30"/>
        <v>2.5271381054049569E-3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</v>
      </c>
      <c r="N54" s="14">
        <f>IF('Données projet'!$A$36&gt;35,N53+M54-V53,IF(A54&lt;'Données projet'!$A$36,$K$205^A54,IF(A54='Données projet'!$A$36,'Données projet'!$B$36,N53+M54-V53)))</f>
        <v>294.99999999999989</v>
      </c>
      <c r="O54" s="14">
        <f>N54*VLOOKUP('Données projet'!$B$9,Paramètres!$A$1:$I$89,3,0)*VLOOKUP('Données projet'!$B$9,Paramètres!$A$1:$I$89,5,0)</f>
        <v>138.05999999999995</v>
      </c>
      <c r="P54" s="14">
        <f t="shared" si="33"/>
        <v>35.85221845159689</v>
      </c>
      <c r="Q54" s="22">
        <f t="shared" si="53"/>
        <v>302.89711380319778</v>
      </c>
      <c r="R54" s="62">
        <f t="shared" si="0"/>
        <v>596.2304471365311</v>
      </c>
      <c r="S54" s="62">
        <f ca="1">AVERAGE(OFFSET($R$3,0,0,'Données projet'!$E$9+1,1))-AVERAGE(OFFSET($H$3,0,0,'Données projet'!$E$9+1,1))</f>
        <v>181.48161394994878</v>
      </c>
      <c r="T54" s="62">
        <f t="shared" si="34"/>
        <v>141.1874974464024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216.18480000000002</v>
      </c>
      <c r="AK54" s="14">
        <f t="shared" si="35"/>
        <v>53.284828478170375</v>
      </c>
      <c r="AL54" s="22">
        <f t="shared" si="4"/>
        <v>469.3262695994801</v>
      </c>
      <c r="AM54" s="62">
        <f t="shared" si="5"/>
        <v>762.65960293281341</v>
      </c>
      <c r="AN54" s="62">
        <f ca="1">AVERAGE(OFFSET($AM$3,0,0,'Données projet'!$E$10+1,1))-AVERAGE(OFFSET($H$3,0,0,'Données projet'!$E$10+1,1))</f>
        <v>340.81036749486179</v>
      </c>
      <c r="AO54" s="62">
        <f t="shared" si="36"/>
        <v>208.88199836488013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316.62499999999994</v>
      </c>
      <c r="BE54" s="14">
        <f>BD54*VLOOKUP('Données projet'!$B$11,Paramètres!$A$1:$I$89,3,0)*VLOOKUP('Données projet'!$B$11,Paramètres!$A$1:$I$89,5,0)</f>
        <v>189.34174999999999</v>
      </c>
      <c r="BF54" s="14">
        <f t="shared" si="37"/>
        <v>47.394393740797923</v>
      </c>
      <c r="BG54" s="22">
        <f t="shared" si="7"/>
        <v>412.31545034855634</v>
      </c>
      <c r="BH54" s="62">
        <f t="shared" si="8"/>
        <v>705.64878368188965</v>
      </c>
      <c r="BI54" s="62">
        <f ca="1">AVERAGE(OFFSET($BH$3,0,0,'Données projet'!$E$11+1,1))-AVERAGE(OFFSET($H$3,0,0,'Données projet'!$E$11+1,1))</f>
        <v>257.96727373333601</v>
      </c>
      <c r="BJ54" s="62">
        <f t="shared" si="38"/>
        <v>194.52809733694494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3.3768550650832152</v>
      </c>
      <c r="BR54" s="23">
        <f>EXP(-LN(2)/2)*BR53+(1-EXP(-LN(2)/2))/(LN(2)/2)*BL54*BO54*VLOOKUP('Données projet'!$B$11,Paramètres!$A$1:$I$89,3,0)*0.475*44/12</f>
        <v>9.8208407482095871E-3</v>
      </c>
      <c r="BS54" s="24">
        <f t="shared" si="9"/>
        <v>3.3866759058314249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192.90336000000002</v>
      </c>
      <c r="CA54" s="14">
        <f t="shared" si="39"/>
        <v>48.181276881765257</v>
      </c>
      <c r="CB54" s="22">
        <f t="shared" si="10"/>
        <v>419.88907590240791</v>
      </c>
      <c r="CC54" s="62">
        <f t="shared" si="11"/>
        <v>713.22240923574122</v>
      </c>
      <c r="CD54" s="62">
        <f ca="1">AVERAGE(OFFSET($CC$3,0,0,'Données projet'!$E$12+1,1))-AVERAGE(OFFSET($H$3,0,0,'Données projet'!$E$12+1,1))</f>
        <v>292.83612296867898</v>
      </c>
      <c r="CE54" s="62">
        <f t="shared" si="40"/>
        <v>180.48047802041276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1.9534772673356016E-2</v>
      </c>
      <c r="CN54" s="24">
        <f t="shared" si="12"/>
        <v>1.9534772673356016E-2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112.59999999999995</v>
      </c>
      <c r="CU54" s="18">
        <f>CT54*VLOOKUP('Données projet'!$B$13,Paramètres!$A$1:$I$89,3,0)*VLOOKUP('Données projet'!$B$13,Paramètres!$A$1:$I$89,5,0)</f>
        <v>128.22887999999995</v>
      </c>
      <c r="CV54" s="14">
        <f t="shared" si="41"/>
        <v>33.586779340295337</v>
      </c>
      <c r="CW54" s="22">
        <f t="shared" si="13"/>
        <v>281.82894001768091</v>
      </c>
      <c r="CX54" s="62">
        <f t="shared" si="14"/>
        <v>575.16227335101416</v>
      </c>
      <c r="CY54" s="62">
        <f ca="1">AVERAGE(OFFSET($CX$3,0,0,'Données projet'!$E$13+1,1))-AVERAGE(OFFSET($H$3,0,0,'Données projet'!$E$13+1,1))</f>
        <v>192.93829651668403</v>
      </c>
      <c r="CZ54" s="62">
        <f t="shared" si="42"/>
        <v>76.592736352376903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</v>
      </c>
      <c r="DO54" s="13">
        <f>IF('Données projet'!$A$166&gt;35,DO53+DN54-DW53,IF(A54&lt;'Données projet'!$A$166,$DL$205^A54,IF(A54='Données projet'!$A$166,'Données projet'!$B$166,DO53+DN54-DW53)))</f>
        <v>112.59999999999995</v>
      </c>
      <c r="DP54" s="18">
        <f>DO54*VLOOKUP('Données projet'!$B$14,Paramètres!$A$1:$I$89,3,0)*VLOOKUP('Données projet'!$B$14,Paramètres!$A$1:$I$89,5,0)</f>
        <v>75.532079999999965</v>
      </c>
      <c r="DQ54" s="14">
        <f t="shared" si="43"/>
        <v>21.041127557128405</v>
      </c>
      <c r="DR54" s="22">
        <f t="shared" si="16"/>
        <v>168.19833649533192</v>
      </c>
      <c r="DS54" s="62">
        <f t="shared" si="17"/>
        <v>461.53166982866526</v>
      </c>
      <c r="DT54" s="62">
        <f ca="1">AVERAGE(OFFSET($DS$3,0,0,'Données projet'!$E$14+1,1))-AVERAGE(OFFSET($H$3,0,0,'Données projet'!$E$14+1,1))</f>
        <v>66.964554307546564</v>
      </c>
      <c r="DU54" s="62">
        <f t="shared" si="44"/>
        <v>21.162700178818568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</v>
      </c>
      <c r="EJ54" s="13">
        <f>IF('Données projet'!$A$192&gt;35,EJ53+EI54-ER53,IF(A54&lt;'Données projet'!$A$192,$EG$205^A54,IF(A54='Données projet'!$A$192,'Données projet'!$B$192,EJ53+EI54-ER53)))</f>
        <v>112.59999999999995</v>
      </c>
      <c r="EK54" s="18">
        <f>EJ54*VLOOKUP('Données projet'!$B$15,Paramètres!$A$1:$I$89,3,0)*VLOOKUP('Données projet'!$B$15,Paramètres!$A$1:$I$89,5,0)</f>
        <v>108.90671999999995</v>
      </c>
      <c r="EL54" s="14">
        <f t="shared" si="45"/>
        <v>29.073249724487347</v>
      </c>
      <c r="EM54" s="22">
        <f t="shared" si="19"/>
        <v>240.31511393681535</v>
      </c>
      <c r="EN54" s="62">
        <f t="shared" si="20"/>
        <v>533.64844727014861</v>
      </c>
      <c r="EO54" s="62">
        <f ca="1">AVERAGE(OFFSET($EN$3,0,0,'Données projet'!$E$15+1,1))-AVERAGE(OFFSET($H$3,0,0,'Données projet'!$E$15+1,1))</f>
        <v>146.90952320473599</v>
      </c>
      <c r="EP54" s="62">
        <f t="shared" si="46"/>
        <v>56.347130462109817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5.6</v>
      </c>
      <c r="FE54" s="13">
        <f>IF('Données projet'!$A$218&gt;35,FE53+FD54-FM53,IF(A54&lt;'Données projet'!$A$218,$FB$205^A54,IF(A54='Données projet'!$A$218,'Données projet'!$B$218,FE53+FD54-FM53)))</f>
        <v>112.59999999999995</v>
      </c>
      <c r="FF54" s="18">
        <f>FE54*VLOOKUP('Données projet'!$B$16,Paramètres!$A$1:$I$89,3,0)*VLOOKUP('Données projet'!$B$16,Paramètres!$A$1:$I$89,5,0)</f>
        <v>121.20263999999995</v>
      </c>
      <c r="FG54" s="14">
        <f t="shared" si="47"/>
        <v>31.955332323658638</v>
      </c>
      <c r="FH54" s="22">
        <f t="shared" si="22"/>
        <v>266.75013513037203</v>
      </c>
      <c r="FI54" s="62">
        <f t="shared" si="23"/>
        <v>560.08346846370534</v>
      </c>
      <c r="FJ54" s="62">
        <f ca="1">AVERAGE(OFFSET($FI$3,0,0,'Données projet'!$E$16+1,1))-AVERAGE(OFFSET($H$3,0,0,'Données projet'!$E$16+1,1))</f>
        <v>176.21892815766847</v>
      </c>
      <c r="FK54" s="62">
        <f t="shared" si="48"/>
        <v>69.239647548491234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3.6</v>
      </c>
      <c r="FZ54" s="13">
        <f>IF('Données projet'!$A$244&gt;35,FZ53+FY54-GH53,IF(A54&lt;'Données projet'!$A$244,$FW$205^A54,IF(A54='Données projet'!$A$244,'Données projet'!$B$244,FZ53+FY54-GH53)))</f>
        <v>119.59999999999997</v>
      </c>
      <c r="GA54" s="18">
        <f>FZ54*VLOOKUP('Données projet'!$B$17,Paramètres!$A$1:$I$89,3,0)*VLOOKUP('Données projet'!$B$17,Paramètres!$A$1:$I$89,5,0)</f>
        <v>95.153759999999977</v>
      </c>
      <c r="GB54" s="14">
        <f t="shared" si="49"/>
        <v>25.804130994254955</v>
      </c>
      <c r="GC54" s="22">
        <f t="shared" si="25"/>
        <v>210.668326814994</v>
      </c>
      <c r="GD54" s="62">
        <f t="shared" si="26"/>
        <v>504.00166014832735</v>
      </c>
      <c r="GE54" s="62">
        <f ca="1">AVERAGE(OFFSET($GD$3,0,0,'Données projet'!$E$17+1,1))-AVERAGE(OFFSET($H$3,0,0,'Données projet'!$E$17+1,1))</f>
        <v>70.834027458412379</v>
      </c>
      <c r="GF54" s="62">
        <f t="shared" si="50"/>
        <v>74.346987922112362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8.5885638477685849E-3</v>
      </c>
      <c r="GO54" s="23">
        <f t="shared" si="27"/>
        <v>8.5885638477685849E-3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6.75</v>
      </c>
      <c r="GU54" s="13">
        <f>IF('Données projet'!$A$270&gt;35,GU53+GT54-HC53,IF(A54&lt;'Données projet'!$A$270,$GR$205^A54,IF(A54='Données projet'!$A$270,'Données projet'!$B$270,GU53+GT54-HC53)))</f>
        <v>166.25</v>
      </c>
      <c r="GV54" s="18">
        <f>GU54*VLOOKUP('Données projet'!$B$18,Paramètres!$A$1:$I$89,3,0)*VLOOKUP('Données projet'!$B$18,Paramètres!$A$1:$I$89,5,0)</f>
        <v>129.67500000000001</v>
      </c>
      <c r="GW54" s="14">
        <f t="shared" si="51"/>
        <v>33.921250437652773</v>
      </c>
      <c r="GX54" s="22">
        <f t="shared" si="28"/>
        <v>284.93013617891194</v>
      </c>
      <c r="GY54" s="62">
        <f t="shared" si="29"/>
        <v>578.26346951224525</v>
      </c>
      <c r="GZ54" s="62">
        <f ca="1">AVERAGE(OFFSET($GY$3,0,0,'Données projet'!$E$18+1,1))-AVERAGE(OFFSET($H$3,0,0,'Données projet'!$E$18+1,1))</f>
        <v>99.222094917553648</v>
      </c>
      <c r="HA54" s="62">
        <f t="shared" si="52"/>
        <v>98.371477396766352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1.7869564913267691E-3</v>
      </c>
      <c r="HJ54" s="24">
        <f t="shared" si="30"/>
        <v>1.7869564913267691E-3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</v>
      </c>
      <c r="N55" s="14">
        <f>IF('Données projet'!$A$36&gt;35,N54+M55-V54,IF(A55&lt;'Données projet'!$A$36,$K$205^A55,IF(A55='Données projet'!$A$36,'Données projet'!$B$36,N54+M55-V54)))</f>
        <v>311.99999999999989</v>
      </c>
      <c r="O55" s="14">
        <f>N55*VLOOKUP('Données projet'!$B$9,Paramètres!$A$1:$I$89,3,0)*VLOOKUP('Données projet'!$B$9,Paramètres!$A$1:$I$89,5,0)</f>
        <v>146.01599999999993</v>
      </c>
      <c r="P55" s="14">
        <f t="shared" si="33"/>
        <v>37.671793767891103</v>
      </c>
      <c r="Q55" s="22">
        <f t="shared" si="53"/>
        <v>319.92290747907685</v>
      </c>
      <c r="R55" s="62">
        <f t="shared" si="0"/>
        <v>613.25624081241017</v>
      </c>
      <c r="S55" s="62">
        <f ca="1">AVERAGE(OFFSET($R$3,0,0,'Données projet'!$E$9+1,1))-AVERAGE(OFFSET($H$3,0,0,'Données projet'!$E$9+1,1))</f>
        <v>181.48161394994878</v>
      </c>
      <c r="T55" s="62">
        <f t="shared" si="34"/>
        <v>141.1874974464024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226.52760000000001</v>
      </c>
      <c r="AK55" s="14">
        <f t="shared" si="35"/>
        <v>55.531204013656371</v>
      </c>
      <c r="AL55" s="22">
        <f t="shared" si="4"/>
        <v>491.25241699045142</v>
      </c>
      <c r="AM55" s="62">
        <f t="shared" si="5"/>
        <v>784.58575032378474</v>
      </c>
      <c r="AN55" s="62">
        <f ca="1">AVERAGE(OFFSET($AM$3,0,0,'Données projet'!$E$10+1,1))-AVERAGE(OFFSET($H$3,0,0,'Données projet'!$E$10+1,1))</f>
        <v>340.81036749486179</v>
      </c>
      <c r="AO55" s="62">
        <f t="shared" si="36"/>
        <v>208.88199836488013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334.24999999999994</v>
      </c>
      <c r="BE55" s="14">
        <f>BD55*VLOOKUP('Données projet'!$B$11,Paramètres!$A$1:$I$89,3,0)*VLOOKUP('Données projet'!$B$11,Paramètres!$A$1:$I$89,5,0)</f>
        <v>199.88149999999996</v>
      </c>
      <c r="BF55" s="14">
        <f t="shared" si="37"/>
        <v>49.71812411377941</v>
      </c>
      <c r="BG55" s="22">
        <f t="shared" si="7"/>
        <v>434.71934533149914</v>
      </c>
      <c r="BH55" s="62">
        <f t="shared" si="8"/>
        <v>728.05267866483246</v>
      </c>
      <c r="BI55" s="62">
        <f ca="1">AVERAGE(OFFSET($BH$3,0,0,'Données projet'!$E$11+1,1))-AVERAGE(OFFSET($H$3,0,0,'Données projet'!$E$11+1,1))</f>
        <v>257.96727373333601</v>
      </c>
      <c r="BJ55" s="62">
        <f t="shared" si="38"/>
        <v>194.52809733694494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3.2845147857474246</v>
      </c>
      <c r="BR55" s="23">
        <f>EXP(-LN(2)/2)*BR54+(1-EXP(-LN(2)/2))/(LN(2)/2)*BL55*BO55*VLOOKUP('Données projet'!$B$11,Paramètres!$A$1:$I$89,3,0)*0.475*44/12</f>
        <v>6.9443830900121663E-3</v>
      </c>
      <c r="BS55" s="24">
        <f t="shared" si="9"/>
        <v>3.2914591688374366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202.13232000000002</v>
      </c>
      <c r="CA55" s="14">
        <f t="shared" si="39"/>
        <v>50.212497488959627</v>
      </c>
      <c r="CB55" s="22">
        <f t="shared" si="10"/>
        <v>439.50055712660469</v>
      </c>
      <c r="CC55" s="62">
        <f t="shared" si="11"/>
        <v>732.83389045993795</v>
      </c>
      <c r="CD55" s="62">
        <f ca="1">AVERAGE(OFFSET($CC$3,0,0,'Données projet'!$E$12+1,1))-AVERAGE(OFFSET($H$3,0,0,'Données projet'!$E$12+1,1))</f>
        <v>292.83612296867898</v>
      </c>
      <c r="CE55" s="62">
        <f t="shared" si="40"/>
        <v>180.48047802041276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1.38131702262677E-2</v>
      </c>
      <c r="CN55" s="24">
        <f t="shared" si="12"/>
        <v>1.38131702262677E-2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118.19999999999995</v>
      </c>
      <c r="CU55" s="18">
        <f>CT55*VLOOKUP('Données projet'!$B$13,Paramètres!$A$1:$I$89,3,0)*VLOOKUP('Données projet'!$B$13,Paramètres!$A$1:$I$89,5,0)</f>
        <v>134.60615999999993</v>
      </c>
      <c r="CV55" s="14">
        <f t="shared" si="41"/>
        <v>35.058541239368552</v>
      </c>
      <c r="CW55" s="22">
        <f t="shared" si="13"/>
        <v>295.49935465856674</v>
      </c>
      <c r="CX55" s="62">
        <f t="shared" si="14"/>
        <v>588.8326879919</v>
      </c>
      <c r="CY55" s="62">
        <f ca="1">AVERAGE(OFFSET($CX$3,0,0,'Données projet'!$E$13+1,1))-AVERAGE(OFFSET($H$3,0,0,'Données projet'!$E$13+1,1))</f>
        <v>192.93829651668403</v>
      </c>
      <c r="CZ55" s="62">
        <f t="shared" si="42"/>
        <v>76.592736352376903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</v>
      </c>
      <c r="DO55" s="13">
        <f>IF('Données projet'!$A$166&gt;35,DO54+DN55-DW54,IF(A55&lt;'Données projet'!$A$166,$DL$205^A55,IF(A55='Données projet'!$A$166,'Données projet'!$B$166,DO54+DN55-DW54)))</f>
        <v>118.19999999999995</v>
      </c>
      <c r="DP55" s="18">
        <f>DO55*VLOOKUP('Données projet'!$B$14,Paramètres!$A$1:$I$89,3,0)*VLOOKUP('Données projet'!$B$14,Paramètres!$A$1:$I$89,5,0)</f>
        <v>79.288559999999976</v>
      </c>
      <c r="DQ55" s="14">
        <f t="shared" si="43"/>
        <v>21.96314301858018</v>
      </c>
      <c r="DR55" s="22">
        <f t="shared" si="16"/>
        <v>176.34671609069377</v>
      </c>
      <c r="DS55" s="62">
        <f t="shared" si="17"/>
        <v>469.68004942402706</v>
      </c>
      <c r="DT55" s="62">
        <f ca="1">AVERAGE(OFFSET($DS$3,0,0,'Données projet'!$E$14+1,1))-AVERAGE(OFFSET($H$3,0,0,'Données projet'!$E$14+1,1))</f>
        <v>66.964554307546564</v>
      </c>
      <c r="DU55" s="62">
        <f t="shared" si="44"/>
        <v>21.162700178818568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</v>
      </c>
      <c r="EJ55" s="13">
        <f>IF('Données projet'!$A$192&gt;35,EJ54+EI55-ER54,IF(A55&lt;'Données projet'!$A$192,$EG$205^A55,IF(A55='Données projet'!$A$192,'Données projet'!$B$192,EJ54+EI55-ER54)))</f>
        <v>118.19999999999995</v>
      </c>
      <c r="EK55" s="18">
        <f>EJ55*VLOOKUP('Données projet'!$B$15,Paramètres!$A$1:$I$89,3,0)*VLOOKUP('Données projet'!$B$15,Paramètres!$A$1:$I$89,5,0)</f>
        <v>114.32303999999995</v>
      </c>
      <c r="EL55" s="14">
        <f t="shared" si="45"/>
        <v>30.347230203330305</v>
      </c>
      <c r="EM55" s="22">
        <f t="shared" si="19"/>
        <v>251.96738727080017</v>
      </c>
      <c r="EN55" s="62">
        <f t="shared" si="20"/>
        <v>545.30072060413352</v>
      </c>
      <c r="EO55" s="62">
        <f ca="1">AVERAGE(OFFSET($EN$3,0,0,'Données projet'!$E$15+1,1))-AVERAGE(OFFSET($H$3,0,0,'Données projet'!$E$15+1,1))</f>
        <v>146.90952320473599</v>
      </c>
      <c r="EP55" s="62">
        <f t="shared" si="46"/>
        <v>56.347130462109817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5.6</v>
      </c>
      <c r="FE55" s="13">
        <f>IF('Données projet'!$A$218&gt;35,FE54+FD55-FM54,IF(A55&lt;'Données projet'!$A$218,$FB$205^A55,IF(A55='Données projet'!$A$218,'Données projet'!$B$218,FE54+FD55-FM54)))</f>
        <v>118.19999999999995</v>
      </c>
      <c r="FF55" s="18">
        <f>FE55*VLOOKUP('Données projet'!$B$16,Paramètres!$A$1:$I$89,3,0)*VLOOKUP('Données projet'!$B$16,Paramètres!$A$1:$I$89,5,0)</f>
        <v>127.23047999999993</v>
      </c>
      <c r="FG55" s="14">
        <f t="shared" si="47"/>
        <v>33.355604737684331</v>
      </c>
      <c r="FH55" s="22">
        <f t="shared" si="22"/>
        <v>279.68743091813337</v>
      </c>
      <c r="FI55" s="62">
        <f t="shared" si="23"/>
        <v>573.02076425146674</v>
      </c>
      <c r="FJ55" s="62">
        <f ca="1">AVERAGE(OFFSET($FI$3,0,0,'Données projet'!$E$16+1,1))-AVERAGE(OFFSET($H$3,0,0,'Données projet'!$E$16+1,1))</f>
        <v>176.21892815766847</v>
      </c>
      <c r="FK55" s="62">
        <f t="shared" si="48"/>
        <v>69.239647548491234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3.6</v>
      </c>
      <c r="FZ55" s="13">
        <f>IF('Données projet'!$A$244&gt;35,FZ54+FY55-GH54,IF(A55&lt;'Données projet'!$A$244,$FW$205^A55,IF(A55='Données projet'!$A$244,'Données projet'!$B$244,FZ54+FY55-GH54)))</f>
        <v>123.19999999999996</v>
      </c>
      <c r="GA55" s="18">
        <f>FZ55*VLOOKUP('Données projet'!$B$17,Paramètres!$A$1:$I$89,3,0)*VLOOKUP('Données projet'!$B$17,Paramètres!$A$1:$I$89,5,0)</f>
        <v>98.017919999999975</v>
      </c>
      <c r="GB55" s="14">
        <f t="shared" si="49"/>
        <v>26.489245540318151</v>
      </c>
      <c r="GC55" s="22">
        <f t="shared" si="25"/>
        <v>216.84997998272073</v>
      </c>
      <c r="GD55" s="62">
        <f t="shared" si="26"/>
        <v>510.18331331605407</v>
      </c>
      <c r="GE55" s="62">
        <f ca="1">AVERAGE(OFFSET($GD$3,0,0,'Données projet'!$E$17+1,1))-AVERAGE(OFFSET($H$3,0,0,'Données projet'!$E$17+1,1))</f>
        <v>70.834027458412379</v>
      </c>
      <c r="GF55" s="62">
        <f t="shared" si="50"/>
        <v>74.346987922112362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6.0730317374107935E-3</v>
      </c>
      <c r="GO55" s="23">
        <f t="shared" si="27"/>
        <v>6.0730317374107935E-3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>
        <f>VLOOKUP(A55,'Données projet'!$A$269:$I$289,2,0)</f>
        <v>173</v>
      </c>
      <c r="GS55" s="13">
        <f>VLOOKUP(A55,'Données projet'!$A$269:$I$289,9,0)</f>
        <v>6.75</v>
      </c>
      <c r="GT55" s="13">
        <f t="array" ref="GT55">INDEX(GS:GS,MIN(IF(ISNUMBER(GS55:GS251),ROW(GS55:GS251),"")))</f>
        <v>6.75</v>
      </c>
      <c r="GU55" s="13">
        <f>IF('Données projet'!$A$270&gt;35,GU54+GT55-HC54,IF(A55&lt;'Données projet'!$A$270,$GR$205^A55,IF(A55='Données projet'!$A$270,'Données projet'!$B$270,GU54+GT55-HC54)))</f>
        <v>173</v>
      </c>
      <c r="GV55" s="18">
        <f>GU55*VLOOKUP('Données projet'!$B$18,Paramètres!$A$1:$I$89,3,0)*VLOOKUP('Données projet'!$B$18,Paramètres!$A$1:$I$89,5,0)</f>
        <v>134.94</v>
      </c>
      <c r="GW55" s="14">
        <f t="shared" si="51"/>
        <v>35.135358771568036</v>
      </c>
      <c r="GX55" s="22">
        <f t="shared" si="28"/>
        <v>296.21458319381429</v>
      </c>
      <c r="GY55" s="62">
        <f t="shared" si="29"/>
        <v>589.54791652714766</v>
      </c>
      <c r="GZ55" s="62">
        <f ca="1">AVERAGE(OFFSET($GY$3,0,0,'Données projet'!$E$18+1,1))-AVERAGE(OFFSET($H$3,0,0,'Données projet'!$E$18+1,1))</f>
        <v>99.222094917553648</v>
      </c>
      <c r="HA55" s="62">
        <f t="shared" si="52"/>
        <v>98.371477396766352</v>
      </c>
      <c r="HB55" s="16">
        <f>IF(ISNA(VLOOKUP(A55,'Données projet'!$A$269:$I$289,3,0)),0,VLOOKUP(A55,'Données projet'!$A$269:$I$289,3,0))</f>
        <v>7</v>
      </c>
      <c r="HC55" s="16">
        <f>IF(ISNA(VLOOKUP(A55,'Données projet'!$A$269:$I$289,4,0)),0,VLOOKUP(A55,'Données projet'!$A$269:$I$289,4,0))</f>
        <v>31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1.2635690527024784E-3</v>
      </c>
      <c r="HJ55" s="24">
        <f t="shared" si="30"/>
        <v>1.2635690527024784E-3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</v>
      </c>
      <c r="N56" s="14">
        <f>IF('Données projet'!$A$36&gt;35,N55+M56-V55,IF(A56&lt;'Données projet'!$A$36,$K$205^A56,IF(A56='Données projet'!$A$36,'Données projet'!$B$36,N55+M56-V55)))</f>
        <v>328.99999999999989</v>
      </c>
      <c r="O56" s="14">
        <f>N56*VLOOKUP('Données projet'!$B$9,Paramètres!$A$1:$I$89,3,0)*VLOOKUP('Données projet'!$B$9,Paramètres!$A$1:$I$89,5,0)</f>
        <v>153.97199999999995</v>
      </c>
      <c r="P56" s="14">
        <f t="shared" si="33"/>
        <v>39.479859284656378</v>
      </c>
      <c r="Q56" s="22">
        <f t="shared" si="53"/>
        <v>336.92865492077641</v>
      </c>
      <c r="R56" s="62">
        <f t="shared" si="0"/>
        <v>630.26198825410972</v>
      </c>
      <c r="S56" s="62">
        <f ca="1">AVERAGE(OFFSET($R$3,0,0,'Données projet'!$E$9+1,1))-AVERAGE(OFFSET($H$3,0,0,'Données projet'!$E$9+1,1))</f>
        <v>181.48161394994878</v>
      </c>
      <c r="T56" s="62">
        <f t="shared" si="34"/>
        <v>141.1874974464024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236.87040000000002</v>
      </c>
      <c r="AK56" s="14">
        <f t="shared" si="35"/>
        <v>57.765668276484661</v>
      </c>
      <c r="AL56" s="22">
        <f t="shared" si="4"/>
        <v>513.15781891487757</v>
      </c>
      <c r="AM56" s="62">
        <f t="shared" si="5"/>
        <v>806.49115224821094</v>
      </c>
      <c r="AN56" s="62">
        <f ca="1">AVERAGE(OFFSET($AM$3,0,0,'Données projet'!$E$10+1,1))-AVERAGE(OFFSET($H$3,0,0,'Données projet'!$E$10+1,1))</f>
        <v>340.81036749486179</v>
      </c>
      <c r="AO56" s="62">
        <f t="shared" si="36"/>
        <v>208.88199836488013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351.87499999999994</v>
      </c>
      <c r="BE56" s="14">
        <f>BD56*VLOOKUP('Données projet'!$B$11,Paramètres!$A$1:$I$89,3,0)*VLOOKUP('Données projet'!$B$11,Paramètres!$A$1:$I$89,5,0)</f>
        <v>210.42124999999999</v>
      </c>
      <c r="BF56" s="14">
        <f t="shared" si="37"/>
        <v>52.027628682866947</v>
      </c>
      <c r="BG56" s="22">
        <f t="shared" si="7"/>
        <v>457.09846370599325</v>
      </c>
      <c r="BH56" s="62">
        <f t="shared" si="8"/>
        <v>750.43179703932651</v>
      </c>
      <c r="BI56" s="62">
        <f ca="1">AVERAGE(OFFSET($BH$3,0,0,'Données projet'!$E$11+1,1))-AVERAGE(OFFSET($H$3,0,0,'Données projet'!$E$11+1,1))</f>
        <v>257.96727373333601</v>
      </c>
      <c r="BJ56" s="62">
        <f t="shared" si="38"/>
        <v>194.52809733694494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3.1946995562060354</v>
      </c>
      <c r="BR56" s="23">
        <f>EXP(-LN(2)/2)*BR55+(1-EXP(-LN(2)/2))/(LN(2)/2)*BL56*BO56*VLOOKUP('Données projet'!$B$11,Paramètres!$A$1:$I$89,3,0)*0.475*44/12</f>
        <v>4.9104203741047936E-3</v>
      </c>
      <c r="BS56" s="24">
        <f t="shared" si="9"/>
        <v>3.19960997658014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211.36127999999999</v>
      </c>
      <c r="CA56" s="14">
        <f t="shared" si="39"/>
        <v>52.232947669705631</v>
      </c>
      <c r="CB56" s="22">
        <f t="shared" si="10"/>
        <v>459.09327985807062</v>
      </c>
      <c r="CC56" s="62">
        <f t="shared" si="11"/>
        <v>752.42661319140393</v>
      </c>
      <c r="CD56" s="62">
        <f ca="1">AVERAGE(OFFSET($CC$3,0,0,'Données projet'!$E$12+1,1))-AVERAGE(OFFSET($H$3,0,0,'Données projet'!$E$12+1,1))</f>
        <v>292.83612296867898</v>
      </c>
      <c r="CE56" s="62">
        <f t="shared" si="40"/>
        <v>180.48047802041276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9.7673863366780078E-3</v>
      </c>
      <c r="CN56" s="24">
        <f t="shared" si="12"/>
        <v>9.7673863366780078E-3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123.79999999999994</v>
      </c>
      <c r="CU56" s="18">
        <f>CT56*VLOOKUP('Données projet'!$B$13,Paramètres!$A$1:$I$89,3,0)*VLOOKUP('Données projet'!$B$13,Paramètres!$A$1:$I$89,5,0)</f>
        <v>140.98343999999994</v>
      </c>
      <c r="CV56" s="14">
        <f t="shared" si="41"/>
        <v>36.522205922710093</v>
      </c>
      <c r="CW56" s="22">
        <f t="shared" si="13"/>
        <v>309.15566664872</v>
      </c>
      <c r="CX56" s="62">
        <f t="shared" si="14"/>
        <v>602.48899998205331</v>
      </c>
      <c r="CY56" s="62">
        <f ca="1">AVERAGE(OFFSET($CX$3,0,0,'Données projet'!$E$13+1,1))-AVERAGE(OFFSET($H$3,0,0,'Données projet'!$E$13+1,1))</f>
        <v>192.93829651668403</v>
      </c>
      <c r="CZ56" s="62">
        <f t="shared" si="42"/>
        <v>76.592736352376903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</v>
      </c>
      <c r="DO56" s="13">
        <f>IF('Données projet'!$A$166&gt;35,DO55+DN56-DW55,IF(A56&lt;'Données projet'!$A$166,$DL$205^A56,IF(A56='Données projet'!$A$166,'Données projet'!$B$166,DO55+DN56-DW55)))</f>
        <v>123.79999999999994</v>
      </c>
      <c r="DP56" s="18">
        <f>DO56*VLOOKUP('Données projet'!$B$14,Paramètres!$A$1:$I$89,3,0)*VLOOKUP('Données projet'!$B$14,Paramètres!$A$1:$I$89,5,0)</f>
        <v>83.045039999999958</v>
      </c>
      <c r="DQ56" s="14">
        <f t="shared" si="43"/>
        <v>22.880085812976201</v>
      </c>
      <c r="DR56" s="22">
        <f t="shared" si="16"/>
        <v>184.48626079093347</v>
      </c>
      <c r="DS56" s="62">
        <f t="shared" si="17"/>
        <v>477.81959412426681</v>
      </c>
      <c r="DT56" s="62">
        <f ca="1">AVERAGE(OFFSET($DS$3,0,0,'Données projet'!$E$14+1,1))-AVERAGE(OFFSET($H$3,0,0,'Données projet'!$E$14+1,1))</f>
        <v>66.964554307546564</v>
      </c>
      <c r="DU56" s="62">
        <f t="shared" si="44"/>
        <v>21.162700178818568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</v>
      </c>
      <c r="EJ56" s="13">
        <f>IF('Données projet'!$A$192&gt;35,EJ55+EI56-ER55,IF(A56&lt;'Données projet'!$A$192,$EG$205^A56,IF(A56='Données projet'!$A$192,'Données projet'!$B$192,EJ55+EI56-ER55)))</f>
        <v>123.79999999999994</v>
      </c>
      <c r="EK56" s="18">
        <f>EJ56*VLOOKUP('Données projet'!$B$15,Paramètres!$A$1:$I$89,3,0)*VLOOKUP('Données projet'!$B$15,Paramètres!$A$1:$I$89,5,0)</f>
        <v>119.73935999999993</v>
      </c>
      <c r="EL56" s="14">
        <f t="shared" si="45"/>
        <v>31.614201603611228</v>
      </c>
      <c r="EM56" s="22">
        <f t="shared" si="19"/>
        <v>263.60745312628939</v>
      </c>
      <c r="EN56" s="62">
        <f t="shared" si="20"/>
        <v>556.9407864596227</v>
      </c>
      <c r="EO56" s="62">
        <f ca="1">AVERAGE(OFFSET($EN$3,0,0,'Données projet'!$E$15+1,1))-AVERAGE(OFFSET($H$3,0,0,'Données projet'!$E$15+1,1))</f>
        <v>146.90952320473599</v>
      </c>
      <c r="EP56" s="62">
        <f t="shared" si="46"/>
        <v>56.347130462109817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5.6</v>
      </c>
      <c r="FE56" s="13">
        <f>IF('Données projet'!$A$218&gt;35,FE55+FD56-FM55,IF(A56&lt;'Données projet'!$A$218,$FB$205^A56,IF(A56='Données projet'!$A$218,'Données projet'!$B$218,FE55+FD56-FM55)))</f>
        <v>123.79999999999994</v>
      </c>
      <c r="FF56" s="18">
        <f>FE56*VLOOKUP('Données projet'!$B$16,Paramètres!$A$1:$I$89,3,0)*VLOOKUP('Données projet'!$B$16,Paramètres!$A$1:$I$89,5,0)</f>
        <v>133.25831999999994</v>
      </c>
      <c r="FG56" s="14">
        <f t="shared" si="47"/>
        <v>34.748173250809565</v>
      </c>
      <c r="FH56" s="22">
        <f t="shared" si="22"/>
        <v>292.61130907849321</v>
      </c>
      <c r="FI56" s="62">
        <f t="shared" si="23"/>
        <v>585.94464241182652</v>
      </c>
      <c r="FJ56" s="62">
        <f ca="1">AVERAGE(OFFSET($FI$3,0,0,'Données projet'!$E$16+1,1))-AVERAGE(OFFSET($H$3,0,0,'Données projet'!$E$16+1,1))</f>
        <v>176.21892815766847</v>
      </c>
      <c r="FK56" s="62">
        <f t="shared" si="48"/>
        <v>69.239647548491234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3.6</v>
      </c>
      <c r="FZ56" s="13">
        <f>IF('Données projet'!$A$244&gt;35,FZ55+FY56-GH55,IF(A56&lt;'Données projet'!$A$244,$FW$205^A56,IF(A56='Données projet'!$A$244,'Données projet'!$B$244,FZ55+FY56-GH55)))</f>
        <v>126.79999999999995</v>
      </c>
      <c r="GA56" s="18">
        <f>FZ56*VLOOKUP('Données projet'!$B$17,Paramètres!$A$1:$I$89,3,0)*VLOOKUP('Données projet'!$B$17,Paramètres!$A$1:$I$89,5,0)</f>
        <v>100.88207999999997</v>
      </c>
      <c r="GB56" s="14">
        <f t="shared" si="49"/>
        <v>27.172033415810759</v>
      </c>
      <c r="GC56" s="22">
        <f t="shared" si="25"/>
        <v>223.02758086587031</v>
      </c>
      <c r="GD56" s="62">
        <f t="shared" si="26"/>
        <v>516.36091419920365</v>
      </c>
      <c r="GE56" s="62">
        <f ca="1">AVERAGE(OFFSET($GD$3,0,0,'Données projet'!$E$17+1,1))-AVERAGE(OFFSET($H$3,0,0,'Données projet'!$E$17+1,1))</f>
        <v>70.834027458412379</v>
      </c>
      <c r="GF56" s="62">
        <f t="shared" si="50"/>
        <v>74.346987922112362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4.2942819238842925E-3</v>
      </c>
      <c r="GO56" s="23">
        <f t="shared" si="27"/>
        <v>4.2942819238842925E-3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6</v>
      </c>
      <c r="GU56" s="13">
        <f>IF('Données projet'!$A$270&gt;35,GU55+GT56-HC55,IF(A56&lt;'Données projet'!$A$270,$GR$205^A56,IF(A56='Données projet'!$A$270,'Données projet'!$B$270,GU55+GT56-HC55)))</f>
        <v>148</v>
      </c>
      <c r="GV56" s="18">
        <f>GU56*VLOOKUP('Données projet'!$B$18,Paramètres!$A$1:$I$89,3,0)*VLOOKUP('Données projet'!$B$18,Paramètres!$A$1:$I$89,5,0)</f>
        <v>115.44</v>
      </c>
      <c r="GW56" s="14">
        <f t="shared" si="51"/>
        <v>30.60906809471021</v>
      </c>
      <c r="GX56" s="22">
        <f t="shared" si="28"/>
        <v>254.36879359828689</v>
      </c>
      <c r="GY56" s="62">
        <f t="shared" si="29"/>
        <v>547.70212693162023</v>
      </c>
      <c r="GZ56" s="62">
        <f ca="1">AVERAGE(OFFSET($GY$3,0,0,'Données projet'!$E$18+1,1))-AVERAGE(OFFSET($H$3,0,0,'Données projet'!$E$18+1,1))</f>
        <v>99.222094917553648</v>
      </c>
      <c r="HA56" s="62">
        <f t="shared" si="52"/>
        <v>98.371477396766352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8.9347824566338456E-4</v>
      </c>
      <c r="HJ56" s="24">
        <f t="shared" si="30"/>
        <v>8.9347824566338456E-4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</v>
      </c>
      <c r="N57" s="14">
        <f>IF('Données projet'!$A$36&gt;35,N56+M57-V56,IF(A57&lt;'Données projet'!$A$36,$K$205^A57,IF(A57='Données projet'!$A$36,'Données projet'!$B$36,N56+M57-V56)))</f>
        <v>345.99999999999989</v>
      </c>
      <c r="O57" s="14">
        <f>N57*VLOOKUP('Données projet'!$B$9,Paramètres!$A$1:$I$89,3,0)*VLOOKUP('Données projet'!$B$9,Paramètres!$A$1:$I$89,5,0)</f>
        <v>161.92799999999994</v>
      </c>
      <c r="P57" s="14">
        <f t="shared" si="33"/>
        <v>41.277077571585316</v>
      </c>
      <c r="Q57" s="22">
        <f t="shared" si="53"/>
        <v>353.91551010384433</v>
      </c>
      <c r="R57" s="62">
        <f t="shared" si="0"/>
        <v>647.24884343717758</v>
      </c>
      <c r="S57" s="62">
        <f ca="1">AVERAGE(OFFSET($R$3,0,0,'Données projet'!$E$9+1,1))-AVERAGE(OFFSET($H$3,0,0,'Données projet'!$E$9+1,1))</f>
        <v>181.48161394994878</v>
      </c>
      <c r="T57" s="62">
        <f t="shared" si="34"/>
        <v>141.1874974464024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247.2132</v>
      </c>
      <c r="AK57" s="14">
        <f t="shared" si="35"/>
        <v>59.988800807398761</v>
      </c>
      <c r="AL57" s="22">
        <f t="shared" si="4"/>
        <v>535.04348473955281</v>
      </c>
      <c r="AM57" s="62">
        <f t="shared" si="5"/>
        <v>828.37681807288618</v>
      </c>
      <c r="AN57" s="62">
        <f ca="1">AVERAGE(OFFSET($AM$3,0,0,'Données projet'!$E$10+1,1))-AVERAGE(OFFSET($H$3,0,0,'Données projet'!$E$10+1,1))</f>
        <v>340.81036749486179</v>
      </c>
      <c r="AO57" s="62">
        <f t="shared" si="36"/>
        <v>208.88199836488013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369.49999999999994</v>
      </c>
      <c r="BE57" s="14">
        <f>BD57*VLOOKUP('Données projet'!$B$11,Paramètres!$A$1:$I$89,3,0)*VLOOKUP('Données projet'!$B$11,Paramètres!$A$1:$I$89,5,0)</f>
        <v>220.96099999999996</v>
      </c>
      <c r="BF57" s="14">
        <f t="shared" si="37"/>
        <v>54.323701308314696</v>
      </c>
      <c r="BG57" s="22">
        <f t="shared" si="7"/>
        <v>479.45418811198141</v>
      </c>
      <c r="BH57" s="62">
        <f t="shared" si="8"/>
        <v>772.78752144531472</v>
      </c>
      <c r="BI57" s="62">
        <f ca="1">AVERAGE(OFFSET($BH$3,0,0,'Données projet'!$E$11+1,1))-AVERAGE(OFFSET($H$3,0,0,'Données projet'!$E$11+1,1))</f>
        <v>257.96727373333601</v>
      </c>
      <c r="BJ57" s="62">
        <f t="shared" si="38"/>
        <v>194.52809733694494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3.1073403288396335</v>
      </c>
      <c r="BR57" s="23">
        <f>EXP(-LN(2)/2)*BR56+(1-EXP(-LN(2)/2))/(LN(2)/2)*BL57*BO57*VLOOKUP('Données projet'!$B$11,Paramètres!$A$1:$I$89,3,0)*0.475*44/12</f>
        <v>3.4721915450060831E-3</v>
      </c>
      <c r="BS57" s="24">
        <f t="shared" si="9"/>
        <v>3.1108125203846395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220.59023999999997</v>
      </c>
      <c r="CA57" s="14">
        <f t="shared" si="39"/>
        <v>54.24315145708789</v>
      </c>
      <c r="CB57" s="22">
        <f t="shared" si="10"/>
        <v>478.66815678776129</v>
      </c>
      <c r="CC57" s="62">
        <f t="shared" si="11"/>
        <v>772.00149012109455</v>
      </c>
      <c r="CD57" s="62">
        <f ca="1">AVERAGE(OFFSET($CC$3,0,0,'Données projet'!$E$12+1,1))-AVERAGE(OFFSET($H$3,0,0,'Données projet'!$E$12+1,1))</f>
        <v>292.83612296867898</v>
      </c>
      <c r="CE57" s="62">
        <f t="shared" si="40"/>
        <v>180.48047802041276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6.9065851131338502E-3</v>
      </c>
      <c r="CN57" s="24">
        <f t="shared" si="12"/>
        <v>6.9065851131338502E-3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129.39999999999995</v>
      </c>
      <c r="CU57" s="18">
        <f>CT57*VLOOKUP('Données projet'!$B$13,Paramètres!$A$1:$I$89,3,0)*VLOOKUP('Données projet'!$B$13,Paramètres!$A$1:$I$89,5,0)</f>
        <v>147.36071999999993</v>
      </c>
      <c r="CV57" s="14">
        <f t="shared" si="41"/>
        <v>37.978181505546587</v>
      </c>
      <c r="CW57" s="22">
        <f t="shared" si="13"/>
        <v>322.79858678882687</v>
      </c>
      <c r="CX57" s="62">
        <f t="shared" si="14"/>
        <v>616.13192012216018</v>
      </c>
      <c r="CY57" s="62">
        <f ca="1">AVERAGE(OFFSET($CX$3,0,0,'Données projet'!$E$13+1,1))-AVERAGE(OFFSET($H$3,0,0,'Données projet'!$E$13+1,1))</f>
        <v>192.93829651668403</v>
      </c>
      <c r="CZ57" s="62">
        <f t="shared" si="42"/>
        <v>76.592736352376903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</v>
      </c>
      <c r="DO57" s="13">
        <f>IF('Données projet'!$A$166&gt;35,DO56+DN57-DW56,IF(A57&lt;'Données projet'!$A$166,$DL$205^A57,IF(A57='Données projet'!$A$166,'Données projet'!$B$166,DO56+DN57-DW56)))</f>
        <v>129.39999999999995</v>
      </c>
      <c r="DP57" s="18">
        <f>DO57*VLOOKUP('Données projet'!$B$14,Paramètres!$A$1:$I$89,3,0)*VLOOKUP('Données projet'!$B$14,Paramètres!$A$1:$I$89,5,0)</f>
        <v>86.801519999999968</v>
      </c>
      <c r="DQ57" s="14">
        <f t="shared" si="43"/>
        <v>23.792211612480088</v>
      </c>
      <c r="DR57" s="22">
        <f t="shared" si="16"/>
        <v>192.6174158917361</v>
      </c>
      <c r="DS57" s="62">
        <f t="shared" si="17"/>
        <v>485.95074922506944</v>
      </c>
      <c r="DT57" s="62">
        <f ca="1">AVERAGE(OFFSET($DS$3,0,0,'Données projet'!$E$14+1,1))-AVERAGE(OFFSET($H$3,0,0,'Données projet'!$E$14+1,1))</f>
        <v>66.964554307546564</v>
      </c>
      <c r="DU57" s="62">
        <f t="shared" si="44"/>
        <v>21.162700178818568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</v>
      </c>
      <c r="EJ57" s="13">
        <f>IF('Données projet'!$A$192&gt;35,EJ56+EI57-ER56,IF(A57&lt;'Données projet'!$A$192,$EG$205^A57,IF(A57='Données projet'!$A$192,'Données projet'!$B$192,EJ56+EI57-ER56)))</f>
        <v>129.39999999999995</v>
      </c>
      <c r="EK57" s="18">
        <f>EJ57*VLOOKUP('Données projet'!$B$15,Paramètres!$A$1:$I$89,3,0)*VLOOKUP('Données projet'!$B$15,Paramètres!$A$1:$I$89,5,0)</f>
        <v>125.15567999999995</v>
      </c>
      <c r="EL57" s="14">
        <f t="shared" si="45"/>
        <v>32.874517196353331</v>
      </c>
      <c r="EM57" s="22">
        <f t="shared" si="19"/>
        <v>275.23592678364861</v>
      </c>
      <c r="EN57" s="62">
        <f t="shared" si="20"/>
        <v>568.56926011698192</v>
      </c>
      <c r="EO57" s="62">
        <f ca="1">AVERAGE(OFFSET($EN$3,0,0,'Données projet'!$E$15+1,1))-AVERAGE(OFFSET($H$3,0,0,'Données projet'!$E$15+1,1))</f>
        <v>146.90952320473599</v>
      </c>
      <c r="EP57" s="62">
        <f t="shared" si="46"/>
        <v>56.347130462109817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5.6</v>
      </c>
      <c r="FE57" s="13">
        <f>IF('Données projet'!$A$218&gt;35,FE56+FD57-FM56,IF(A57&lt;'Données projet'!$A$218,$FB$205^A57,IF(A57='Données projet'!$A$218,'Données projet'!$B$218,FE56+FD57-FM56)))</f>
        <v>129.39999999999995</v>
      </c>
      <c r="FF57" s="18">
        <f>FE57*VLOOKUP('Données projet'!$B$16,Paramètres!$A$1:$I$89,3,0)*VLOOKUP('Données projet'!$B$16,Paramètres!$A$1:$I$89,5,0)</f>
        <v>139.28615999999994</v>
      </c>
      <c r="FG57" s="14">
        <f t="shared" si="47"/>
        <v>36.133426154438062</v>
      </c>
      <c r="FH57" s="22">
        <f t="shared" si="22"/>
        <v>305.52244588564616</v>
      </c>
      <c r="FI57" s="62">
        <f t="shared" si="23"/>
        <v>598.85577921897948</v>
      </c>
      <c r="FJ57" s="62">
        <f ca="1">AVERAGE(OFFSET($FI$3,0,0,'Données projet'!$E$16+1,1))-AVERAGE(OFFSET($H$3,0,0,'Données projet'!$E$16+1,1))</f>
        <v>176.21892815766847</v>
      </c>
      <c r="FK57" s="62">
        <f t="shared" si="48"/>
        <v>69.239647548491234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3.6</v>
      </c>
      <c r="FZ57" s="13">
        <f>IF('Données projet'!$A$244&gt;35,FZ56+FY57-GH56,IF(A57&lt;'Données projet'!$A$244,$FW$205^A57,IF(A57='Données projet'!$A$244,'Données projet'!$B$244,FZ56+FY57-GH56)))</f>
        <v>130.39999999999995</v>
      </c>
      <c r="GA57" s="18">
        <f>FZ57*VLOOKUP('Données projet'!$B$17,Paramètres!$A$1:$I$89,3,0)*VLOOKUP('Données projet'!$B$17,Paramètres!$A$1:$I$89,5,0)</f>
        <v>103.74623999999997</v>
      </c>
      <c r="GB57" s="14">
        <f t="shared" si="49"/>
        <v>27.852568264974543</v>
      </c>
      <c r="GC57" s="22">
        <f t="shared" si="25"/>
        <v>229.20125772816391</v>
      </c>
      <c r="GD57" s="62">
        <f t="shared" si="26"/>
        <v>522.53459106149717</v>
      </c>
      <c r="GE57" s="62">
        <f ca="1">AVERAGE(OFFSET($GD$3,0,0,'Données projet'!$E$17+1,1))-AVERAGE(OFFSET($H$3,0,0,'Données projet'!$E$17+1,1))</f>
        <v>70.834027458412379</v>
      </c>
      <c r="GF57" s="62">
        <f t="shared" si="50"/>
        <v>74.346987922112362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3.0365158687053967E-3</v>
      </c>
      <c r="GO57" s="23">
        <f t="shared" si="27"/>
        <v>3.0365158687053967E-3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6</v>
      </c>
      <c r="GU57" s="13">
        <f>IF('Données projet'!$A$270&gt;35,GU56+GT57-HC56,IF(A57&lt;'Données projet'!$A$270,$GR$205^A57,IF(A57='Données projet'!$A$270,'Données projet'!$B$270,GU56+GT57-HC56)))</f>
        <v>154</v>
      </c>
      <c r="GV57" s="18">
        <f>GU57*VLOOKUP('Données projet'!$B$18,Paramètres!$A$1:$I$89,3,0)*VLOOKUP('Données projet'!$B$18,Paramètres!$A$1:$I$89,5,0)</f>
        <v>120.12</v>
      </c>
      <c r="GW57" s="14">
        <f t="shared" si="51"/>
        <v>31.702985695201871</v>
      </c>
      <c r="GX57" s="22">
        <f t="shared" si="28"/>
        <v>264.42503341914329</v>
      </c>
      <c r="GY57" s="62">
        <f t="shared" si="29"/>
        <v>557.7583667524766</v>
      </c>
      <c r="GZ57" s="62">
        <f ca="1">AVERAGE(OFFSET($GY$3,0,0,'Données projet'!$E$18+1,1))-AVERAGE(OFFSET($H$3,0,0,'Données projet'!$E$18+1,1))</f>
        <v>99.222094917553648</v>
      </c>
      <c r="HA57" s="62">
        <f t="shared" si="52"/>
        <v>98.371477396766352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6.3178452635123921E-4</v>
      </c>
      <c r="HJ57" s="24">
        <f t="shared" si="30"/>
        <v>6.3178452635123921E-4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</v>
      </c>
      <c r="N58" s="14">
        <f>IF('Données projet'!$A$36&gt;35,N57+M58-V57,IF(A58&lt;'Données projet'!$A$36,$K$205^A58,IF(A58='Données projet'!$A$36,'Données projet'!$B$36,N57+M58-V57)))</f>
        <v>362.99999999999989</v>
      </c>
      <c r="O58" s="14">
        <f>N58*VLOOKUP('Données projet'!$B$9,Paramètres!$A$1:$I$89,3,0)*VLOOKUP('Données projet'!$B$9,Paramètres!$A$1:$I$89,5,0)</f>
        <v>169.88399999999993</v>
      </c>
      <c r="P58" s="14">
        <f t="shared" si="33"/>
        <v>43.064042412117296</v>
      </c>
      <c r="Q58" s="22">
        <f t="shared" si="53"/>
        <v>370.8845072011041</v>
      </c>
      <c r="R58" s="62">
        <f t="shared" si="0"/>
        <v>664.21784053443741</v>
      </c>
      <c r="S58" s="62">
        <f ca="1">AVERAGE(OFFSET($R$3,0,0,'Données projet'!$E$9+1,1))-AVERAGE(OFFSET($H$3,0,0,'Données projet'!$E$9+1,1))</f>
        <v>181.48161394994878</v>
      </c>
      <c r="T58" s="62">
        <f t="shared" si="34"/>
        <v>141.1874974464024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257.55599999999998</v>
      </c>
      <c r="AK58" s="14">
        <f t="shared" si="35"/>
        <v>62.201129910568184</v>
      </c>
      <c r="AL58" s="22">
        <f t="shared" si="4"/>
        <v>556.91033459423954</v>
      </c>
      <c r="AM58" s="62">
        <f t="shared" si="5"/>
        <v>850.24366792757291</v>
      </c>
      <c r="AN58" s="62">
        <f ca="1">AVERAGE(OFFSET($AM$3,0,0,'Données projet'!$E$10+1,1))-AVERAGE(OFFSET($H$3,0,0,'Données projet'!$E$10+1,1))</f>
        <v>340.81036749486179</v>
      </c>
      <c r="AO58" s="62">
        <f t="shared" si="36"/>
        <v>208.88199836488013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387.12499999999994</v>
      </c>
      <c r="BE58" s="14">
        <f>BD58*VLOOKUP('Données projet'!$B$11,Paramètres!$A$1:$I$89,3,0)*VLOOKUP('Données projet'!$B$11,Paramètres!$A$1:$I$89,5,0)</f>
        <v>231.50074999999998</v>
      </c>
      <c r="BF58" s="14">
        <f t="shared" si="37"/>
        <v>56.607055837426749</v>
      </c>
      <c r="BG58" s="22">
        <f t="shared" si="7"/>
        <v>501.78776183351812</v>
      </c>
      <c r="BH58" s="62">
        <f t="shared" si="8"/>
        <v>795.12109516685143</v>
      </c>
      <c r="BI58" s="62">
        <f ca="1">AVERAGE(OFFSET($BH$3,0,0,'Données projet'!$E$11+1,1))-AVERAGE(OFFSET($H$3,0,0,'Données projet'!$E$11+1,1))</f>
        <v>257.96727373333601</v>
      </c>
      <c r="BJ58" s="62">
        <f t="shared" si="38"/>
        <v>194.52809733694494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3.0223699441395877</v>
      </c>
      <c r="BR58" s="23">
        <f>EXP(-LN(2)/2)*BR57+(1-EXP(-LN(2)/2))/(LN(2)/2)*BL58*BO58*VLOOKUP('Données projet'!$B$11,Paramètres!$A$1:$I$89,3,0)*0.475*44/12</f>
        <v>2.4552101870523968E-3</v>
      </c>
      <c r="BS58" s="24">
        <f t="shared" si="9"/>
        <v>3.0248251543266402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229.81919999999997</v>
      </c>
      <c r="CA58" s="14">
        <f t="shared" si="39"/>
        <v>56.243586554989342</v>
      </c>
      <c r="CB58" s="22">
        <f t="shared" si="10"/>
        <v>498.22601991660639</v>
      </c>
      <c r="CC58" s="62">
        <f t="shared" si="11"/>
        <v>791.5593532499397</v>
      </c>
      <c r="CD58" s="62">
        <f ca="1">AVERAGE(OFFSET($CC$3,0,0,'Données projet'!$E$12+1,1))-AVERAGE(OFFSET($H$3,0,0,'Données projet'!$E$12+1,1))</f>
        <v>292.83612296867898</v>
      </c>
      <c r="CE58" s="62">
        <f t="shared" si="40"/>
        <v>180.48047802041276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4.8836931683390039E-3</v>
      </c>
      <c r="CN58" s="24">
        <f t="shared" si="12"/>
        <v>4.8836931683390039E-3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135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134.99999999999994</v>
      </c>
      <c r="CU58" s="18">
        <f>CT58*VLOOKUP('Données projet'!$B$13,Paramètres!$A$1:$I$89,3,0)*VLOOKUP('Données projet'!$B$13,Paramètres!$A$1:$I$89,5,0)</f>
        <v>153.73799999999994</v>
      </c>
      <c r="CV58" s="14">
        <f t="shared" si="41"/>
        <v>39.426838781722438</v>
      </c>
      <c r="CW58" s="22">
        <f t="shared" si="13"/>
        <v>336.42876087816643</v>
      </c>
      <c r="CX58" s="62">
        <f t="shared" si="14"/>
        <v>629.76209421149974</v>
      </c>
      <c r="CY58" s="62">
        <f ca="1">AVERAGE(OFFSET($CX$3,0,0,'Données projet'!$E$13+1,1))-AVERAGE(OFFSET($H$3,0,0,'Données projet'!$E$13+1,1))</f>
        <v>192.93829651668403</v>
      </c>
      <c r="CZ58" s="62">
        <f t="shared" si="42"/>
        <v>76.592736352376903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14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135</v>
      </c>
      <c r="DM58" s="13">
        <f>VLOOKUP(A58,'Données projet'!$A$165:$I$185,9,0)</f>
        <v>5.6</v>
      </c>
      <c r="DN58" s="13">
        <f t="array" ref="DN58">INDEX(DM:DM,MIN(IF(ISNUMBER(DM58:DM254),ROW(DM58:DM254),"")))</f>
        <v>5.6</v>
      </c>
      <c r="DO58" s="13">
        <f>IF('Données projet'!$A$166&gt;35,DO57+DN58-DW57,IF(A58&lt;'Données projet'!$A$166,$DL$205^A58,IF(A58='Données projet'!$A$166,'Données projet'!$B$166,DO57+DN58-DW57)))</f>
        <v>134.99999999999994</v>
      </c>
      <c r="DP58" s="18">
        <f>DO58*VLOOKUP('Données projet'!$B$14,Paramètres!$A$1:$I$89,3,0)*VLOOKUP('Données projet'!$B$14,Paramètres!$A$1:$I$89,5,0)</f>
        <v>90.557999999999964</v>
      </c>
      <c r="DQ58" s="14">
        <f t="shared" si="43"/>
        <v>24.699752708509138</v>
      </c>
      <c r="DR58" s="22">
        <f t="shared" si="16"/>
        <v>200.74058596732002</v>
      </c>
      <c r="DS58" s="62">
        <f t="shared" si="17"/>
        <v>494.0739193006533</v>
      </c>
      <c r="DT58" s="62">
        <f ca="1">AVERAGE(OFFSET($DS$3,0,0,'Données projet'!$E$14+1,1))-AVERAGE(OFFSET($H$3,0,0,'Données projet'!$E$14+1,1))</f>
        <v>66.964554307546564</v>
      </c>
      <c r="DU58" s="62">
        <f t="shared" si="44"/>
        <v>21.162700178818568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14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135</v>
      </c>
      <c r="EH58" s="13">
        <f>VLOOKUP(A58,'Données projet'!$A$191:$I$211,9,0)</f>
        <v>5.6</v>
      </c>
      <c r="EI58" s="13">
        <f t="array" ref="EI58">INDEX(EH:EH,MIN(IF(ISNUMBER(EH58:EH254),ROW(EH58:EH254),"")))</f>
        <v>5.6</v>
      </c>
      <c r="EJ58" s="13">
        <f>IF('Données projet'!$A$192&gt;35,EJ57+EI58-ER57,IF(A58&lt;'Données projet'!$A$192,$EG$205^A58,IF(A58='Données projet'!$A$192,'Données projet'!$B$192,EJ57+EI58-ER57)))</f>
        <v>134.99999999999994</v>
      </c>
      <c r="EK58" s="18">
        <f>EJ58*VLOOKUP('Données projet'!$B$15,Paramètres!$A$1:$I$89,3,0)*VLOOKUP('Données projet'!$B$15,Paramètres!$A$1:$I$89,5,0)</f>
        <v>130.57199999999995</v>
      </c>
      <c r="EL58" s="14">
        <f t="shared" si="45"/>
        <v>34.12849794659828</v>
      </c>
      <c r="EM58" s="22">
        <f t="shared" si="19"/>
        <v>286.85336725699193</v>
      </c>
      <c r="EN58" s="62">
        <f t="shared" si="20"/>
        <v>580.18670059032524</v>
      </c>
      <c r="EO58" s="62">
        <f ca="1">AVERAGE(OFFSET($EN$3,0,0,'Données projet'!$E$15+1,1))-AVERAGE(OFFSET($H$3,0,0,'Données projet'!$E$15+1,1))</f>
        <v>146.90952320473599</v>
      </c>
      <c r="EP58" s="62">
        <f t="shared" si="46"/>
        <v>56.347130462109817</v>
      </c>
      <c r="EQ58" s="16">
        <f>IF(ISNA(VLOOKUP(A58,'Données projet'!$A$191:$I$211,3,0)),0,VLOOKUP(A58,'Données projet'!$A$191:$I$211,3,0))</f>
        <v>7</v>
      </c>
      <c r="ER58" s="16">
        <f>IF(ISNA(VLOOKUP(A58,'Données projet'!$A$191:$I$211,4,0)),0,VLOOKUP(A58,'Données projet'!$A$191:$I$211,4,0))</f>
        <v>14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135</v>
      </c>
      <c r="FC58" s="13">
        <f>VLOOKUP(A58,'Données projet'!$A$217:$I$237,9,0)</f>
        <v>5.6</v>
      </c>
      <c r="FD58" s="13">
        <f t="array" ref="FD58">INDEX(FC:FC,MIN(IF(ISNUMBER(FC58:FC254),ROW(FC58:FC254),"")))</f>
        <v>5.6</v>
      </c>
      <c r="FE58" s="13">
        <f>IF('Données projet'!$A$218&gt;35,FE57+FD58-FM57,IF(A58&lt;'Données projet'!$A$218,$FB$205^A58,IF(A58='Données projet'!$A$218,'Données projet'!$B$218,FE57+FD58-FM57)))</f>
        <v>134.99999999999994</v>
      </c>
      <c r="FF58" s="18">
        <f>FE58*VLOOKUP('Données projet'!$B$16,Paramètres!$A$1:$I$89,3,0)*VLOOKUP('Données projet'!$B$16,Paramètres!$A$1:$I$89,5,0)</f>
        <v>145.31399999999994</v>
      </c>
      <c r="FG58" s="14">
        <f t="shared" si="47"/>
        <v>37.511716231443025</v>
      </c>
      <c r="FH58" s="22">
        <f t="shared" si="22"/>
        <v>318.42145576976316</v>
      </c>
      <c r="FI58" s="62">
        <f t="shared" si="23"/>
        <v>611.75478910309653</v>
      </c>
      <c r="FJ58" s="62">
        <f ca="1">AVERAGE(OFFSET($FI$3,0,0,'Données projet'!$E$16+1,1))-AVERAGE(OFFSET($H$3,0,0,'Données projet'!$E$16+1,1))</f>
        <v>176.21892815766847</v>
      </c>
      <c r="FK58" s="62">
        <f t="shared" si="48"/>
        <v>69.239647548491234</v>
      </c>
      <c r="FL58" s="16">
        <f>IF(ISNA(VLOOKUP(A58,'Données projet'!$A$217:$I$237,3,0)),0,VLOOKUP(A58,'Données projet'!$A$217:$I$237,3,0))</f>
        <v>7</v>
      </c>
      <c r="FM58" s="16">
        <f>IF(ISNA(VLOOKUP(A58,'Données projet'!$A$217:$I$237,4,0)),0,VLOOKUP(A58,'Données projet'!$A$217:$I$237,4,0))</f>
        <v>14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134</v>
      </c>
      <c r="FX58" s="13">
        <f>VLOOKUP(A58,'Données projet'!$A$243:$I$263,9,0)</f>
        <v>3.6</v>
      </c>
      <c r="FY58" s="13">
        <f t="array" ref="FY58">INDEX(FX:FX,MIN(IF(ISNUMBER(FX58:FX254),ROW(FX58:FX254),"")))</f>
        <v>3.6</v>
      </c>
      <c r="FZ58" s="13">
        <f>IF('Données projet'!$A$244&gt;35,FZ57+FY58-GH57,IF(A58&lt;'Données projet'!$A$244,$FW$205^A58,IF(A58='Données projet'!$A$244,'Données projet'!$B$244,FZ57+FY58-GH57)))</f>
        <v>133.99999999999994</v>
      </c>
      <c r="GA58" s="18">
        <f>FZ58*VLOOKUP('Données projet'!$B$17,Paramètres!$A$1:$I$89,3,0)*VLOOKUP('Données projet'!$B$17,Paramètres!$A$1:$I$89,5,0)</f>
        <v>106.61039999999997</v>
      </c>
      <c r="GB58" s="14">
        <f t="shared" si="49"/>
        <v>28.530919434405426</v>
      </c>
      <c r="GC58" s="22">
        <f t="shared" si="25"/>
        <v>235.37113134825609</v>
      </c>
      <c r="GD58" s="62">
        <f t="shared" si="26"/>
        <v>528.70446468158934</v>
      </c>
      <c r="GE58" s="62">
        <f ca="1">AVERAGE(OFFSET($GD$3,0,0,'Données projet'!$E$17+1,1))-AVERAGE(OFFSET($H$3,0,0,'Données projet'!$E$17+1,1))</f>
        <v>70.834027458412379</v>
      </c>
      <c r="GF58" s="62">
        <f t="shared" si="50"/>
        <v>74.346987922112362</v>
      </c>
      <c r="GG58" s="16">
        <f>IF(ISNA(VLOOKUP(A58,'Données projet'!$A$243:$I$263,3,0)),0,VLOOKUP(A58,'Données projet'!$A$243:$I$263,3,0))</f>
        <v>8</v>
      </c>
      <c r="GH58" s="16">
        <f>IF(ISNA(VLOOKUP(A58,'Données projet'!$A$243:$I$263,4,0)),0,VLOOKUP(A58,'Données projet'!$A$243:$I$263,4,0))</f>
        <v>9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2.1471409619421462E-3</v>
      </c>
      <c r="GO58" s="23">
        <f t="shared" si="27"/>
        <v>2.1471409619421462E-3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6</v>
      </c>
      <c r="GU58" s="13">
        <f>IF('Données projet'!$A$270&gt;35,GU57+GT58-HC57,IF(A58&lt;'Données projet'!$A$270,$GR$205^A58,IF(A58='Données projet'!$A$270,'Données projet'!$B$270,GU57+GT58-HC57)))</f>
        <v>160</v>
      </c>
      <c r="GV58" s="18">
        <f>GU58*VLOOKUP('Données projet'!$B$18,Paramètres!$A$1:$I$89,3,0)*VLOOKUP('Données projet'!$B$18,Paramètres!$A$1:$I$89,5,0)</f>
        <v>124.80000000000001</v>
      </c>
      <c r="GW58" s="14">
        <f t="shared" si="51"/>
        <v>32.791952217579265</v>
      </c>
      <c r="GX58" s="22">
        <f t="shared" si="28"/>
        <v>274.47265011228387</v>
      </c>
      <c r="GY58" s="62">
        <f t="shared" si="29"/>
        <v>567.80598344561713</v>
      </c>
      <c r="GZ58" s="62">
        <f ca="1">AVERAGE(OFFSET($GY$3,0,0,'Données projet'!$E$18+1,1))-AVERAGE(OFFSET($H$3,0,0,'Données projet'!$E$18+1,1))</f>
        <v>99.222094917553648</v>
      </c>
      <c r="HA58" s="62">
        <f t="shared" si="52"/>
        <v>98.371477396766352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4.4673912283169228E-4</v>
      </c>
      <c r="HJ58" s="24">
        <f t="shared" si="30"/>
        <v>4.4673912283169228E-4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380</v>
      </c>
      <c r="L59" s="13">
        <f>VLOOKUP(A59,'Données projet'!$A$35:$I$55,9,0)</f>
        <v>17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379.99999999999989</v>
      </c>
      <c r="O59" s="14">
        <f>N59*VLOOKUP('Données projet'!$B$9,Paramètres!$A$1:$I$89,3,0)*VLOOKUP('Données projet'!$B$9,Paramètres!$A$1:$I$89,5,0)</f>
        <v>177.83999999999995</v>
      </c>
      <c r="P59" s="14">
        <f t="shared" si="33"/>
        <v>44.841288830609102</v>
      </c>
      <c r="Q59" s="22">
        <f t="shared" si="53"/>
        <v>387.83657804664409</v>
      </c>
      <c r="R59" s="62">
        <f t="shared" si="0"/>
        <v>681.16991137997741</v>
      </c>
      <c r="S59" s="62">
        <f ca="1">AVERAGE(OFFSET($R$3,0,0,'Données projet'!$E$9+1,1))-AVERAGE(OFFSET($H$3,0,0,'Données projet'!$E$9+1,1))</f>
        <v>181.48161394994878</v>
      </c>
      <c r="T59" s="62">
        <f t="shared" si="34"/>
        <v>141.1874974464024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810.35473537050575</v>
      </c>
      <c r="AN59" s="62">
        <f ca="1">AVERAGE(OFFSET($AM$3,0,0,'Données projet'!$E$10+1,1))-AVERAGE(OFFSET($H$3,0,0,'Données projet'!$E$10+1,1))</f>
        <v>340.81036749486179</v>
      </c>
      <c r="AO59" s="62">
        <f t="shared" si="36"/>
        <v>208.88199836488013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404.74999999999994</v>
      </c>
      <c r="BE59" s="14">
        <f>BD59*VLOOKUP('Données projet'!$B$11,Paramètres!$A$1:$I$89,3,0)*VLOOKUP('Données projet'!$B$11,Paramètres!$A$1:$I$89,5,0)</f>
        <v>242.04049999999998</v>
      </c>
      <c r="BF59" s="14">
        <f t="shared" si="37"/>
        <v>58.878337443371535</v>
      </c>
      <c r="BG59" s="22">
        <f t="shared" si="7"/>
        <v>524.10030854720526</v>
      </c>
      <c r="BH59" s="62">
        <f t="shared" si="8"/>
        <v>817.43364188053852</v>
      </c>
      <c r="BI59" s="62">
        <f ca="1">AVERAGE(OFFSET($BH$3,0,0,'Données projet'!$E$11+1,1))-AVERAGE(OFFSET($H$3,0,0,'Données projet'!$E$11+1,1))</f>
        <v>257.96727373333601</v>
      </c>
      <c r="BJ59" s="62">
        <f t="shared" si="38"/>
        <v>194.52809733694494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2.939723079077563</v>
      </c>
      <c r="BR59" s="23">
        <f>EXP(-LN(2)/2)*BR58+(1-EXP(-LN(2)/2))/(LN(2)/2)*BL59*BO59*VLOOKUP('Données projet'!$B$11,Paramètres!$A$1:$I$89,3,0)*0.475*44/12</f>
        <v>1.7360957725030416E-3</v>
      </c>
      <c r="BS59" s="24">
        <f t="shared" si="9"/>
        <v>2.941459174850066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212.98991999999998</v>
      </c>
      <c r="CA59" s="14">
        <f t="shared" si="39"/>
        <v>52.588419883221171</v>
      </c>
      <c r="CB59" s="22">
        <f t="shared" si="10"/>
        <v>462.54894196327677</v>
      </c>
      <c r="CC59" s="62">
        <f t="shared" si="11"/>
        <v>755.88227529661003</v>
      </c>
      <c r="CD59" s="62">
        <f ca="1">AVERAGE(OFFSET($CC$3,0,0,'Données projet'!$E$12+1,1))-AVERAGE(OFFSET($H$3,0,0,'Données projet'!$E$12+1,1))</f>
        <v>292.83612296867898</v>
      </c>
      <c r="CE59" s="62">
        <f t="shared" si="40"/>
        <v>180.48047802041276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3.4532925565669251E-3</v>
      </c>
      <c r="CN59" s="24">
        <f t="shared" si="12"/>
        <v>3.4532925565669251E-3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5.6</v>
      </c>
      <c r="CT59" s="13">
        <f>IF('Données projet'!$A$140&gt;35,CT58+CS59-DB58,IF(A59&lt;'Données projet'!$A$140,$CQ$205^A59,IF(A59='Données projet'!$A$140,'Données projet'!$B$140,CT58+CS59-DB58)))</f>
        <v>126.59999999999994</v>
      </c>
      <c r="CU59" s="18">
        <f>CT59*VLOOKUP('Données projet'!$B$13,Paramètres!$A$1:$I$89,3,0)*VLOOKUP('Données projet'!$B$13,Paramètres!$A$1:$I$89,5,0)</f>
        <v>144.17207999999994</v>
      </c>
      <c r="CV59" s="14">
        <f t="shared" si="41"/>
        <v>37.251130863114369</v>
      </c>
      <c r="CW59" s="22">
        <f t="shared" si="13"/>
        <v>315.97875891992413</v>
      </c>
      <c r="CX59" s="62">
        <f t="shared" si="14"/>
        <v>609.31209225325745</v>
      </c>
      <c r="CY59" s="62">
        <f ca="1">AVERAGE(OFFSET($CX$3,0,0,'Données projet'!$E$13+1,1))-AVERAGE(OFFSET($H$3,0,0,'Données projet'!$E$13+1,1))</f>
        <v>192.93829651668403</v>
      </c>
      <c r="CZ59" s="62">
        <f t="shared" si="42"/>
        <v>76.592736352376903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5.6</v>
      </c>
      <c r="DO59" s="13">
        <f>IF('Données projet'!$A$166&gt;35,DO58+DN59-DW58,IF(A59&lt;'Données projet'!$A$166,$DL$205^A59,IF(A59='Données projet'!$A$166,'Données projet'!$B$166,DO58+DN59-DW58)))</f>
        <v>126.59999999999994</v>
      </c>
      <c r="DP59" s="18">
        <f>DO59*VLOOKUP('Données projet'!$B$14,Paramètres!$A$1:$I$89,3,0)*VLOOKUP('Données projet'!$B$14,Paramètres!$A$1:$I$89,5,0)</f>
        <v>84.923279999999963</v>
      </c>
      <c r="DQ59" s="14">
        <f t="shared" si="43"/>
        <v>23.336735808953005</v>
      </c>
      <c r="DR59" s="22">
        <f t="shared" si="16"/>
        <v>188.55286086725974</v>
      </c>
      <c r="DS59" s="62">
        <f t="shared" si="17"/>
        <v>481.88619420059308</v>
      </c>
      <c r="DT59" s="62">
        <f ca="1">AVERAGE(OFFSET($DS$3,0,0,'Données projet'!$E$14+1,1))-AVERAGE(OFFSET($H$3,0,0,'Données projet'!$E$14+1,1))</f>
        <v>66.964554307546564</v>
      </c>
      <c r="DU59" s="62">
        <f t="shared" si="44"/>
        <v>21.162700178818568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5.6</v>
      </c>
      <c r="EJ59" s="13">
        <f>IF('Données projet'!$A$192&gt;35,EJ58+EI59-ER58,IF(A59&lt;'Données projet'!$A$192,$EG$205^A59,IF(A59='Données projet'!$A$192,'Données projet'!$B$192,EJ58+EI59-ER58)))</f>
        <v>126.59999999999994</v>
      </c>
      <c r="EK59" s="18">
        <f>EJ59*VLOOKUP('Données projet'!$B$15,Paramètres!$A$1:$I$89,3,0)*VLOOKUP('Données projet'!$B$15,Paramètres!$A$1:$I$89,5,0)</f>
        <v>122.44751999999994</v>
      </c>
      <c r="EL59" s="14">
        <f t="shared" si="45"/>
        <v>32.245170611031256</v>
      </c>
      <c r="EM59" s="22">
        <f t="shared" si="19"/>
        <v>269.42310281421265</v>
      </c>
      <c r="EN59" s="62">
        <f t="shared" si="20"/>
        <v>562.75643614754597</v>
      </c>
      <c r="EO59" s="62">
        <f ca="1">AVERAGE(OFFSET($EN$3,0,0,'Données projet'!$E$15+1,1))-AVERAGE(OFFSET($H$3,0,0,'Données projet'!$E$15+1,1))</f>
        <v>146.90952320473599</v>
      </c>
      <c r="EP59" s="62">
        <f t="shared" si="46"/>
        <v>56.347130462109817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5.6</v>
      </c>
      <c r="FE59" s="13">
        <f>IF('Données projet'!$A$218&gt;35,FE58+FD59-FM58,IF(A59&lt;'Données projet'!$A$218,$FB$205^A59,IF(A59='Données projet'!$A$218,'Données projet'!$B$218,FE58+FD59-FM58)))</f>
        <v>126.59999999999994</v>
      </c>
      <c r="FF59" s="18">
        <f>FE59*VLOOKUP('Données projet'!$B$16,Paramètres!$A$1:$I$89,3,0)*VLOOKUP('Données projet'!$B$16,Paramètres!$A$1:$I$89,5,0)</f>
        <v>136.27223999999993</v>
      </c>
      <c r="FG59" s="14">
        <f t="shared" si="47"/>
        <v>35.441691330456997</v>
      </c>
      <c r="FH59" s="22">
        <f t="shared" si="22"/>
        <v>299.06843040054582</v>
      </c>
      <c r="FI59" s="62">
        <f t="shared" si="23"/>
        <v>592.40176373387908</v>
      </c>
      <c r="FJ59" s="62">
        <f ca="1">AVERAGE(OFFSET($FI$3,0,0,'Données projet'!$E$16+1,1))-AVERAGE(OFFSET($H$3,0,0,'Données projet'!$E$16+1,1))</f>
        <v>176.21892815766847</v>
      </c>
      <c r="FK59" s="62">
        <f t="shared" si="48"/>
        <v>69.239647548491234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</v>
      </c>
      <c r="FZ59" s="13">
        <f>IF('Données projet'!$A$244&gt;35,FZ58+FY59-GH58,IF(A59&lt;'Données projet'!$A$244,$FW$205^A59,IF(A59='Données projet'!$A$244,'Données projet'!$B$244,FZ58+FY59-GH58)))</f>
        <v>127.99999999999994</v>
      </c>
      <c r="GA59" s="18">
        <f>FZ59*VLOOKUP('Données projet'!$B$17,Paramètres!$A$1:$I$89,3,0)*VLOOKUP('Données projet'!$B$17,Paramètres!$A$1:$I$89,5,0)</f>
        <v>101.83679999999995</v>
      </c>
      <c r="GB59" s="14">
        <f t="shared" si="49"/>
        <v>27.399125192467324</v>
      </c>
      <c r="GC59" s="22">
        <f t="shared" si="25"/>
        <v>225.08590304354718</v>
      </c>
      <c r="GD59" s="62">
        <f t="shared" si="26"/>
        <v>518.41923637688046</v>
      </c>
      <c r="GE59" s="62">
        <f ca="1">AVERAGE(OFFSET($GD$3,0,0,'Données projet'!$E$17+1,1))-AVERAGE(OFFSET($H$3,0,0,'Données projet'!$E$17+1,1))</f>
        <v>70.834027458412379</v>
      </c>
      <c r="GF59" s="62">
        <f t="shared" si="50"/>
        <v>74.346987922112362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1.5182579343526984E-3</v>
      </c>
      <c r="GO59" s="23">
        <f t="shared" si="27"/>
        <v>1.5182579343526984E-3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6</v>
      </c>
      <c r="GU59" s="13">
        <f>IF('Données projet'!$A$270&gt;35,GU58+GT59-HC58,IF(A59&lt;'Données projet'!$A$270,$GR$205^A59,IF(A59='Données projet'!$A$270,'Données projet'!$B$270,GU58+GT59-HC58)))</f>
        <v>166</v>
      </c>
      <c r="GV59" s="18">
        <f>GU59*VLOOKUP('Données projet'!$B$18,Paramètres!$A$1:$I$89,3,0)*VLOOKUP('Données projet'!$B$18,Paramètres!$A$1:$I$89,5,0)</f>
        <v>129.48000000000002</v>
      </c>
      <c r="GW59" s="14">
        <f t="shared" si="51"/>
        <v>33.876174585711858</v>
      </c>
      <c r="GX59" s="22">
        <f t="shared" si="28"/>
        <v>284.51200407011481</v>
      </c>
      <c r="GY59" s="62">
        <f t="shared" si="29"/>
        <v>577.84533740344818</v>
      </c>
      <c r="GZ59" s="62">
        <f ca="1">AVERAGE(OFFSET($GY$3,0,0,'Données projet'!$E$18+1,1))-AVERAGE(OFFSET($H$3,0,0,'Données projet'!$E$18+1,1))</f>
        <v>99.222094917553648</v>
      </c>
      <c r="HA59" s="62">
        <f t="shared" si="52"/>
        <v>98.371477396766352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3.1589226317561961E-4</v>
      </c>
      <c r="HJ59" s="24">
        <f t="shared" si="30"/>
        <v>3.1589226317561961E-4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</v>
      </c>
      <c r="L60" s="13">
        <f>VLOOKUP(A60,'Données projet'!$A$35:$I$55,9,0)</f>
        <v>15</v>
      </c>
      <c r="M60" s="13">
        <f t="array" ref="M60">INDEX(L:L,MIN(IF(ISNUMBER(L60:L256),ROW(L60:L256),"")))</f>
        <v>15</v>
      </c>
      <c r="N60" s="14">
        <f>IF('Données projet'!$A$36&gt;35,N59+M60-V59,IF(A60&lt;'Données projet'!$A$36,$K$205^A60,IF(A60='Données projet'!$A$36,'Données projet'!$B$36,N59+M60-V59)))</f>
        <v>315.99999999999989</v>
      </c>
      <c r="O60" s="14">
        <f>N60*VLOOKUP('Données projet'!$B$9,Paramètres!$A$1:$I$89,3,0)*VLOOKUP('Données projet'!$B$9,Paramètres!$A$1:$I$89,5,0)</f>
        <v>147.88799999999995</v>
      </c>
      <c r="P60" s="14">
        <f t="shared" si="33"/>
        <v>38.098230660204834</v>
      </c>
      <c r="Q60" s="22">
        <f t="shared" si="53"/>
        <v>323.92601839985667</v>
      </c>
      <c r="R60" s="62">
        <f t="shared" si="0"/>
        <v>617.25935173318999</v>
      </c>
      <c r="S60" s="62">
        <f ca="1">AVERAGE(OFFSET($R$3,0,0,'Données projet'!$E$9+1,1))-AVERAGE(OFFSET($H$3,0,0,'Données projet'!$E$9+1,1))</f>
        <v>181.48161394994878</v>
      </c>
      <c r="T60" s="62">
        <f t="shared" si="34"/>
        <v>141.1874974464024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830.52144461230614</v>
      </c>
      <c r="AN60" s="62">
        <f ca="1">AVERAGE(OFFSET($AM$3,0,0,'Données projet'!$E$10+1,1))-AVERAGE(OFFSET($H$3,0,0,'Données projet'!$E$10+1,1))</f>
        <v>340.81036749486179</v>
      </c>
      <c r="AO60" s="62">
        <f t="shared" si="36"/>
        <v>208.88199836488013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422.37499999999994</v>
      </c>
      <c r="BE60" s="14">
        <f>BD60*VLOOKUP('Données projet'!$B$11,Paramètres!$A$1:$I$89,3,0)*VLOOKUP('Données projet'!$B$11,Paramètres!$A$1:$I$89,5,0)</f>
        <v>252.58025000000001</v>
      </c>
      <c r="BF60" s="14">
        <f t="shared" si="37"/>
        <v>61.138131933251593</v>
      </c>
      <c r="BG60" s="22">
        <f t="shared" si="7"/>
        <v>546.39284853374647</v>
      </c>
      <c r="BH60" s="62">
        <f t="shared" si="8"/>
        <v>839.72618186707973</v>
      </c>
      <c r="BI60" s="62">
        <f ca="1">AVERAGE(OFFSET($BH$3,0,0,'Données projet'!$E$11+1,1))-AVERAGE(OFFSET($H$3,0,0,'Données projet'!$E$11+1,1))</f>
        <v>257.96727373333601</v>
      </c>
      <c r="BJ60" s="62">
        <f t="shared" si="38"/>
        <v>194.52809733694494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2.8593361968868694</v>
      </c>
      <c r="BR60" s="23">
        <f>EXP(-LN(2)/2)*BR59+(1-EXP(-LN(2)/2))/(LN(2)/2)*BL60*BO60*VLOOKUP('Données projet'!$B$11,Paramètres!$A$1:$I$89,3,0)*0.475*44/12</f>
        <v>1.2276050935261984E-3</v>
      </c>
      <c r="BS60" s="24">
        <f t="shared" si="9"/>
        <v>2.8605638019803954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221.49503999999999</v>
      </c>
      <c r="CA60" s="14">
        <f t="shared" si="39"/>
        <v>54.439697086174412</v>
      </c>
      <c r="CB60" s="22">
        <f t="shared" si="10"/>
        <v>480.58633375842032</v>
      </c>
      <c r="CC60" s="62">
        <f t="shared" si="11"/>
        <v>773.91966709175358</v>
      </c>
      <c r="CD60" s="62">
        <f ca="1">AVERAGE(OFFSET($CC$3,0,0,'Données projet'!$E$12+1,1))-AVERAGE(OFFSET($H$3,0,0,'Données projet'!$E$12+1,1))</f>
        <v>292.83612296867898</v>
      </c>
      <c r="CE60" s="62">
        <f t="shared" si="40"/>
        <v>180.48047802041276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2.441846584169502E-3</v>
      </c>
      <c r="CN60" s="24">
        <f t="shared" si="12"/>
        <v>2.441846584169502E-3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5.6</v>
      </c>
      <c r="CT60" s="13">
        <f>IF('Données projet'!$A$140&gt;35,CT59+CS60-DB59,IF(A60&lt;'Données projet'!$A$140,$CQ$205^A60,IF(A60='Données projet'!$A$140,'Données projet'!$B$140,CT59+CS60-DB59)))</f>
        <v>132.19999999999993</v>
      </c>
      <c r="CU60" s="18">
        <f>CT60*VLOOKUP('Données projet'!$B$13,Paramètres!$A$1:$I$89,3,0)*VLOOKUP('Données projet'!$B$13,Paramètres!$A$1:$I$89,5,0)</f>
        <v>150.54935999999992</v>
      </c>
      <c r="CV60" s="14">
        <f t="shared" si="41"/>
        <v>38.703403077639891</v>
      </c>
      <c r="CW60" s="22">
        <f t="shared" si="13"/>
        <v>329.61522902688932</v>
      </c>
      <c r="CX60" s="62">
        <f t="shared" si="14"/>
        <v>622.9485623602227</v>
      </c>
      <c r="CY60" s="62">
        <f ca="1">AVERAGE(OFFSET($CX$3,0,0,'Données projet'!$E$13+1,1))-AVERAGE(OFFSET($H$3,0,0,'Données projet'!$E$13+1,1))</f>
        <v>192.93829651668403</v>
      </c>
      <c r="CZ60" s="62">
        <f t="shared" si="42"/>
        <v>76.592736352376903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5.6</v>
      </c>
      <c r="DO60" s="13">
        <f>IF('Données projet'!$A$166&gt;35,DO59+DN60-DW59,IF(A60&lt;'Données projet'!$A$166,$DL$205^A60,IF(A60='Données projet'!$A$166,'Données projet'!$B$166,DO59+DN60-DW59)))</f>
        <v>132.19999999999993</v>
      </c>
      <c r="DP60" s="18">
        <f>DO60*VLOOKUP('Données projet'!$B$14,Paramètres!$A$1:$I$89,3,0)*VLOOKUP('Données projet'!$B$14,Paramètres!$A$1:$I$89,5,0)</f>
        <v>88.679759999999959</v>
      </c>
      <c r="DQ60" s="14">
        <f t="shared" si="43"/>
        <v>24.246541557336982</v>
      </c>
      <c r="DR60" s="22">
        <f t="shared" si="16"/>
        <v>196.67997521236182</v>
      </c>
      <c r="DS60" s="62">
        <f t="shared" si="17"/>
        <v>490.01330854569517</v>
      </c>
      <c r="DT60" s="62">
        <f ca="1">AVERAGE(OFFSET($DS$3,0,0,'Données projet'!$E$14+1,1))-AVERAGE(OFFSET($H$3,0,0,'Données projet'!$E$14+1,1))</f>
        <v>66.964554307546564</v>
      </c>
      <c r="DU60" s="62">
        <f t="shared" si="44"/>
        <v>21.162700178818568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5.6</v>
      </c>
      <c r="EJ60" s="13">
        <f>IF('Données projet'!$A$192&gt;35,EJ59+EI60-ER59,IF(A60&lt;'Données projet'!$A$192,$EG$205^A60,IF(A60='Données projet'!$A$192,'Données projet'!$B$192,EJ59+EI60-ER59)))</f>
        <v>132.19999999999993</v>
      </c>
      <c r="EK60" s="18">
        <f>EJ60*VLOOKUP('Données projet'!$B$15,Paramètres!$A$1:$I$89,3,0)*VLOOKUP('Données projet'!$B$15,Paramètres!$A$1:$I$89,5,0)</f>
        <v>127.86383999999994</v>
      </c>
      <c r="EL60" s="14">
        <f t="shared" si="45"/>
        <v>33.502280509335172</v>
      </c>
      <c r="EM60" s="22">
        <f t="shared" si="19"/>
        <v>281.04599322042526</v>
      </c>
      <c r="EN60" s="62">
        <f t="shared" si="20"/>
        <v>574.37932655375857</v>
      </c>
      <c r="EO60" s="62">
        <f ca="1">AVERAGE(OFFSET($EN$3,0,0,'Données projet'!$E$15+1,1))-AVERAGE(OFFSET($H$3,0,0,'Données projet'!$E$15+1,1))</f>
        <v>146.90952320473599</v>
      </c>
      <c r="EP60" s="62">
        <f t="shared" si="46"/>
        <v>56.347130462109817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5.6</v>
      </c>
      <c r="FE60" s="13">
        <f>IF('Données projet'!$A$218&gt;35,FE59+FD60-FM59,IF(A60&lt;'Données projet'!$A$218,$FB$205^A60,IF(A60='Données projet'!$A$218,'Données projet'!$B$218,FE59+FD60-FM59)))</f>
        <v>132.19999999999993</v>
      </c>
      <c r="FF60" s="18">
        <f>FE60*VLOOKUP('Données projet'!$B$16,Paramètres!$A$1:$I$89,3,0)*VLOOKUP('Données projet'!$B$16,Paramètres!$A$1:$I$89,5,0)</f>
        <v>142.30007999999992</v>
      </c>
      <c r="FG60" s="14">
        <f t="shared" si="47"/>
        <v>36.823420753495235</v>
      </c>
      <c r="FH60" s="22">
        <f t="shared" si="22"/>
        <v>311.97343047900409</v>
      </c>
      <c r="FI60" s="62">
        <f t="shared" si="23"/>
        <v>605.30676381233741</v>
      </c>
      <c r="FJ60" s="62">
        <f ca="1">AVERAGE(OFFSET($FI$3,0,0,'Données projet'!$E$16+1,1))-AVERAGE(OFFSET($H$3,0,0,'Données projet'!$E$16+1,1))</f>
        <v>176.21892815766847</v>
      </c>
      <c r="FK60" s="62">
        <f t="shared" si="48"/>
        <v>69.239647548491234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</v>
      </c>
      <c r="FZ60" s="13">
        <f>IF('Données projet'!$A$244&gt;35,FZ59+FY60-GH59,IF(A60&lt;'Données projet'!$A$244,$FW$205^A60,IF(A60='Données projet'!$A$244,'Données projet'!$B$244,FZ59+FY60-GH59)))</f>
        <v>130.99999999999994</v>
      </c>
      <c r="GA60" s="18">
        <f>FZ60*VLOOKUP('Données projet'!$B$17,Paramètres!$A$1:$I$89,3,0)*VLOOKUP('Données projet'!$B$17,Paramètres!$A$1:$I$89,5,0)</f>
        <v>104.22359999999996</v>
      </c>
      <c r="GB60" s="14">
        <f t="shared" si="49"/>
        <v>27.965776624274493</v>
      </c>
      <c r="GC60" s="22">
        <f t="shared" si="25"/>
        <v>230.22983095394466</v>
      </c>
      <c r="GD60" s="62">
        <f t="shared" si="26"/>
        <v>523.56316428727791</v>
      </c>
      <c r="GE60" s="62">
        <f ca="1">AVERAGE(OFFSET($GD$3,0,0,'Données projet'!$E$17+1,1))-AVERAGE(OFFSET($H$3,0,0,'Données projet'!$E$17+1,1))</f>
        <v>70.834027458412379</v>
      </c>
      <c r="GF60" s="62">
        <f t="shared" si="50"/>
        <v>74.346987922112362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1.0735704809710731E-3</v>
      </c>
      <c r="GO60" s="23">
        <f t="shared" si="27"/>
        <v>1.0735704809710731E-3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6</v>
      </c>
      <c r="GU60" s="13">
        <f>IF('Données projet'!$A$270&gt;35,GU59+GT60-HC59,IF(A60&lt;'Données projet'!$A$270,$GR$205^A60,IF(A60='Données projet'!$A$270,'Données projet'!$B$270,GU59+GT60-HC59)))</f>
        <v>172</v>
      </c>
      <c r="GV60" s="18">
        <f>GU60*VLOOKUP('Données projet'!$B$18,Paramètres!$A$1:$I$89,3,0)*VLOOKUP('Données projet'!$B$18,Paramètres!$A$1:$I$89,5,0)</f>
        <v>134.16</v>
      </c>
      <c r="GW60" s="14">
        <f t="shared" si="51"/>
        <v>34.955843917296178</v>
      </c>
      <c r="GX60" s="22">
        <f t="shared" si="28"/>
        <v>294.54342815595749</v>
      </c>
      <c r="GY60" s="62">
        <f t="shared" si="29"/>
        <v>587.87676148929086</v>
      </c>
      <c r="GZ60" s="62">
        <f ca="1">AVERAGE(OFFSET($GY$3,0,0,'Données projet'!$E$18+1,1))-AVERAGE(OFFSET($H$3,0,0,'Données projet'!$E$18+1,1))</f>
        <v>99.222094917553648</v>
      </c>
      <c r="HA60" s="62">
        <f t="shared" si="52"/>
        <v>98.371477396766352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2.2336956141584614E-4</v>
      </c>
      <c r="HJ60" s="24">
        <f t="shared" si="30"/>
        <v>2.2336956141584614E-4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16.666666666666668</v>
      </c>
      <c r="N61" s="14">
        <f>IF('Données projet'!$A$36&gt;35,N60+M61-V60,IF(A61&lt;'Données projet'!$A$36,$K$205^A61,IF(A61='Données projet'!$A$36,'Données projet'!$B$36,N60+M61-V60)))</f>
        <v>332.66666666666657</v>
      </c>
      <c r="O61" s="14">
        <f>N61*VLOOKUP('Données projet'!$B$9,Paramètres!$A$1:$I$89,3,0)*VLOOKUP('Données projet'!$B$9,Paramètres!$A$1:$I$89,5,0)</f>
        <v>155.68799999999996</v>
      </c>
      <c r="P61" s="14">
        <f t="shared" si="33"/>
        <v>39.868390761764985</v>
      </c>
      <c r="Q61" s="22">
        <f t="shared" si="53"/>
        <v>340.5940472434072</v>
      </c>
      <c r="R61" s="62">
        <f t="shared" si="0"/>
        <v>633.92738057674046</v>
      </c>
      <c r="S61" s="62">
        <f ca="1">AVERAGE(OFFSET($R$3,0,0,'Données projet'!$E$9+1,1))-AVERAGE(OFFSET($H$3,0,0,'Données projet'!$E$9+1,1))</f>
        <v>181.48161394994878</v>
      </c>
      <c r="T61" s="62">
        <f t="shared" si="34"/>
        <v>141.1874974464024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850.6722473875011</v>
      </c>
      <c r="AN61" s="62">
        <f ca="1">AVERAGE(OFFSET($AM$3,0,0,'Données projet'!$E$10+1,1))-AVERAGE(OFFSET($H$3,0,0,'Données projet'!$E$10+1,1))</f>
        <v>340.81036749486179</v>
      </c>
      <c r="AO61" s="62">
        <f t="shared" si="36"/>
        <v>208.88199836488013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440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439.99999999999994</v>
      </c>
      <c r="BE61" s="14">
        <f>BD61*VLOOKUP('Données projet'!$B$11,Paramètres!$A$1:$I$89,3,0)*VLOOKUP('Données projet'!$B$11,Paramètres!$A$1:$I$89,5,0)</f>
        <v>263.12</v>
      </c>
      <c r="BF61" s="14">
        <f t="shared" si="37"/>
        <v>63.386973458752003</v>
      </c>
      <c r="BG61" s="22">
        <f t="shared" si="7"/>
        <v>568.66631210732646</v>
      </c>
      <c r="BH61" s="62">
        <f t="shared" si="8"/>
        <v>861.99964544065983</v>
      </c>
      <c r="BI61" s="62">
        <f ca="1">AVERAGE(OFFSET($BH$3,0,0,'Données projet'!$E$11+1,1))-AVERAGE(OFFSET($H$3,0,0,'Données projet'!$E$11+1,1))</f>
        <v>257.96727373333601</v>
      </c>
      <c r="BJ61" s="62">
        <f t="shared" si="38"/>
        <v>194.52809733694494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2.7811474982170425</v>
      </c>
      <c r="BR61" s="23">
        <f>EXP(-LN(2)/2)*BR60+(1-EXP(-LN(2)/2))/(LN(2)/2)*BL61*BO61*VLOOKUP('Données projet'!$B$11,Paramètres!$A$1:$I$89,3,0)*0.475*44/12</f>
        <v>8.6804788625152078E-4</v>
      </c>
      <c r="BS61" s="24">
        <f t="shared" si="9"/>
        <v>2.782015546103294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230.00015999999997</v>
      </c>
      <c r="CA61" s="14">
        <f t="shared" si="39"/>
        <v>56.282716126880423</v>
      </c>
      <c r="CB61" s="22">
        <f t="shared" si="10"/>
        <v>498.60934258765002</v>
      </c>
      <c r="CC61" s="62">
        <f t="shared" si="11"/>
        <v>791.94267592098333</v>
      </c>
      <c r="CD61" s="62">
        <f ca="1">AVERAGE(OFFSET($CC$3,0,0,'Données projet'!$E$12+1,1))-AVERAGE(OFFSET($H$3,0,0,'Données projet'!$E$12+1,1))</f>
        <v>292.83612296867898</v>
      </c>
      <c r="CE61" s="62">
        <f t="shared" si="40"/>
        <v>180.48047802041276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1.7266462782834625E-3</v>
      </c>
      <c r="CN61" s="24">
        <f t="shared" si="12"/>
        <v>1.7266462782834625E-3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5.6</v>
      </c>
      <c r="CT61" s="13">
        <f>IF('Données projet'!$A$140&gt;35,CT60+CS61-DB60,IF(A61&lt;'Données projet'!$A$140,$CQ$205^A61,IF(A61='Données projet'!$A$140,'Données projet'!$B$140,CT60+CS61-DB60)))</f>
        <v>137.79999999999993</v>
      </c>
      <c r="CU61" s="18">
        <f>CT61*VLOOKUP('Données projet'!$B$13,Paramètres!$A$1:$I$89,3,0)*VLOOKUP('Données projet'!$B$13,Paramètres!$A$1:$I$89,5,0)</f>
        <v>156.92663999999991</v>
      </c>
      <c r="CV61" s="14">
        <f t="shared" si="41"/>
        <v>40.148529925605082</v>
      </c>
      <c r="CW61" s="22">
        <f t="shared" si="13"/>
        <v>343.23925428709532</v>
      </c>
      <c r="CX61" s="62">
        <f t="shared" si="14"/>
        <v>636.57258762042864</v>
      </c>
      <c r="CY61" s="62">
        <f ca="1">AVERAGE(OFFSET($CX$3,0,0,'Données projet'!$E$13+1,1))-AVERAGE(OFFSET($H$3,0,0,'Données projet'!$E$13+1,1))</f>
        <v>192.93829651668403</v>
      </c>
      <c r="CZ61" s="62">
        <f t="shared" si="42"/>
        <v>76.592736352376903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5.6</v>
      </c>
      <c r="DO61" s="13">
        <f>IF('Données projet'!$A$166&gt;35,DO60+DN61-DW60,IF(A61&lt;'Données projet'!$A$166,$DL$205^A61,IF(A61='Données projet'!$A$166,'Données projet'!$B$166,DO60+DN61-DW60)))</f>
        <v>137.79999999999993</v>
      </c>
      <c r="DP61" s="18">
        <f>DO61*VLOOKUP('Données projet'!$B$14,Paramètres!$A$1:$I$89,3,0)*VLOOKUP('Données projet'!$B$14,Paramètres!$A$1:$I$89,5,0)</f>
        <v>92.436239999999955</v>
      </c>
      <c r="DQ61" s="14">
        <f t="shared" si="43"/>
        <v>25.15187094412299</v>
      </c>
      <c r="DR61" s="22">
        <f t="shared" si="16"/>
        <v>204.79929322768081</v>
      </c>
      <c r="DS61" s="62">
        <f t="shared" si="17"/>
        <v>498.13262656101415</v>
      </c>
      <c r="DT61" s="62">
        <f ca="1">AVERAGE(OFFSET($DS$3,0,0,'Données projet'!$E$14+1,1))-AVERAGE(OFFSET($H$3,0,0,'Données projet'!$E$14+1,1))</f>
        <v>66.964554307546564</v>
      </c>
      <c r="DU61" s="62">
        <f t="shared" si="44"/>
        <v>21.162700178818568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5.6</v>
      </c>
      <c r="EJ61" s="13">
        <f>IF('Données projet'!$A$192&gt;35,EJ60+EI61-ER60,IF(A61&lt;'Données projet'!$A$192,$EG$205^A61,IF(A61='Données projet'!$A$192,'Données projet'!$B$192,EJ60+EI61-ER60)))</f>
        <v>137.79999999999993</v>
      </c>
      <c r="EK61" s="18">
        <f>EJ61*VLOOKUP('Données projet'!$B$15,Paramètres!$A$1:$I$89,3,0)*VLOOKUP('Données projet'!$B$15,Paramètres!$A$1:$I$89,5,0)</f>
        <v>133.28015999999994</v>
      </c>
      <c r="EL61" s="14">
        <f t="shared" si="45"/>
        <v>34.753205264839991</v>
      </c>
      <c r="EM61" s="22">
        <f t="shared" si="19"/>
        <v>292.65811116959617</v>
      </c>
      <c r="EN61" s="62">
        <f t="shared" si="20"/>
        <v>585.99144450292943</v>
      </c>
      <c r="EO61" s="62">
        <f ca="1">AVERAGE(OFFSET($EN$3,0,0,'Données projet'!$E$15+1,1))-AVERAGE(OFFSET($H$3,0,0,'Données projet'!$E$15+1,1))</f>
        <v>146.90952320473599</v>
      </c>
      <c r="EP61" s="62">
        <f t="shared" si="46"/>
        <v>56.347130462109817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5.6</v>
      </c>
      <c r="FE61" s="13">
        <f>IF('Données projet'!$A$218&gt;35,FE60+FD61-FM60,IF(A61&lt;'Données projet'!$A$218,$FB$205^A61,IF(A61='Données projet'!$A$218,'Données projet'!$B$218,FE60+FD61-FM60)))</f>
        <v>137.79999999999993</v>
      </c>
      <c r="FF61" s="18">
        <f>FE61*VLOOKUP('Données projet'!$B$16,Paramètres!$A$1:$I$89,3,0)*VLOOKUP('Données projet'!$B$16,Paramètres!$A$1:$I$89,5,0)</f>
        <v>148.32791999999989</v>
      </c>
      <c r="FG61" s="14">
        <f t="shared" si="47"/>
        <v>38.198351889603472</v>
      </c>
      <c r="FH61" s="22">
        <f t="shared" si="22"/>
        <v>324.86659020772589</v>
      </c>
      <c r="FI61" s="62">
        <f t="shared" si="23"/>
        <v>618.19992354105921</v>
      </c>
      <c r="FJ61" s="62">
        <f ca="1">AVERAGE(OFFSET($FI$3,0,0,'Données projet'!$E$16+1,1))-AVERAGE(OFFSET($H$3,0,0,'Données projet'!$E$16+1,1))</f>
        <v>176.21892815766847</v>
      </c>
      <c r="FK61" s="62">
        <f t="shared" si="48"/>
        <v>69.239647548491234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</v>
      </c>
      <c r="FZ61" s="13">
        <f>IF('Données projet'!$A$244&gt;35,FZ60+FY61-GH60,IF(A61&lt;'Données projet'!$A$244,$FW$205^A61,IF(A61='Données projet'!$A$244,'Données projet'!$B$244,FZ60+FY61-GH60)))</f>
        <v>133.99999999999994</v>
      </c>
      <c r="GA61" s="18">
        <f>FZ61*VLOOKUP('Données projet'!$B$17,Paramètres!$A$1:$I$89,3,0)*VLOOKUP('Données projet'!$B$17,Paramètres!$A$1:$I$89,5,0)</f>
        <v>106.61039999999997</v>
      </c>
      <c r="GB61" s="14">
        <f t="shared" si="49"/>
        <v>28.530919434405426</v>
      </c>
      <c r="GC61" s="22">
        <f t="shared" si="25"/>
        <v>235.37113134825609</v>
      </c>
      <c r="GD61" s="62">
        <f t="shared" si="26"/>
        <v>528.70446468158934</v>
      </c>
      <c r="GE61" s="62">
        <f ca="1">AVERAGE(OFFSET($GD$3,0,0,'Données projet'!$E$17+1,1))-AVERAGE(OFFSET($H$3,0,0,'Données projet'!$E$17+1,1))</f>
        <v>70.834027458412379</v>
      </c>
      <c r="GF61" s="62">
        <f t="shared" si="50"/>
        <v>74.346987922112362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7.5912896717634918E-4</v>
      </c>
      <c r="GO61" s="23">
        <f t="shared" si="27"/>
        <v>7.5912896717634918E-4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6</v>
      </c>
      <c r="GU61" s="13">
        <f>IF('Données projet'!$A$270&gt;35,GU60+GT61-HC60,IF(A61&lt;'Données projet'!$A$270,$GR$205^A61,IF(A61='Données projet'!$A$270,'Données projet'!$B$270,GU60+GT61-HC60)))</f>
        <v>178</v>
      </c>
      <c r="GV61" s="18">
        <f>GU61*VLOOKUP('Données projet'!$B$18,Paramètres!$A$1:$I$89,3,0)*VLOOKUP('Données projet'!$B$18,Paramètres!$A$1:$I$89,5,0)</f>
        <v>138.84</v>
      </c>
      <c r="GW61" s="14">
        <f t="shared" si="51"/>
        <v>36.031137240112955</v>
      </c>
      <c r="GX61" s="22">
        <f t="shared" si="28"/>
        <v>304.56723069319668</v>
      </c>
      <c r="GY61" s="62">
        <f t="shared" si="29"/>
        <v>597.90056402652999</v>
      </c>
      <c r="GZ61" s="62">
        <f ca="1">AVERAGE(OFFSET($GY$3,0,0,'Données projet'!$E$18+1,1))-AVERAGE(OFFSET($H$3,0,0,'Données projet'!$E$18+1,1))</f>
        <v>99.222094917553648</v>
      </c>
      <c r="HA61" s="62">
        <f t="shared" si="52"/>
        <v>98.371477396766352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1.579461315878098E-4</v>
      </c>
      <c r="HJ61" s="24">
        <f t="shared" si="30"/>
        <v>1.579461315878098E-4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16.666666666666668</v>
      </c>
      <c r="N62" s="14">
        <f>IF('Données projet'!$A$36&gt;35,N61+M62-V61,IF(A62&lt;'Données projet'!$A$36,$K$205^A62,IF(A62='Données projet'!$A$36,'Données projet'!$B$36,N61+M62-V61)))</f>
        <v>349.33333333333326</v>
      </c>
      <c r="O62" s="14">
        <f>N62*VLOOKUP('Données projet'!$B$9,Paramètres!$A$1:$I$89,3,0)*VLOOKUP('Données projet'!$B$9,Paramètres!$A$1:$I$89,5,0)</f>
        <v>163.48799999999994</v>
      </c>
      <c r="P62" s="14">
        <f t="shared" si="33"/>
        <v>41.628253379180116</v>
      </c>
      <c r="Q62" s="22">
        <f t="shared" si="53"/>
        <v>357.24414130207191</v>
      </c>
      <c r="R62" s="62">
        <f t="shared" si="0"/>
        <v>650.57747463540522</v>
      </c>
      <c r="S62" s="62">
        <f ca="1">AVERAGE(OFFSET($R$3,0,0,'Données projet'!$E$9+1,1))-AVERAGE(OFFSET($H$3,0,0,'Données projet'!$E$9+1,1))</f>
        <v>181.48161394994878</v>
      </c>
      <c r="T62" s="62">
        <f t="shared" si="34"/>
        <v>141.1874974464024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870.80779925686852</v>
      </c>
      <c r="AN62" s="62">
        <f ca="1">AVERAGE(OFFSET($AM$3,0,0,'Données projet'!$E$10+1,1))-AVERAGE(OFFSET($H$3,0,0,'Données projet'!$E$10+1,1))</f>
        <v>340.81036749486179</v>
      </c>
      <c r="AO62" s="62">
        <f t="shared" si="36"/>
        <v>208.88199836488013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378.62499999999994</v>
      </c>
      <c r="BE62" s="14">
        <f>BD62*VLOOKUP('Données projet'!$B$11,Paramètres!$A$1:$I$89,3,0)*VLOOKUP('Données projet'!$B$11,Paramètres!$A$1:$I$89,5,0)</f>
        <v>226.41774999999998</v>
      </c>
      <c r="BF62" s="14">
        <f t="shared" si="37"/>
        <v>55.507409107649494</v>
      </c>
      <c r="BG62" s="22">
        <f t="shared" si="7"/>
        <v>491.0196521124895</v>
      </c>
      <c r="BH62" s="62">
        <f t="shared" si="8"/>
        <v>784.35298544582281</v>
      </c>
      <c r="BI62" s="62">
        <f ca="1">AVERAGE(OFFSET($BH$3,0,0,'Données projet'!$E$11+1,1))-AVERAGE(OFFSET($H$3,0,0,'Données projet'!$E$11+1,1))</f>
        <v>257.96727373333601</v>
      </c>
      <c r="BJ62" s="62">
        <f t="shared" si="38"/>
        <v>194.52809733694494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2.705096873624107</v>
      </c>
      <c r="BR62" s="23">
        <f>EXP(-LN(2)/2)*BR61+(1-EXP(-LN(2)/2))/(LN(2)/2)*BL62*BO62*VLOOKUP('Données projet'!$B$11,Paramètres!$A$1:$I$89,3,0)*0.475*44/12</f>
        <v>6.138025467630992E-4</v>
      </c>
      <c r="BS62" s="24">
        <f t="shared" si="9"/>
        <v>2.7057106761708702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238.50527999999997</v>
      </c>
      <c r="CA62" s="14">
        <f t="shared" si="39"/>
        <v>58.117817352909881</v>
      </c>
      <c r="CB62" s="22">
        <f t="shared" si="10"/>
        <v>516.61856122298457</v>
      </c>
      <c r="CC62" s="62">
        <f t="shared" si="11"/>
        <v>809.95189455631794</v>
      </c>
      <c r="CD62" s="62">
        <f ca="1">AVERAGE(OFFSET($CC$3,0,0,'Données projet'!$E$12+1,1))-AVERAGE(OFFSET($H$3,0,0,'Données projet'!$E$12+1,1))</f>
        <v>292.83612296867898</v>
      </c>
      <c r="CE62" s="62">
        <f t="shared" si="40"/>
        <v>180.48047802041276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1.220923292084751E-3</v>
      </c>
      <c r="CN62" s="24">
        <f t="shared" si="12"/>
        <v>1.220923292084751E-3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5.6</v>
      </c>
      <c r="CT62" s="13">
        <f>IF('Données projet'!$A$140&gt;35,CT61+CS62-DB61,IF(A62&lt;'Données projet'!$A$140,$CQ$205^A62,IF(A62='Données projet'!$A$140,'Données projet'!$B$140,CT61+CS62-DB61)))</f>
        <v>143.39999999999992</v>
      </c>
      <c r="CU62" s="18">
        <f>CT62*VLOOKUP('Données projet'!$B$13,Paramètres!$A$1:$I$89,3,0)*VLOOKUP('Données projet'!$B$13,Paramètres!$A$1:$I$89,5,0)</f>
        <v>163.30391999999992</v>
      </c>
      <c r="CV62" s="14">
        <f t="shared" si="41"/>
        <v>41.586835000760431</v>
      </c>
      <c r="CW62" s="22">
        <f t="shared" si="13"/>
        <v>356.85139829299095</v>
      </c>
      <c r="CX62" s="62">
        <f t="shared" si="14"/>
        <v>650.18473162632426</v>
      </c>
      <c r="CY62" s="62">
        <f ca="1">AVERAGE(OFFSET($CX$3,0,0,'Données projet'!$E$13+1,1))-AVERAGE(OFFSET($H$3,0,0,'Données projet'!$E$13+1,1))</f>
        <v>192.93829651668403</v>
      </c>
      <c r="CZ62" s="62">
        <f t="shared" si="42"/>
        <v>76.592736352376903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5.6</v>
      </c>
      <c r="DO62" s="13">
        <f>IF('Données projet'!$A$166&gt;35,DO61+DN62-DW61,IF(A62&lt;'Données projet'!$A$166,$DL$205^A62,IF(A62='Données projet'!$A$166,'Données projet'!$B$166,DO61+DN62-DW61)))</f>
        <v>143.39999999999992</v>
      </c>
      <c r="DP62" s="18">
        <f>DO62*VLOOKUP('Données projet'!$B$14,Paramètres!$A$1:$I$89,3,0)*VLOOKUP('Données projet'!$B$14,Paramètres!$A$1:$I$89,5,0)</f>
        <v>96.192719999999952</v>
      </c>
      <c r="DQ62" s="14">
        <f t="shared" si="43"/>
        <v>26.05292669126036</v>
      </c>
      <c r="DR62" s="22">
        <f t="shared" si="16"/>
        <v>212.91116798727833</v>
      </c>
      <c r="DS62" s="62">
        <f t="shared" si="17"/>
        <v>506.24450132061168</v>
      </c>
      <c r="DT62" s="62">
        <f ca="1">AVERAGE(OFFSET($DS$3,0,0,'Données projet'!$E$14+1,1))-AVERAGE(OFFSET($H$3,0,0,'Données projet'!$E$14+1,1))</f>
        <v>66.964554307546564</v>
      </c>
      <c r="DU62" s="62">
        <f t="shared" si="44"/>
        <v>21.162700178818568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5.6</v>
      </c>
      <c r="EJ62" s="13">
        <f>IF('Données projet'!$A$192&gt;35,EJ61+EI62-ER61,IF(A62&lt;'Données projet'!$A$192,$EG$205^A62,IF(A62='Données projet'!$A$192,'Données projet'!$B$192,EJ61+EI62-ER61)))</f>
        <v>143.39999999999992</v>
      </c>
      <c r="EK62" s="18">
        <f>EJ62*VLOOKUP('Données projet'!$B$15,Paramètres!$A$1:$I$89,3,0)*VLOOKUP('Données projet'!$B$15,Paramètres!$A$1:$I$89,5,0)</f>
        <v>138.69647999999992</v>
      </c>
      <c r="EL62" s="14">
        <f t="shared" si="45"/>
        <v>35.998224985436444</v>
      </c>
      <c r="EM62" s="22">
        <f t="shared" si="19"/>
        <v>304.25994451630169</v>
      </c>
      <c r="EN62" s="62">
        <f t="shared" si="20"/>
        <v>597.593277849635</v>
      </c>
      <c r="EO62" s="62">
        <f ca="1">AVERAGE(OFFSET($EN$3,0,0,'Données projet'!$E$15+1,1))-AVERAGE(OFFSET($H$3,0,0,'Données projet'!$E$15+1,1))</f>
        <v>146.90952320473599</v>
      </c>
      <c r="EP62" s="62">
        <f t="shared" si="46"/>
        <v>56.347130462109817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5.6</v>
      </c>
      <c r="FE62" s="13">
        <f>IF('Données projet'!$A$218&gt;35,FE61+FD62-FM61,IF(A62&lt;'Données projet'!$A$218,$FB$205^A62,IF(A62='Données projet'!$A$218,'Données projet'!$B$218,FE61+FD62-FM61)))</f>
        <v>143.39999999999992</v>
      </c>
      <c r="FF62" s="18">
        <f>FE62*VLOOKUP('Données projet'!$B$16,Paramètres!$A$1:$I$89,3,0)*VLOOKUP('Données projet'!$B$16,Paramètres!$A$1:$I$89,5,0)</f>
        <v>154.35575999999992</v>
      </c>
      <c r="FG62" s="14">
        <f t="shared" si="47"/>
        <v>39.566792614262361</v>
      </c>
      <c r="FH62" s="22">
        <f t="shared" si="22"/>
        <v>337.74844580317341</v>
      </c>
      <c r="FI62" s="62">
        <f t="shared" si="23"/>
        <v>631.08177913650673</v>
      </c>
      <c r="FJ62" s="62">
        <f ca="1">AVERAGE(OFFSET($FI$3,0,0,'Données projet'!$E$16+1,1))-AVERAGE(OFFSET($H$3,0,0,'Données projet'!$E$16+1,1))</f>
        <v>176.21892815766847</v>
      </c>
      <c r="FK62" s="62">
        <f t="shared" si="48"/>
        <v>69.239647548491234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</v>
      </c>
      <c r="FZ62" s="13">
        <f>IF('Données projet'!$A$244&gt;35,FZ61+FY62-GH61,IF(A62&lt;'Données projet'!$A$244,$FW$205^A62,IF(A62='Données projet'!$A$244,'Données projet'!$B$244,FZ61+FY62-GH61)))</f>
        <v>136.99999999999994</v>
      </c>
      <c r="GA62" s="18">
        <f>FZ62*VLOOKUP('Données projet'!$B$17,Paramètres!$A$1:$I$89,3,0)*VLOOKUP('Données projet'!$B$17,Paramètres!$A$1:$I$89,5,0)</f>
        <v>108.99719999999996</v>
      </c>
      <c r="GB62" s="14">
        <f t="shared" si="49"/>
        <v>29.094591286664123</v>
      </c>
      <c r="GC62" s="22">
        <f t="shared" si="25"/>
        <v>240.5098698242733</v>
      </c>
      <c r="GD62" s="62">
        <f t="shared" si="26"/>
        <v>533.84320315760658</v>
      </c>
      <c r="GE62" s="62">
        <f ca="1">AVERAGE(OFFSET($GD$3,0,0,'Données projet'!$E$17+1,1))-AVERAGE(OFFSET($H$3,0,0,'Données projet'!$E$17+1,1))</f>
        <v>70.834027458412379</v>
      </c>
      <c r="GF62" s="62">
        <f t="shared" si="50"/>
        <v>74.346987922112362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5.3678524048553656E-4</v>
      </c>
      <c r="GO62" s="23">
        <f t="shared" si="27"/>
        <v>5.3678524048553656E-4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6</v>
      </c>
      <c r="GU62" s="13">
        <f>IF('Données projet'!$A$270&gt;35,GU61+GT62-HC61,IF(A62&lt;'Données projet'!$A$270,$GR$205^A62,IF(A62='Données projet'!$A$270,'Données projet'!$B$270,GU61+GT62-HC61)))</f>
        <v>184</v>
      </c>
      <c r="GV62" s="18">
        <f>GU62*VLOOKUP('Données projet'!$B$18,Paramètres!$A$1:$I$89,3,0)*VLOOKUP('Données projet'!$B$18,Paramètres!$A$1:$I$89,5,0)</f>
        <v>143.52000000000001</v>
      </c>
      <c r="GW62" s="14">
        <f t="shared" si="51"/>
        <v>37.102218970378601</v>
      </c>
      <c r="GX62" s="22">
        <f t="shared" si="28"/>
        <v>314.58369804007606</v>
      </c>
      <c r="GY62" s="62">
        <f t="shared" si="29"/>
        <v>607.91703137340937</v>
      </c>
      <c r="GZ62" s="62">
        <f ca="1">AVERAGE(OFFSET($GY$3,0,0,'Données projet'!$E$18+1,1))-AVERAGE(OFFSET($H$3,0,0,'Données projet'!$E$18+1,1))</f>
        <v>99.222094917553648</v>
      </c>
      <c r="HA62" s="62">
        <f t="shared" si="52"/>
        <v>98.371477396766352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1.1168478070792307E-4</v>
      </c>
      <c r="HJ62" s="24">
        <f t="shared" si="30"/>
        <v>1.1168478070792307E-4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16.666666666666668</v>
      </c>
      <c r="N63" s="14">
        <f>IF('Données projet'!$A$36&gt;35,N62+M63-V62,IF(A63&lt;'Données projet'!$A$36,$K$205^A63,IF(A63='Données projet'!$A$36,'Données projet'!$B$36,N62+M63-V62)))</f>
        <v>365.99999999999994</v>
      </c>
      <c r="O63" s="14">
        <f>N63*VLOOKUP('Données projet'!$B$9,Paramètres!$A$1:$I$89,3,0)*VLOOKUP('Données projet'!$B$9,Paramètres!$A$1:$I$89,5,0)</f>
        <v>171.28799999999995</v>
      </c>
      <c r="P63" s="14">
        <f t="shared" si="33"/>
        <v>43.378365895721338</v>
      </c>
      <c r="Q63" s="22">
        <f t="shared" si="53"/>
        <v>373.87725393504792</v>
      </c>
      <c r="R63" s="62">
        <f t="shared" si="0"/>
        <v>667.21058726838123</v>
      </c>
      <c r="S63" s="62">
        <f ca="1">AVERAGE(OFFSET($R$3,0,0,'Données projet'!$E$9+1,1))-AVERAGE(OFFSET($H$3,0,0,'Données projet'!$E$9+1,1))</f>
        <v>181.48161394994878</v>
      </c>
      <c r="T63" s="62">
        <f t="shared" si="34"/>
        <v>141.1874974464024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890.92870637597116</v>
      </c>
      <c r="AN63" s="62">
        <f ca="1">AVERAGE(OFFSET($AM$3,0,0,'Données projet'!$E$10+1,1))-AVERAGE(OFFSET($H$3,0,0,'Données projet'!$E$10+1,1))</f>
        <v>340.81036749486179</v>
      </c>
      <c r="AO63" s="62">
        <f t="shared" si="36"/>
        <v>208.88199836488013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395.24999999999994</v>
      </c>
      <c r="BE63" s="14">
        <f>BD63*VLOOKUP('Données projet'!$B$11,Paramètres!$A$1:$I$89,3,0)*VLOOKUP('Données projet'!$B$11,Paramètres!$A$1:$I$89,5,0)</f>
        <v>236.35949999999997</v>
      </c>
      <c r="BF63" s="14">
        <f t="shared" si="37"/>
        <v>57.655563749416167</v>
      </c>
      <c r="BG63" s="22">
        <f t="shared" si="7"/>
        <v>512.07623603023308</v>
      </c>
      <c r="BH63" s="62">
        <f t="shared" si="8"/>
        <v>805.40956936356633</v>
      </c>
      <c r="BI63" s="62">
        <f ca="1">AVERAGE(OFFSET($BH$3,0,0,'Données projet'!$E$11+1,1))-AVERAGE(OFFSET($H$3,0,0,'Données projet'!$E$11+1,1))</f>
        <v>257.96727373333601</v>
      </c>
      <c r="BJ63" s="62">
        <f t="shared" si="38"/>
        <v>194.52809733694494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2.6311258573599936</v>
      </c>
      <c r="BR63" s="23">
        <f>EXP(-LN(2)/2)*BR62+(1-EXP(-LN(2)/2))/(LN(2)/2)*BL63*BO63*VLOOKUP('Données projet'!$B$11,Paramètres!$A$1:$I$89,3,0)*0.475*44/12</f>
        <v>4.3402394312576039E-4</v>
      </c>
      <c r="BS63" s="24">
        <f t="shared" si="9"/>
        <v>2.6315598813031196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247.01039999999992</v>
      </c>
      <c r="CA63" s="14">
        <f t="shared" si="39"/>
        <v>59.945315462121812</v>
      </c>
      <c r="CB63" s="22">
        <f t="shared" si="10"/>
        <v>534.61453776319524</v>
      </c>
      <c r="CC63" s="62">
        <f t="shared" si="11"/>
        <v>827.94787109652862</v>
      </c>
      <c r="CD63" s="62">
        <f ca="1">AVERAGE(OFFSET($CC$3,0,0,'Données projet'!$E$12+1,1))-AVERAGE(OFFSET($H$3,0,0,'Données projet'!$E$12+1,1))</f>
        <v>292.83612296867898</v>
      </c>
      <c r="CE63" s="62">
        <f t="shared" si="40"/>
        <v>180.48047802041276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8.6332313914173127E-4</v>
      </c>
      <c r="CN63" s="24">
        <f t="shared" si="12"/>
        <v>8.6332313914173127E-4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149</v>
      </c>
      <c r="CR63" s="13">
        <f>VLOOKUP(A63,'Données projet'!$A$139:$I$159,9,0)</f>
        <v>5.6</v>
      </c>
      <c r="CS63" s="13">
        <f t="array" ref="CS63">INDEX(CR:CR,MIN(IF(ISNUMBER(CR63:CR259),ROW(CR63:CR259),"")))</f>
        <v>5.6</v>
      </c>
      <c r="CT63" s="13">
        <f>IF('Données projet'!$A$140&gt;35,CT62+CS63-DB62,IF(A63&lt;'Données projet'!$A$140,$CQ$205^A63,IF(A63='Données projet'!$A$140,'Données projet'!$B$140,CT62+CS63-DB62)))</f>
        <v>148.99999999999991</v>
      </c>
      <c r="CU63" s="18">
        <f>CT63*VLOOKUP('Données projet'!$B$13,Paramètres!$A$1:$I$89,3,0)*VLOOKUP('Données projet'!$B$13,Paramètres!$A$1:$I$89,5,0)</f>
        <v>169.6811999999999</v>
      </c>
      <c r="CV63" s="14">
        <f t="shared" si="41"/>
        <v>43.018615192144587</v>
      </c>
      <c r="CW63" s="22">
        <f t="shared" si="13"/>
        <v>370.4521781263183</v>
      </c>
      <c r="CX63" s="62">
        <f t="shared" si="14"/>
        <v>663.78551145965162</v>
      </c>
      <c r="CY63" s="62">
        <f ca="1">AVERAGE(OFFSET($CX$3,0,0,'Données projet'!$E$13+1,1))-AVERAGE(OFFSET($H$3,0,0,'Données projet'!$E$13+1,1))</f>
        <v>192.93829651668403</v>
      </c>
      <c r="CZ63" s="62">
        <f t="shared" si="42"/>
        <v>76.592736352376903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149</v>
      </c>
      <c r="DM63" s="13">
        <f>VLOOKUP(A63,'Données projet'!$A$165:$I$185,9,0)</f>
        <v>5.6</v>
      </c>
      <c r="DN63" s="13">
        <f t="array" ref="DN63">INDEX(DM:DM,MIN(IF(ISNUMBER(DM63:DM259),ROW(DM63:DM259),"")))</f>
        <v>5.6</v>
      </c>
      <c r="DO63" s="13">
        <f>IF('Données projet'!$A$166&gt;35,DO62+DN63-DW62,IF(A63&lt;'Données projet'!$A$166,$DL$205^A63,IF(A63='Données projet'!$A$166,'Données projet'!$B$166,DO62+DN63-DW62)))</f>
        <v>148.99999999999991</v>
      </c>
      <c r="DP63" s="18">
        <f>DO63*VLOOKUP('Données projet'!$B$14,Paramètres!$A$1:$I$89,3,0)*VLOOKUP('Données projet'!$B$14,Paramètres!$A$1:$I$89,5,0)</f>
        <v>99.949199999999948</v>
      </c>
      <c r="DQ63" s="14">
        <f t="shared" si="43"/>
        <v>26.949894790983482</v>
      </c>
      <c r="DR63" s="22">
        <f t="shared" si="16"/>
        <v>221.01592342762945</v>
      </c>
      <c r="DS63" s="62">
        <f t="shared" si="17"/>
        <v>514.34925676096282</v>
      </c>
      <c r="DT63" s="62">
        <f ca="1">AVERAGE(OFFSET($DS$3,0,0,'Données projet'!$E$14+1,1))-AVERAGE(OFFSET($H$3,0,0,'Données projet'!$E$14+1,1))</f>
        <v>66.964554307546564</v>
      </c>
      <c r="DU63" s="62">
        <f t="shared" si="44"/>
        <v>21.162700178818568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14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149</v>
      </c>
      <c r="EH63" s="13">
        <f>VLOOKUP(A63,'Données projet'!$A$191:$I$211,9,0)</f>
        <v>5.6</v>
      </c>
      <c r="EI63" s="13">
        <f t="array" ref="EI63">INDEX(EH:EH,MIN(IF(ISNUMBER(EH63:EH259),ROW(EH63:EH259),"")))</f>
        <v>5.6</v>
      </c>
      <c r="EJ63" s="13">
        <f>IF('Données projet'!$A$192&gt;35,EJ62+EI63-ER62,IF(A63&lt;'Données projet'!$A$192,$EG$205^A63,IF(A63='Données projet'!$A$192,'Données projet'!$B$192,EJ62+EI63-ER62)))</f>
        <v>148.99999999999991</v>
      </c>
      <c r="EK63" s="18">
        <f>EJ63*VLOOKUP('Données projet'!$B$15,Paramètres!$A$1:$I$89,3,0)*VLOOKUP('Données projet'!$B$15,Paramètres!$A$1:$I$89,5,0)</f>
        <v>144.11279999999994</v>
      </c>
      <c r="EL63" s="14">
        <f t="shared" si="45"/>
        <v>37.237596662992466</v>
      </c>
      <c r="EM63" s="22">
        <f t="shared" si="19"/>
        <v>315.85194085471181</v>
      </c>
      <c r="EN63" s="62">
        <f t="shared" si="20"/>
        <v>609.18527418804513</v>
      </c>
      <c r="EO63" s="62">
        <f ca="1">AVERAGE(OFFSET($EN$3,0,0,'Données projet'!$E$15+1,1))-AVERAGE(OFFSET($H$3,0,0,'Données projet'!$E$15+1,1))</f>
        <v>146.90952320473599</v>
      </c>
      <c r="EP63" s="62">
        <f t="shared" si="46"/>
        <v>56.347130462109817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14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149</v>
      </c>
      <c r="FC63" s="13">
        <f>VLOOKUP(A63,'Données projet'!$A$217:$I$237,9,0)</f>
        <v>5.6</v>
      </c>
      <c r="FD63" s="13">
        <f t="array" ref="FD63">INDEX(FC:FC,MIN(IF(ISNUMBER(FC63:FC259),ROW(FC63:FC259),"")))</f>
        <v>5.6</v>
      </c>
      <c r="FE63" s="13">
        <f>IF('Données projet'!$A$218&gt;35,FE62+FD63-FM62,IF(A63&lt;'Données projet'!$A$218,$FB$205^A63,IF(A63='Données projet'!$A$218,'Données projet'!$B$218,FE62+FD63-FM62)))</f>
        <v>148.99999999999991</v>
      </c>
      <c r="FF63" s="18">
        <f>FE63*VLOOKUP('Données projet'!$B$16,Paramètres!$A$1:$I$89,3,0)*VLOOKUP('Données projet'!$B$16,Paramètres!$A$1:$I$89,5,0)</f>
        <v>160.38359999999989</v>
      </c>
      <c r="FG63" s="14">
        <f t="shared" si="47"/>
        <v>40.929025395397851</v>
      </c>
      <c r="FH63" s="22">
        <f t="shared" si="22"/>
        <v>350.61948923031764</v>
      </c>
      <c r="FI63" s="62">
        <f t="shared" si="23"/>
        <v>643.9528225636509</v>
      </c>
      <c r="FJ63" s="62">
        <f ca="1">AVERAGE(OFFSET($FI$3,0,0,'Données projet'!$E$16+1,1))-AVERAGE(OFFSET($H$3,0,0,'Données projet'!$E$16+1,1))</f>
        <v>176.21892815766847</v>
      </c>
      <c r="FK63" s="62">
        <f t="shared" si="48"/>
        <v>69.239647548491234</v>
      </c>
      <c r="FL63" s="16">
        <f>IF(ISNA(VLOOKUP(A63,'Données projet'!$A$217:$I$237,3,0)),0,VLOOKUP(A63,'Données projet'!$A$217:$I$237,3,0))</f>
        <v>8</v>
      </c>
      <c r="FM63" s="16">
        <f>IF(ISNA(VLOOKUP(A63,'Données projet'!$A$217:$I$237,4,0)),0,VLOOKUP(A63,'Données projet'!$A$217:$I$237,4,0))</f>
        <v>14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140</v>
      </c>
      <c r="FX63" s="13">
        <f>VLOOKUP(A63,'Données projet'!$A$243:$I$263,9,0)</f>
        <v>3</v>
      </c>
      <c r="FY63" s="13">
        <f t="array" ref="FY63">INDEX(FX:FX,MIN(IF(ISNUMBER(FX63:FX259),ROW(FX63:FX259),"")))</f>
        <v>3</v>
      </c>
      <c r="FZ63" s="13">
        <f>IF('Données projet'!$A$244&gt;35,FZ62+FY63-GH62,IF(A63&lt;'Données projet'!$A$244,$FW$205^A63,IF(A63='Données projet'!$A$244,'Données projet'!$B$244,FZ62+FY63-GH62)))</f>
        <v>139.99999999999994</v>
      </c>
      <c r="GA63" s="18">
        <f>FZ63*VLOOKUP('Données projet'!$B$17,Paramètres!$A$1:$I$89,3,0)*VLOOKUP('Données projet'!$B$17,Paramètres!$A$1:$I$89,5,0)</f>
        <v>111.38399999999997</v>
      </c>
      <c r="GB63" s="14">
        <f t="shared" si="49"/>
        <v>29.656828101147433</v>
      </c>
      <c r="GC63" s="22">
        <f t="shared" si="25"/>
        <v>245.64610894283177</v>
      </c>
      <c r="GD63" s="62">
        <f t="shared" si="26"/>
        <v>538.97944227616506</v>
      </c>
      <c r="GE63" s="62">
        <f ca="1">AVERAGE(OFFSET($GD$3,0,0,'Données projet'!$E$17+1,1))-AVERAGE(OFFSET($H$3,0,0,'Données projet'!$E$17+1,1))</f>
        <v>70.834027458412379</v>
      </c>
      <c r="GF63" s="62">
        <f t="shared" si="50"/>
        <v>74.346987922112362</v>
      </c>
      <c r="GG63" s="16">
        <f>IF(ISNA(VLOOKUP(A63,'Données projet'!$A$243:$I$263,3,0)),0,VLOOKUP(A63,'Données projet'!$A$243:$I$263,3,0))</f>
        <v>9</v>
      </c>
      <c r="GH63" s="16">
        <f>IF(ISNA(VLOOKUP(A63,'Données projet'!$A$243:$I$263,4,0)),0,VLOOKUP(A63,'Données projet'!$A$243:$I$263,4,0))</f>
        <v>7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3.7956448358817459E-4</v>
      </c>
      <c r="GO63" s="23">
        <f t="shared" si="27"/>
        <v>3.7956448358817459E-4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190</v>
      </c>
      <c r="GS63" s="13">
        <f>VLOOKUP(A63,'Données projet'!$A$269:$I$289,9,0)</f>
        <v>6</v>
      </c>
      <c r="GT63" s="13">
        <f t="array" ref="GT63">INDEX(GS:GS,MIN(IF(ISNUMBER(GS63:GS259),ROW(GS63:GS259),"")))</f>
        <v>6</v>
      </c>
      <c r="GU63" s="13">
        <f>IF('Données projet'!$A$270&gt;35,GU62+GT63-HC62,IF(A63&lt;'Données projet'!$A$270,$GR$205^A63,IF(A63='Données projet'!$A$270,'Données projet'!$B$270,GU62+GT63-HC62)))</f>
        <v>190</v>
      </c>
      <c r="GV63" s="18">
        <f>GU63*VLOOKUP('Données projet'!$B$18,Paramètres!$A$1:$I$89,3,0)*VLOOKUP('Données projet'!$B$18,Paramètres!$A$1:$I$89,5,0)</f>
        <v>148.20000000000002</v>
      </c>
      <c r="GW63" s="14">
        <f t="shared" si="51"/>
        <v>38.169242192851463</v>
      </c>
      <c r="GX63" s="22">
        <f t="shared" si="28"/>
        <v>324.59309681921633</v>
      </c>
      <c r="GY63" s="62">
        <f t="shared" si="29"/>
        <v>617.92643015254964</v>
      </c>
      <c r="GZ63" s="62">
        <f ca="1">AVERAGE(OFFSET($GY$3,0,0,'Données projet'!$E$18+1,1))-AVERAGE(OFFSET($H$3,0,0,'Données projet'!$E$18+1,1))</f>
        <v>99.222094917553648</v>
      </c>
      <c r="HA63" s="62">
        <f t="shared" si="52"/>
        <v>98.371477396766352</v>
      </c>
      <c r="HB63" s="16">
        <f>IF(ISNA(VLOOKUP(A63,'Données projet'!$A$269:$I$289,3,0)),0,VLOOKUP(A63,'Données projet'!$A$269:$I$289,3,0))</f>
        <v>8</v>
      </c>
      <c r="HC63" s="16">
        <f>IF(ISNA(VLOOKUP(A63,'Données projet'!$A$269:$I$289,4,0)),0,VLOOKUP(A63,'Données projet'!$A$269:$I$289,4,0))</f>
        <v>30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7.8973065793904902E-5</v>
      </c>
      <c r="HJ63" s="24">
        <f t="shared" si="30"/>
        <v>7.8973065793904902E-5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16.666666666666668</v>
      </c>
      <c r="N64" s="14">
        <f>IF('Données projet'!$A$36&gt;35,N63+M64-V63,IF(A64&lt;'Données projet'!$A$36,$K$205^A64,IF(A64='Données projet'!$A$36,'Données projet'!$B$36,N63+M64-V63)))</f>
        <v>382.66666666666663</v>
      </c>
      <c r="O64" s="14">
        <f>N64*VLOOKUP('Données projet'!$B$9,Paramètres!$A$1:$I$89,3,0)*VLOOKUP('Données projet'!$B$9,Paramètres!$A$1:$I$89,5,0)</f>
        <v>179.08799999999999</v>
      </c>
      <c r="P64" s="14">
        <f t="shared" si="33"/>
        <v>45.119223023956835</v>
      </c>
      <c r="Q64" s="22">
        <f t="shared" si="53"/>
        <v>390.49424676672476</v>
      </c>
      <c r="R64" s="62">
        <f t="shared" si="0"/>
        <v>683.82758010005807</v>
      </c>
      <c r="S64" s="62">
        <f ca="1">AVERAGE(OFFSET($R$3,0,0,'Données projet'!$E$9+1,1))-AVERAGE(OFFSET($H$3,0,0,'Données projet'!$E$9+1,1))</f>
        <v>181.48161394994878</v>
      </c>
      <c r="T64" s="62">
        <f t="shared" si="34"/>
        <v>141.1874974464024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257.35319999999996</v>
      </c>
      <c r="AK64" s="14">
        <f t="shared" si="35"/>
        <v>62.157851613080908</v>
      </c>
      <c r="AL64" s="22">
        <f t="shared" si="4"/>
        <v>556.48174822611588</v>
      </c>
      <c r="AM64" s="62">
        <f t="shared" si="5"/>
        <v>849.81508155944925</v>
      </c>
      <c r="AN64" s="62">
        <f ca="1">AVERAGE(OFFSET($AM$3,0,0,'Données projet'!$E$10+1,1))-AVERAGE(OFFSET($H$3,0,0,'Données projet'!$E$10+1,1))</f>
        <v>340.81036749486179</v>
      </c>
      <c r="AO64" s="62">
        <f t="shared" si="36"/>
        <v>208.88199836488013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411.87499999999994</v>
      </c>
      <c r="BE64" s="14">
        <f>BD64*VLOOKUP('Données projet'!$B$11,Paramètres!$A$1:$I$89,3,0)*VLOOKUP('Données projet'!$B$11,Paramètres!$A$1:$I$89,5,0)</f>
        <v>246.30124999999998</v>
      </c>
      <c r="BF64" s="14">
        <f t="shared" si="37"/>
        <v>59.793223430016852</v>
      </c>
      <c r="BG64" s="22">
        <f t="shared" si="7"/>
        <v>533.11454122394582</v>
      </c>
      <c r="BH64" s="62">
        <f t="shared" si="8"/>
        <v>826.44787455727919</v>
      </c>
      <c r="BI64" s="62">
        <f ca="1">AVERAGE(OFFSET($BH$3,0,0,'Données projet'!$E$11+1,1))-AVERAGE(OFFSET($H$3,0,0,'Données projet'!$E$11+1,1))</f>
        <v>257.96727373333601</v>
      </c>
      <c r="BJ64" s="62">
        <f t="shared" si="38"/>
        <v>194.52809733694494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2.5591775824255891</v>
      </c>
      <c r="BR64" s="23">
        <f>EXP(-LN(2)/2)*BR63+(1-EXP(-LN(2)/2))/(LN(2)/2)*BL64*BO64*VLOOKUP('Données projet'!$B$11,Paramètres!$A$1:$I$89,3,0)*0.475*44/12</f>
        <v>3.069012733815496E-4</v>
      </c>
      <c r="BS64" s="24">
        <f t="shared" si="9"/>
        <v>2.5594844836989705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229.63823999999994</v>
      </c>
      <c r="CA64" s="14">
        <f t="shared" si="39"/>
        <v>56.204453396569633</v>
      </c>
      <c r="CB64" s="22">
        <f t="shared" si="10"/>
        <v>497.84269099902531</v>
      </c>
      <c r="CC64" s="62">
        <f t="shared" si="11"/>
        <v>791.17602433235857</v>
      </c>
      <c r="CD64" s="62">
        <f ca="1">AVERAGE(OFFSET($CC$3,0,0,'Données projet'!$E$12+1,1))-AVERAGE(OFFSET($H$3,0,0,'Données projet'!$E$12+1,1))</f>
        <v>292.83612296867898</v>
      </c>
      <c r="CE64" s="62">
        <f t="shared" si="40"/>
        <v>180.48047802041276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6.1046164604237549E-4</v>
      </c>
      <c r="CN64" s="24">
        <f t="shared" si="12"/>
        <v>6.1046164604237549E-4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140.1999999999999</v>
      </c>
      <c r="CU64" s="18">
        <f>CT64*VLOOKUP('Données projet'!$B$13,Paramètres!$A$1:$I$89,3,0)*VLOOKUP('Données projet'!$B$13,Paramètres!$A$1:$I$89,5,0)</f>
        <v>159.65975999999989</v>
      </c>
      <c r="CV64" s="14">
        <f t="shared" si="41"/>
        <v>40.765763819671534</v>
      </c>
      <c r="CW64" s="22">
        <f t="shared" si="13"/>
        <v>349.07445398592768</v>
      </c>
      <c r="CX64" s="62">
        <f t="shared" si="14"/>
        <v>642.40778731926093</v>
      </c>
      <c r="CY64" s="62">
        <f ca="1">AVERAGE(OFFSET($CX$3,0,0,'Données projet'!$E$13+1,1))-AVERAGE(OFFSET($H$3,0,0,'Données projet'!$E$13+1,1))</f>
        <v>192.93829651668403</v>
      </c>
      <c r="CZ64" s="62">
        <f t="shared" si="42"/>
        <v>76.592736352376903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140.1999999999999</v>
      </c>
      <c r="DP64" s="18">
        <f>DO64*VLOOKUP('Données projet'!$B$14,Paramètres!$A$1:$I$89,3,0)*VLOOKUP('Données projet'!$B$14,Paramètres!$A$1:$I$89,5,0)</f>
        <v>94.046159999999944</v>
      </c>
      <c r="DQ64" s="14">
        <f t="shared" si="43"/>
        <v>25.538549790762293</v>
      </c>
      <c r="DR64" s="22">
        <f t="shared" si="16"/>
        <v>208.27670288557758</v>
      </c>
      <c r="DS64" s="62">
        <f t="shared" si="17"/>
        <v>501.61003621891086</v>
      </c>
      <c r="DT64" s="62">
        <f ca="1">AVERAGE(OFFSET($DS$3,0,0,'Données projet'!$E$14+1,1))-AVERAGE(OFFSET($H$3,0,0,'Données projet'!$E$14+1,1))</f>
        <v>66.964554307546564</v>
      </c>
      <c r="DU64" s="62">
        <f t="shared" si="44"/>
        <v>21.162700178818568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</v>
      </c>
      <c r="EJ64" s="13">
        <f>IF('Données projet'!$A$192&gt;35,EJ63+EI64-ER63,IF(A64&lt;'Données projet'!$A$192,$EG$205^A64,IF(A64='Données projet'!$A$192,'Données projet'!$B$192,EJ63+EI64-ER63)))</f>
        <v>140.1999999999999</v>
      </c>
      <c r="EK64" s="18">
        <f>EJ64*VLOOKUP('Données projet'!$B$15,Paramètres!$A$1:$I$89,3,0)*VLOOKUP('Données projet'!$B$15,Paramètres!$A$1:$I$89,5,0)</f>
        <v>135.60143999999991</v>
      </c>
      <c r="EL64" s="14">
        <f t="shared" si="45"/>
        <v>35.287492728332552</v>
      </c>
      <c r="EM64" s="22">
        <f t="shared" si="19"/>
        <v>297.63155783517902</v>
      </c>
      <c r="EN64" s="62">
        <f t="shared" si="20"/>
        <v>590.96489116851239</v>
      </c>
      <c r="EO64" s="62">
        <f ca="1">AVERAGE(OFFSET($EN$3,0,0,'Données projet'!$E$15+1,1))-AVERAGE(OFFSET($H$3,0,0,'Données projet'!$E$15+1,1))</f>
        <v>146.90952320473599</v>
      </c>
      <c r="EP64" s="62">
        <f t="shared" si="46"/>
        <v>56.347130462109817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5.2</v>
      </c>
      <c r="FE64" s="13">
        <f>IF('Données projet'!$A$218&gt;35,FE63+FD64-FM63,IF(A64&lt;'Données projet'!$A$218,$FB$205^A64,IF(A64='Données projet'!$A$218,'Données projet'!$B$218,FE63+FD64-FM63)))</f>
        <v>140.1999999999999</v>
      </c>
      <c r="FF64" s="18">
        <f>FE64*VLOOKUP('Données projet'!$B$16,Paramètres!$A$1:$I$89,3,0)*VLOOKUP('Données projet'!$B$16,Paramètres!$A$1:$I$89,5,0)</f>
        <v>150.91127999999989</v>
      </c>
      <c r="FG64" s="14">
        <f t="shared" si="47"/>
        <v>38.785604213098914</v>
      </c>
      <c r="FH64" s="22">
        <f t="shared" si="22"/>
        <v>330.38874000448038</v>
      </c>
      <c r="FI64" s="62">
        <f t="shared" si="23"/>
        <v>623.72207333781375</v>
      </c>
      <c r="FJ64" s="62">
        <f ca="1">AVERAGE(OFFSET($FI$3,0,0,'Données projet'!$E$16+1,1))-AVERAGE(OFFSET($H$3,0,0,'Données projet'!$E$16+1,1))</f>
        <v>176.21892815766847</v>
      </c>
      <c r="FK64" s="62">
        <f t="shared" si="48"/>
        <v>69.239647548491234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2.6</v>
      </c>
      <c r="FZ64" s="13">
        <f>IF('Données projet'!$A$244&gt;35,FZ63+FY64-GH63,IF(A64&lt;'Données projet'!$A$244,$FW$205^A64,IF(A64='Données projet'!$A$244,'Données projet'!$B$244,FZ63+FY64-GH63)))</f>
        <v>135.59999999999994</v>
      </c>
      <c r="GA64" s="18">
        <f>FZ64*VLOOKUP('Données projet'!$B$17,Paramètres!$A$1:$I$89,3,0)*VLOOKUP('Données projet'!$B$17,Paramètres!$A$1:$I$89,5,0)</f>
        <v>107.88335999999994</v>
      </c>
      <c r="GB64" s="14">
        <f t="shared" si="49"/>
        <v>28.831725150876139</v>
      </c>
      <c r="GC64" s="22">
        <f t="shared" si="25"/>
        <v>238.11210663777581</v>
      </c>
      <c r="GD64" s="62">
        <f t="shared" si="26"/>
        <v>531.44543997110918</v>
      </c>
      <c r="GE64" s="62">
        <f ca="1">AVERAGE(OFFSET($GD$3,0,0,'Données projet'!$E$17+1,1))-AVERAGE(OFFSET($H$3,0,0,'Données projet'!$E$17+1,1))</f>
        <v>70.834027458412379</v>
      </c>
      <c r="GF64" s="62">
        <f t="shared" si="50"/>
        <v>74.346987922112362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2.6839262024276828E-4</v>
      </c>
      <c r="GO64" s="23">
        <f t="shared" si="27"/>
        <v>2.6839262024276828E-4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5.5555555555555554</v>
      </c>
      <c r="GU64" s="13">
        <f>IF('Données projet'!$A$270&gt;35,GU63+GT64-HC63,IF(A64&lt;'Données projet'!$A$270,$GR$205^A64,IF(A64='Données projet'!$A$270,'Données projet'!$B$270,GU63+GT64-HC63)))</f>
        <v>165.55555555555554</v>
      </c>
      <c r="GV64" s="18">
        <f>GU64*VLOOKUP('Données projet'!$B$18,Paramètres!$A$1:$I$89,3,0)*VLOOKUP('Données projet'!$B$18,Paramètres!$A$1:$I$89,5,0)</f>
        <v>129.13333333333333</v>
      </c>
      <c r="GW64" s="14">
        <f t="shared" si="51"/>
        <v>33.796020216837825</v>
      </c>
      <c r="GX64" s="22">
        <f t="shared" si="28"/>
        <v>283.76862409988144</v>
      </c>
      <c r="GY64" s="62">
        <f t="shared" si="29"/>
        <v>577.10195743321469</v>
      </c>
      <c r="GZ64" s="62">
        <f ca="1">AVERAGE(OFFSET($GY$3,0,0,'Données projet'!$E$18+1,1))-AVERAGE(OFFSET($H$3,0,0,'Données projet'!$E$18+1,1))</f>
        <v>99.222094917553648</v>
      </c>
      <c r="HA64" s="62">
        <f t="shared" si="52"/>
        <v>98.371477396766352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5.5842390353961535E-5</v>
      </c>
      <c r="HJ64" s="24">
        <f t="shared" si="30"/>
        <v>5.5842390353961535E-5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16.666666666666668</v>
      </c>
      <c r="N65" s="14">
        <f>IF('Données projet'!$A$36&gt;35,N64+M65-V64,IF(A65&lt;'Données projet'!$A$36,$K$205^A65,IF(A65='Données projet'!$A$36,'Données projet'!$B$36,N64+M65-V64)))</f>
        <v>399.33333333333331</v>
      </c>
      <c r="O65" s="14">
        <f>N65*VLOOKUP('Données projet'!$B$9,Paramètres!$A$1:$I$89,3,0)*VLOOKUP('Données projet'!$B$9,Paramètres!$A$1:$I$89,5,0)</f>
        <v>186.88800000000001</v>
      </c>
      <c r="P65" s="14">
        <f t="shared" si="33"/>
        <v>46.851273946133198</v>
      </c>
      <c r="Q65" s="22">
        <f t="shared" si="53"/>
        <v>407.09590212284866</v>
      </c>
      <c r="R65" s="62">
        <f t="shared" si="0"/>
        <v>700.42923545618191</v>
      </c>
      <c r="S65" s="62">
        <f ca="1">AVERAGE(OFFSET($R$3,0,0,'Données projet'!$E$9+1,1))-AVERAGE(OFFSET($H$3,0,0,'Données projet'!$E$9+1,1))</f>
        <v>181.48161394994878</v>
      </c>
      <c r="T65" s="62">
        <f t="shared" si="34"/>
        <v>141.1874974464024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266.27640000000002</v>
      </c>
      <c r="AK65" s="14">
        <f t="shared" si="35"/>
        <v>64.058389829439747</v>
      </c>
      <c r="AL65" s="22">
        <f t="shared" si="4"/>
        <v>575.33309228627434</v>
      </c>
      <c r="AM65" s="62">
        <f t="shared" si="5"/>
        <v>868.66642561960771</v>
      </c>
      <c r="AN65" s="62">
        <f ca="1">AVERAGE(OFFSET($AM$3,0,0,'Données projet'!$E$10+1,1))-AVERAGE(OFFSET($H$3,0,0,'Données projet'!$E$10+1,1))</f>
        <v>340.81036749486179</v>
      </c>
      <c r="AO65" s="62">
        <f t="shared" si="36"/>
        <v>208.88199836488013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428.49999999999994</v>
      </c>
      <c r="BE65" s="14">
        <f>BD65*VLOOKUP('Données projet'!$B$11,Paramètres!$A$1:$I$89,3,0)*VLOOKUP('Données projet'!$B$11,Paramètres!$A$1:$I$89,5,0)</f>
        <v>256.24299999999999</v>
      </c>
      <c r="BF65" s="14">
        <f t="shared" si="37"/>
        <v>61.920860231490025</v>
      </c>
      <c r="BG65" s="22">
        <f t="shared" si="7"/>
        <v>554.13538990317852</v>
      </c>
      <c r="BH65" s="62">
        <f t="shared" si="8"/>
        <v>847.46872323651178</v>
      </c>
      <c r="BI65" s="62">
        <f ca="1">AVERAGE(OFFSET($BH$3,0,0,'Données projet'!$E$11+1,1))-AVERAGE(OFFSET($H$3,0,0,'Données projet'!$E$11+1,1))</f>
        <v>257.96727373333601</v>
      </c>
      <c r="BJ65" s="62">
        <f t="shared" si="38"/>
        <v>194.52809733694494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2.4891967368528616</v>
      </c>
      <c r="BR65" s="23">
        <f>EXP(-LN(2)/2)*BR64+(1-EXP(-LN(2)/2))/(LN(2)/2)*BL65*BO65*VLOOKUP('Données projet'!$B$11,Paramètres!$A$1:$I$89,3,0)*0.475*44/12</f>
        <v>2.170119715628802E-4</v>
      </c>
      <c r="BS65" s="24">
        <f t="shared" si="9"/>
        <v>2.4894137488244246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237.60047999999995</v>
      </c>
      <c r="CA65" s="14">
        <f t="shared" si="39"/>
        <v>57.922960533442058</v>
      </c>
      <c r="CB65" s="22">
        <f t="shared" si="10"/>
        <v>514.70332559574479</v>
      </c>
      <c r="CC65" s="62">
        <f t="shared" si="11"/>
        <v>808.03665892907816</v>
      </c>
      <c r="CD65" s="62">
        <f ca="1">AVERAGE(OFFSET($CC$3,0,0,'Données projet'!$E$12+1,1))-AVERAGE(OFFSET($H$3,0,0,'Données projet'!$E$12+1,1))</f>
        <v>292.83612296867898</v>
      </c>
      <c r="CE65" s="62">
        <f t="shared" si="40"/>
        <v>180.48047802041276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4.3166156957086564E-4</v>
      </c>
      <c r="CN65" s="24">
        <f t="shared" si="12"/>
        <v>4.3166156957086564E-4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145.39999999999989</v>
      </c>
      <c r="CU65" s="18">
        <f>CT65*VLOOKUP('Données projet'!$B$13,Paramètres!$A$1:$I$89,3,0)*VLOOKUP('Données projet'!$B$13,Paramètres!$A$1:$I$89,5,0)</f>
        <v>165.5815199999999</v>
      </c>
      <c r="CV65" s="14">
        <f t="shared" si="41"/>
        <v>42.098919431473661</v>
      </c>
      <c r="CW65" s="22">
        <f t="shared" si="13"/>
        <v>361.71009867648309</v>
      </c>
      <c r="CX65" s="62">
        <f t="shared" si="14"/>
        <v>655.04343200981634</v>
      </c>
      <c r="CY65" s="62">
        <f ca="1">AVERAGE(OFFSET($CX$3,0,0,'Données projet'!$E$13+1,1))-AVERAGE(OFFSET($H$3,0,0,'Données projet'!$E$13+1,1))</f>
        <v>192.93829651668403</v>
      </c>
      <c r="CZ65" s="62">
        <f t="shared" si="42"/>
        <v>76.592736352376903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145.39999999999989</v>
      </c>
      <c r="DP65" s="18">
        <f>DO65*VLOOKUP('Données projet'!$B$14,Paramètres!$A$1:$I$89,3,0)*VLOOKUP('Données projet'!$B$14,Paramètres!$A$1:$I$89,5,0)</f>
        <v>97.534319999999937</v>
      </c>
      <c r="DQ65" s="14">
        <f t="shared" si="43"/>
        <v>26.373732497541688</v>
      </c>
      <c r="DR65" s="22">
        <f t="shared" si="16"/>
        <v>215.80652476655166</v>
      </c>
      <c r="DS65" s="62">
        <f t="shared" si="17"/>
        <v>509.13985809988498</v>
      </c>
      <c r="DT65" s="62">
        <f ca="1">AVERAGE(OFFSET($DS$3,0,0,'Données projet'!$E$14+1,1))-AVERAGE(OFFSET($H$3,0,0,'Données projet'!$E$14+1,1))</f>
        <v>66.964554307546564</v>
      </c>
      <c r="DU65" s="62">
        <f t="shared" si="44"/>
        <v>21.162700178818568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</v>
      </c>
      <c r="EJ65" s="13">
        <f>IF('Données projet'!$A$192&gt;35,EJ64+EI65-ER64,IF(A65&lt;'Données projet'!$A$192,$EG$205^A65,IF(A65='Données projet'!$A$192,'Données projet'!$B$192,EJ64+EI65-ER64)))</f>
        <v>145.39999999999989</v>
      </c>
      <c r="EK65" s="18">
        <f>EJ65*VLOOKUP('Données projet'!$B$15,Paramètres!$A$1:$I$89,3,0)*VLOOKUP('Données projet'!$B$15,Paramètres!$A$1:$I$89,5,0)</f>
        <v>140.63087999999991</v>
      </c>
      <c r="EL65" s="14">
        <f t="shared" si="45"/>
        <v>36.44149340314641</v>
      </c>
      <c r="EM65" s="22">
        <f t="shared" si="19"/>
        <v>308.40105034381315</v>
      </c>
      <c r="EN65" s="62">
        <f t="shared" si="20"/>
        <v>601.73438367714652</v>
      </c>
      <c r="EO65" s="62">
        <f ca="1">AVERAGE(OFFSET($EN$3,0,0,'Données projet'!$E$15+1,1))-AVERAGE(OFFSET($H$3,0,0,'Données projet'!$E$15+1,1))</f>
        <v>146.90952320473599</v>
      </c>
      <c r="EP65" s="62">
        <f t="shared" si="46"/>
        <v>56.347130462109817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5.2</v>
      </c>
      <c r="FE65" s="13">
        <f>IF('Données projet'!$A$218&gt;35,FE64+FD65-FM64,IF(A65&lt;'Données projet'!$A$218,$FB$205^A65,IF(A65='Données projet'!$A$218,'Données projet'!$B$218,FE64+FD65-FM64)))</f>
        <v>145.39999999999989</v>
      </c>
      <c r="FF65" s="18">
        <f>FE65*VLOOKUP('Données projet'!$B$16,Paramètres!$A$1:$I$89,3,0)*VLOOKUP('Données projet'!$B$16,Paramètres!$A$1:$I$89,5,0)</f>
        <v>156.50855999999987</v>
      </c>
      <c r="FG65" s="14">
        <f t="shared" si="47"/>
        <v>40.054003013193991</v>
      </c>
      <c r="FH65" s="22">
        <f t="shared" si="22"/>
        <v>342.34646391464599</v>
      </c>
      <c r="FI65" s="62">
        <f t="shared" si="23"/>
        <v>635.67979724797931</v>
      </c>
      <c r="FJ65" s="62">
        <f ca="1">AVERAGE(OFFSET($FI$3,0,0,'Données projet'!$E$16+1,1))-AVERAGE(OFFSET($H$3,0,0,'Données projet'!$E$16+1,1))</f>
        <v>176.21892815766847</v>
      </c>
      <c r="FK65" s="62">
        <f t="shared" si="48"/>
        <v>69.239647548491234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2.6</v>
      </c>
      <c r="FZ65" s="13">
        <f>IF('Données projet'!$A$244&gt;35,FZ64+FY65-GH64,IF(A65&lt;'Données projet'!$A$244,$FW$205^A65,IF(A65='Données projet'!$A$244,'Données projet'!$B$244,FZ64+FY65-GH64)))</f>
        <v>138.19999999999993</v>
      </c>
      <c r="GA65" s="18">
        <f>FZ65*VLOOKUP('Données projet'!$B$17,Paramètres!$A$1:$I$89,3,0)*VLOOKUP('Données projet'!$B$17,Paramètres!$A$1:$I$89,5,0)</f>
        <v>109.95191999999996</v>
      </c>
      <c r="GB65" s="14">
        <f t="shared" si="49"/>
        <v>29.319656261331925</v>
      </c>
      <c r="GC65" s="22">
        <f t="shared" si="25"/>
        <v>242.56466198848636</v>
      </c>
      <c r="GD65" s="62">
        <f t="shared" si="26"/>
        <v>535.89799532181974</v>
      </c>
      <c r="GE65" s="62">
        <f ca="1">AVERAGE(OFFSET($GD$3,0,0,'Données projet'!$E$17+1,1))-AVERAGE(OFFSET($H$3,0,0,'Données projet'!$E$17+1,1))</f>
        <v>70.834027458412379</v>
      </c>
      <c r="GF65" s="62">
        <f t="shared" si="50"/>
        <v>74.346987922112362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1.897822417940873E-4</v>
      </c>
      <c r="GO65" s="23">
        <f t="shared" si="27"/>
        <v>1.897822417940873E-4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5.5555555555555554</v>
      </c>
      <c r="GU65" s="13">
        <f>IF('Données projet'!$A$270&gt;35,GU64+GT65-HC64,IF(A65&lt;'Données projet'!$A$270,$GR$205^A65,IF(A65='Données projet'!$A$270,'Données projet'!$B$270,GU64+GT65-HC64)))</f>
        <v>171.11111111111109</v>
      </c>
      <c r="GV65" s="18">
        <f>GU65*VLOOKUP('Données projet'!$B$18,Paramètres!$A$1:$I$89,3,0)*VLOOKUP('Données projet'!$B$18,Paramètres!$A$1:$I$89,5,0)</f>
        <v>133.46666666666664</v>
      </c>
      <c r="GW65" s="14">
        <f t="shared" si="51"/>
        <v>34.796173159471046</v>
      </c>
      <c r="GX65" s="22">
        <f t="shared" si="28"/>
        <v>293.05777936385641</v>
      </c>
      <c r="GY65" s="62">
        <f t="shared" si="29"/>
        <v>586.39111269718978</v>
      </c>
      <c r="GZ65" s="62">
        <f ca="1">AVERAGE(OFFSET($GY$3,0,0,'Données projet'!$E$18+1,1))-AVERAGE(OFFSET($H$3,0,0,'Données projet'!$E$18+1,1))</f>
        <v>99.222094917553648</v>
      </c>
      <c r="HA65" s="62">
        <f t="shared" si="52"/>
        <v>98.371477396766352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3.9486532896952451E-5</v>
      </c>
      <c r="HJ65" s="24">
        <f t="shared" si="30"/>
        <v>3.9486532896952451E-5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</v>
      </c>
      <c r="L66" s="13">
        <f>VLOOKUP(A66,'Données projet'!$A$35:$I$55,9,0)</f>
        <v>16.666666666666668</v>
      </c>
      <c r="M66" s="13">
        <f t="array" ref="M66">INDEX(L:L,MIN(IF(ISNUMBER(L66:L262),ROW(L66:L262),"")))</f>
        <v>16.666666666666668</v>
      </c>
      <c r="N66" s="14">
        <f>IF('Données projet'!$A$36&gt;35,N65+M66-V65,IF(A66&lt;'Données projet'!$A$36,$K$205^A66,IF(A66='Données projet'!$A$36,'Données projet'!$B$36,N65+M66-V65)))</f>
        <v>416</v>
      </c>
      <c r="O66" s="14">
        <f>N66*VLOOKUP('Données projet'!$B$9,Paramètres!$A$1:$I$89,3,0)*VLOOKUP('Données projet'!$B$9,Paramètres!$A$1:$I$89,5,0)</f>
        <v>194.68799999999999</v>
      </c>
      <c r="P66" s="14">
        <f t="shared" si="33"/>
        <v>48.574928228914978</v>
      </c>
      <c r="Q66" s="22">
        <f t="shared" si="53"/>
        <v>423.68293333202695</v>
      </c>
      <c r="R66" s="62">
        <f t="shared" si="0"/>
        <v>717.01626666536026</v>
      </c>
      <c r="S66" s="62">
        <f ca="1">AVERAGE(OFFSET($R$3,0,0,'Données projet'!$E$9+1,1))-AVERAGE(OFFSET($H$3,0,0,'Données projet'!$E$9+1,1))</f>
        <v>181.48161394994878</v>
      </c>
      <c r="T66" s="62">
        <f t="shared" si="34"/>
        <v>141.1874974464024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275.19960000000003</v>
      </c>
      <c r="AK66" s="14">
        <f t="shared" si="35"/>
        <v>65.951527620662617</v>
      </c>
      <c r="AL66" s="22">
        <f t="shared" si="4"/>
        <v>594.17154727265404</v>
      </c>
      <c r="AM66" s="62">
        <f t="shared" si="5"/>
        <v>887.50488060598741</v>
      </c>
      <c r="AN66" s="62">
        <f ca="1">AVERAGE(OFFSET($AM$3,0,0,'Données projet'!$E$10+1,1))-AVERAGE(OFFSET($H$3,0,0,'Données projet'!$E$10+1,1))</f>
        <v>340.81036749486179</v>
      </c>
      <c r="AO66" s="62">
        <f t="shared" si="36"/>
        <v>208.88199836488013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445.12499999999994</v>
      </c>
      <c r="BE66" s="14">
        <f>BD66*VLOOKUP('Données projet'!$B$11,Paramètres!$A$1:$I$89,3,0)*VLOOKUP('Données projet'!$B$11,Paramètres!$A$1:$I$89,5,0)</f>
        <v>266.18475000000001</v>
      </c>
      <c r="BF66" s="14">
        <f t="shared" si="37"/>
        <v>64.038907529798962</v>
      </c>
      <c r="BG66" s="22">
        <f t="shared" si="7"/>
        <v>575.13953686439993</v>
      </c>
      <c r="BH66" s="62">
        <f t="shared" si="8"/>
        <v>868.4728701977333</v>
      </c>
      <c r="BI66" s="62">
        <f ca="1">AVERAGE(OFFSET($BH$3,0,0,'Données projet'!$E$11+1,1))-AVERAGE(OFFSET($H$3,0,0,'Données projet'!$E$11+1,1))</f>
        <v>257.96727373333601</v>
      </c>
      <c r="BJ66" s="62">
        <f t="shared" si="38"/>
        <v>194.52809733694494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2.4211295211824528</v>
      </c>
      <c r="BR66" s="23">
        <f>EXP(-LN(2)/2)*BR65+(1-EXP(-LN(2)/2))/(LN(2)/2)*BL66*BO66*VLOOKUP('Données projet'!$B$11,Paramètres!$A$1:$I$89,3,0)*0.475*44/12</f>
        <v>1.534506366907748E-4</v>
      </c>
      <c r="BS66" s="24">
        <f t="shared" si="9"/>
        <v>2.4212829718191435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245.56271999999998</v>
      </c>
      <c r="CA66" s="14">
        <f t="shared" si="39"/>
        <v>59.634776048276898</v>
      </c>
      <c r="CB66" s="22">
        <f t="shared" si="10"/>
        <v>531.55230561741564</v>
      </c>
      <c r="CC66" s="62">
        <f t="shared" si="11"/>
        <v>824.8856389507489</v>
      </c>
      <c r="CD66" s="62">
        <f ca="1">AVERAGE(OFFSET($CC$3,0,0,'Données projet'!$E$12+1,1))-AVERAGE(OFFSET($H$3,0,0,'Données projet'!$E$12+1,1))</f>
        <v>292.83612296867898</v>
      </c>
      <c r="CE66" s="62">
        <f t="shared" si="40"/>
        <v>180.48047802041276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3.0523082302118774E-4</v>
      </c>
      <c r="CN66" s="24">
        <f t="shared" si="12"/>
        <v>3.0523082302118774E-4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150.59999999999988</v>
      </c>
      <c r="CU66" s="18">
        <f>CT66*VLOOKUP('Données projet'!$B$13,Paramètres!$A$1:$I$89,3,0)*VLOOKUP('Données projet'!$B$13,Paramètres!$A$1:$I$89,5,0)</f>
        <v>171.50327999999988</v>
      </c>
      <c r="CV66" s="14">
        <f t="shared" si="41"/>
        <v>43.426535589704869</v>
      </c>
      <c r="CW66" s="22">
        <f t="shared" si="13"/>
        <v>374.33609548540238</v>
      </c>
      <c r="CX66" s="62">
        <f t="shared" si="14"/>
        <v>667.6694288187357</v>
      </c>
      <c r="CY66" s="62">
        <f ca="1">AVERAGE(OFFSET($CX$3,0,0,'Données projet'!$E$13+1,1))-AVERAGE(OFFSET($H$3,0,0,'Données projet'!$E$13+1,1))</f>
        <v>192.93829651668403</v>
      </c>
      <c r="CZ66" s="62">
        <f t="shared" si="42"/>
        <v>76.592736352376903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150.59999999999988</v>
      </c>
      <c r="DP66" s="18">
        <f>DO66*VLOOKUP('Données projet'!$B$14,Paramètres!$A$1:$I$89,3,0)*VLOOKUP('Données projet'!$B$14,Paramètres!$A$1:$I$89,5,0)</f>
        <v>101.02247999999993</v>
      </c>
      <c r="DQ66" s="14">
        <f t="shared" si="43"/>
        <v>27.205444899889642</v>
      </c>
      <c r="DR66" s="22">
        <f t="shared" si="16"/>
        <v>223.3303025339743</v>
      </c>
      <c r="DS66" s="62">
        <f t="shared" si="17"/>
        <v>516.66363586730768</v>
      </c>
      <c r="DT66" s="62">
        <f ca="1">AVERAGE(OFFSET($DS$3,0,0,'Données projet'!$E$14+1,1))-AVERAGE(OFFSET($H$3,0,0,'Données projet'!$E$14+1,1))</f>
        <v>66.964554307546564</v>
      </c>
      <c r="DU66" s="62">
        <f t="shared" si="44"/>
        <v>21.162700178818568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</v>
      </c>
      <c r="EJ66" s="13">
        <f>IF('Données projet'!$A$192&gt;35,EJ65+EI66-ER65,IF(A66&lt;'Données projet'!$A$192,$EG$205^A66,IF(A66='Données projet'!$A$192,'Données projet'!$B$192,EJ65+EI66-ER65)))</f>
        <v>150.59999999999988</v>
      </c>
      <c r="EK66" s="18">
        <f>EJ66*VLOOKUP('Données projet'!$B$15,Paramètres!$A$1:$I$89,3,0)*VLOOKUP('Données projet'!$B$15,Paramètres!$A$1:$I$89,5,0)</f>
        <v>145.6603199999999</v>
      </c>
      <c r="EL66" s="14">
        <f t="shared" si="45"/>
        <v>37.59069903895481</v>
      </c>
      <c r="EM66" s="22">
        <f t="shared" si="19"/>
        <v>319.16219149284615</v>
      </c>
      <c r="EN66" s="62">
        <f t="shared" si="20"/>
        <v>612.49552482617946</v>
      </c>
      <c r="EO66" s="62">
        <f ca="1">AVERAGE(OFFSET($EN$3,0,0,'Données projet'!$E$15+1,1))-AVERAGE(OFFSET($H$3,0,0,'Données projet'!$E$15+1,1))</f>
        <v>146.90952320473599</v>
      </c>
      <c r="EP66" s="62">
        <f t="shared" si="46"/>
        <v>56.347130462109817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5.2</v>
      </c>
      <c r="FE66" s="13">
        <f>IF('Données projet'!$A$218&gt;35,FE65+FD66-FM65,IF(A66&lt;'Données projet'!$A$218,$FB$205^A66,IF(A66='Données projet'!$A$218,'Données projet'!$B$218,FE65+FD66-FM65)))</f>
        <v>150.59999999999988</v>
      </c>
      <c r="FF66" s="18">
        <f>FE66*VLOOKUP('Données projet'!$B$16,Paramètres!$A$1:$I$89,3,0)*VLOOKUP('Données projet'!$B$16,Paramètres!$A$1:$I$89,5,0)</f>
        <v>162.10583999999989</v>
      </c>
      <c r="FG66" s="14">
        <f t="shared" si="47"/>
        <v>41.317131433597162</v>
      </c>
      <c r="FH66" s="22">
        <f t="shared" si="22"/>
        <v>354.2950085801815</v>
      </c>
      <c r="FI66" s="62">
        <f t="shared" si="23"/>
        <v>647.62834191351476</v>
      </c>
      <c r="FJ66" s="62">
        <f ca="1">AVERAGE(OFFSET($FI$3,0,0,'Données projet'!$E$16+1,1))-AVERAGE(OFFSET($H$3,0,0,'Données projet'!$E$16+1,1))</f>
        <v>176.21892815766847</v>
      </c>
      <c r="FK66" s="62">
        <f t="shared" si="48"/>
        <v>69.239647548491234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2.6</v>
      </c>
      <c r="FZ66" s="13">
        <f>IF('Données projet'!$A$244&gt;35,FZ65+FY66-GH65,IF(A66&lt;'Données projet'!$A$244,$FW$205^A66,IF(A66='Données projet'!$A$244,'Données projet'!$B$244,FZ65+FY66-GH65)))</f>
        <v>140.79999999999993</v>
      </c>
      <c r="GA66" s="18">
        <f>FZ66*VLOOKUP('Données projet'!$B$17,Paramètres!$A$1:$I$89,3,0)*VLOOKUP('Données projet'!$B$17,Paramètres!$A$1:$I$89,5,0)</f>
        <v>112.02047999999995</v>
      </c>
      <c r="GB66" s="14">
        <f t="shared" si="49"/>
        <v>29.806519968733696</v>
      </c>
      <c r="GC66" s="22">
        <f t="shared" si="25"/>
        <v>247.01535827887776</v>
      </c>
      <c r="GD66" s="62">
        <f t="shared" si="26"/>
        <v>540.34869161221104</v>
      </c>
      <c r="GE66" s="62">
        <f ca="1">AVERAGE(OFFSET($GD$3,0,0,'Données projet'!$E$17+1,1))-AVERAGE(OFFSET($H$3,0,0,'Données projet'!$E$17+1,1))</f>
        <v>70.834027458412379</v>
      </c>
      <c r="GF66" s="62">
        <f t="shared" si="50"/>
        <v>74.346987922112362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1.3419631012138414E-4</v>
      </c>
      <c r="GO66" s="23">
        <f t="shared" si="27"/>
        <v>1.3419631012138414E-4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5.5555555555555554</v>
      </c>
      <c r="GU66" s="13">
        <f>IF('Données projet'!$A$270&gt;35,GU65+GT66-HC65,IF(A66&lt;'Données projet'!$A$270,$GR$205^A66,IF(A66='Données projet'!$A$270,'Données projet'!$B$270,GU65+GT66-HC65)))</f>
        <v>176.66666666666663</v>
      </c>
      <c r="GV66" s="18">
        <f>GU66*VLOOKUP('Données projet'!$B$18,Paramètres!$A$1:$I$89,3,0)*VLOOKUP('Données projet'!$B$18,Paramètres!$A$1:$I$89,5,0)</f>
        <v>137.79999999999998</v>
      </c>
      <c r="GW66" s="14">
        <f t="shared" si="51"/>
        <v>35.792552736298617</v>
      </c>
      <c r="GX66" s="22">
        <f t="shared" si="28"/>
        <v>302.34036268238674</v>
      </c>
      <c r="GY66" s="62">
        <f t="shared" si="29"/>
        <v>595.67369601572</v>
      </c>
      <c r="GZ66" s="62">
        <f ca="1">AVERAGE(OFFSET($GY$3,0,0,'Données projet'!$E$18+1,1))-AVERAGE(OFFSET($H$3,0,0,'Données projet'!$E$18+1,1))</f>
        <v>99.222094917553648</v>
      </c>
      <c r="HA66" s="62">
        <f t="shared" si="52"/>
        <v>98.371477396766352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2.7921195176980767E-5</v>
      </c>
      <c r="HJ66" s="24">
        <f t="shared" si="30"/>
        <v>2.7921195176980767E-5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</v>
      </c>
      <c r="L67" s="13">
        <f>VLOOKUP(A67,'Données projet'!$A$35:$I$55,9,0)</f>
        <v>16</v>
      </c>
      <c r="M67" s="13">
        <f t="array" ref="M67">INDEX(L:L,MIN(IF(ISNUMBER(L67:L263),ROW(L67:L263),"")))</f>
        <v>16</v>
      </c>
      <c r="N67" s="14">
        <f>IF('Données projet'!$A$36&gt;35,N66+M67-V66,IF(A67&lt;'Données projet'!$A$36,$K$205^A67,IF(A67='Données projet'!$A$36,'Données projet'!$B$36,N66+M67-V66)))</f>
        <v>353</v>
      </c>
      <c r="O67" s="14">
        <f>N67*VLOOKUP('Données projet'!$B$9,Paramètres!$A$1:$I$89,3,0)*VLOOKUP('Données projet'!$B$9,Paramètres!$A$1:$I$89,5,0)</f>
        <v>165.20400000000001</v>
      </c>
      <c r="P67" s="14">
        <f t="shared" si="33"/>
        <v>42.01409666579589</v>
      </c>
      <c r="Q67" s="22">
        <f t="shared" ref="Q67:Q98" si="54">(O67+P67)*0.475*44/12</f>
        <v>360.90485169292782</v>
      </c>
      <c r="R67" s="62">
        <f t="shared" ref="R67:R130" si="55">Q67+(I67+J67)*44/12</f>
        <v>654.23818502626114</v>
      </c>
      <c r="S67" s="62">
        <f ca="1">AVERAGE(OFFSET($R$3,0,0,'Données projet'!$E$9+1,1))-AVERAGE(OFFSET($H$3,0,0,'Données projet'!$E$9+1,1))</f>
        <v>181.48161394994878</v>
      </c>
      <c r="T67" s="62">
        <f t="shared" si="34"/>
        <v>141.1874974464024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284.12279999999998</v>
      </c>
      <c r="AK67" s="14">
        <f t="shared" si="35"/>
        <v>67.837532462585557</v>
      </c>
      <c r="AL67" s="22">
        <f t="shared" si="4"/>
        <v>612.99757903900309</v>
      </c>
      <c r="AM67" s="62">
        <f t="shared" si="5"/>
        <v>906.33091237233634</v>
      </c>
      <c r="AN67" s="62">
        <f ca="1">AVERAGE(OFFSET($AM$3,0,0,'Données projet'!$E$10+1,1))-AVERAGE(OFFSET($H$3,0,0,'Données projet'!$E$10+1,1))</f>
        <v>340.81036749486179</v>
      </c>
      <c r="AO67" s="62">
        <f t="shared" si="36"/>
        <v>208.88199836488013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461.74999999999994</v>
      </c>
      <c r="BE67" s="14">
        <f>BD67*VLOOKUP('Données projet'!$B$11,Paramètres!$A$1:$I$89,3,0)*VLOOKUP('Données projet'!$B$11,Paramètres!$A$1:$I$89,5,0)</f>
        <v>276.12649999999996</v>
      </c>
      <c r="BF67" s="14">
        <f t="shared" si="37"/>
        <v>66.147764494536574</v>
      </c>
      <c r="BG67" s="22">
        <f t="shared" si="7"/>
        <v>596.12767732798443</v>
      </c>
      <c r="BH67" s="62">
        <f t="shared" si="8"/>
        <v>889.46101066131769</v>
      </c>
      <c r="BI67" s="62">
        <f ca="1">AVERAGE(OFFSET($BH$3,0,0,'Données projet'!$E$11+1,1))-AVERAGE(OFFSET($H$3,0,0,'Données projet'!$E$11+1,1))</f>
        <v>257.96727373333601</v>
      </c>
      <c r="BJ67" s="62">
        <f t="shared" si="38"/>
        <v>194.52809733694494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2.3549236071040509</v>
      </c>
      <c r="BR67" s="23">
        <f>EXP(-LN(2)/2)*BR66+(1-EXP(-LN(2)/2))/(LN(2)/2)*BL67*BO67*VLOOKUP('Données projet'!$B$11,Paramètres!$A$1:$I$89,3,0)*0.475*44/12</f>
        <v>1.085059857814401E-4</v>
      </c>
      <c r="BS67" s="24">
        <f t="shared" si="9"/>
        <v>2.3550321130898322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253.52495999999999</v>
      </c>
      <c r="CA67" s="14">
        <f t="shared" si="39"/>
        <v>61.340141798422209</v>
      </c>
      <c r="CB67" s="22">
        <f t="shared" si="10"/>
        <v>548.39005229891859</v>
      </c>
      <c r="CC67" s="62">
        <f t="shared" si="11"/>
        <v>841.72338563225185</v>
      </c>
      <c r="CD67" s="62">
        <f ca="1">AVERAGE(OFFSET($CC$3,0,0,'Données projet'!$E$12+1,1))-AVERAGE(OFFSET($H$3,0,0,'Données projet'!$E$12+1,1))</f>
        <v>292.83612296867898</v>
      </c>
      <c r="CE67" s="62">
        <f t="shared" si="40"/>
        <v>180.48047802041276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2.1583078478543282E-4</v>
      </c>
      <c r="CN67" s="24">
        <f t="shared" si="12"/>
        <v>2.1583078478543282E-4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155.79999999999987</v>
      </c>
      <c r="CU67" s="18">
        <f>CT67*VLOOKUP('Données projet'!$B$13,Paramètres!$A$1:$I$89,3,0)*VLOOKUP('Données projet'!$B$13,Paramètres!$A$1:$I$89,5,0)</f>
        <v>177.42503999999985</v>
      </c>
      <c r="CV67" s="14">
        <f t="shared" si="41"/>
        <v>44.748825484986519</v>
      </c>
      <c r="CW67" s="22">
        <f t="shared" si="13"/>
        <v>386.95281571968462</v>
      </c>
      <c r="CX67" s="62">
        <f t="shared" si="14"/>
        <v>680.28614905301788</v>
      </c>
      <c r="CY67" s="62">
        <f ca="1">AVERAGE(OFFSET($CX$3,0,0,'Données projet'!$E$13+1,1))-AVERAGE(OFFSET($H$3,0,0,'Données projet'!$E$13+1,1))</f>
        <v>192.93829651668403</v>
      </c>
      <c r="CZ67" s="62">
        <f t="shared" si="42"/>
        <v>76.592736352376903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155.79999999999987</v>
      </c>
      <c r="DP67" s="18">
        <f>DO67*VLOOKUP('Données projet'!$B$14,Paramètres!$A$1:$I$89,3,0)*VLOOKUP('Données projet'!$B$14,Paramètres!$A$1:$I$89,5,0)</f>
        <v>104.51063999999991</v>
      </c>
      <c r="DQ67" s="14">
        <f t="shared" si="43"/>
        <v>28.033820555448383</v>
      </c>
      <c r="DR67" s="22">
        <f t="shared" si="16"/>
        <v>230.84826880073911</v>
      </c>
      <c r="DS67" s="62">
        <f t="shared" si="17"/>
        <v>524.18160213407236</v>
      </c>
      <c r="DT67" s="62">
        <f ca="1">AVERAGE(OFFSET($DS$3,0,0,'Données projet'!$E$14+1,1))-AVERAGE(OFFSET($H$3,0,0,'Données projet'!$E$14+1,1))</f>
        <v>66.964554307546564</v>
      </c>
      <c r="DU67" s="62">
        <f t="shared" si="44"/>
        <v>21.162700178818568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</v>
      </c>
      <c r="EJ67" s="13">
        <f>IF('Données projet'!$A$192&gt;35,EJ66+EI67-ER66,IF(A67&lt;'Données projet'!$A$192,$EG$205^A67,IF(A67='Données projet'!$A$192,'Données projet'!$B$192,EJ66+EI67-ER66)))</f>
        <v>155.79999999999987</v>
      </c>
      <c r="EK67" s="18">
        <f>EJ67*VLOOKUP('Données projet'!$B$15,Paramètres!$A$1:$I$89,3,0)*VLOOKUP('Données projet'!$B$15,Paramètres!$A$1:$I$89,5,0)</f>
        <v>150.68975999999986</v>
      </c>
      <c r="EL67" s="14">
        <f t="shared" si="45"/>
        <v>38.735294176946169</v>
      </c>
      <c r="EM67" s="22">
        <f t="shared" si="19"/>
        <v>329.91530269151434</v>
      </c>
      <c r="EN67" s="62">
        <f t="shared" si="20"/>
        <v>623.24863602484766</v>
      </c>
      <c r="EO67" s="62">
        <f ca="1">AVERAGE(OFFSET($EN$3,0,0,'Données projet'!$E$15+1,1))-AVERAGE(OFFSET($H$3,0,0,'Données projet'!$E$15+1,1))</f>
        <v>146.90952320473599</v>
      </c>
      <c r="EP67" s="62">
        <f t="shared" si="46"/>
        <v>56.347130462109817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5.2</v>
      </c>
      <c r="FE67" s="13">
        <f>IF('Données projet'!$A$218&gt;35,FE66+FD67-FM66,IF(A67&lt;'Données projet'!$A$218,$FB$205^A67,IF(A67='Données projet'!$A$218,'Données projet'!$B$218,FE66+FD67-FM66)))</f>
        <v>155.79999999999987</v>
      </c>
      <c r="FF67" s="18">
        <f>FE67*VLOOKUP('Données projet'!$B$16,Paramètres!$A$1:$I$89,3,0)*VLOOKUP('Données projet'!$B$16,Paramètres!$A$1:$I$89,5,0)</f>
        <v>167.70311999999984</v>
      </c>
      <c r="FG67" s="14">
        <f t="shared" si="47"/>
        <v>42.575192309390843</v>
      </c>
      <c r="FH67" s="22">
        <f t="shared" si="22"/>
        <v>366.23472727218876</v>
      </c>
      <c r="FI67" s="62">
        <f t="shared" si="23"/>
        <v>659.56806060552208</v>
      </c>
      <c r="FJ67" s="62">
        <f ca="1">AVERAGE(OFFSET($FI$3,0,0,'Données projet'!$E$16+1,1))-AVERAGE(OFFSET($H$3,0,0,'Données projet'!$E$16+1,1))</f>
        <v>176.21892815766847</v>
      </c>
      <c r="FK67" s="62">
        <f t="shared" si="48"/>
        <v>69.239647548491234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2.6</v>
      </c>
      <c r="FZ67" s="13">
        <f>IF('Données projet'!$A$244&gt;35,FZ66+FY67-GH66,IF(A67&lt;'Données projet'!$A$244,$FW$205^A67,IF(A67='Données projet'!$A$244,'Données projet'!$B$244,FZ66+FY67-GH66)))</f>
        <v>143.39999999999992</v>
      </c>
      <c r="GA67" s="18">
        <f>FZ67*VLOOKUP('Données projet'!$B$17,Paramètres!$A$1:$I$89,3,0)*VLOOKUP('Données projet'!$B$17,Paramètres!$A$1:$I$89,5,0)</f>
        <v>114.08903999999994</v>
      </c>
      <c r="GB67" s="14">
        <f t="shared" si="49"/>
        <v>30.292338256847007</v>
      </c>
      <c r="GC67" s="22">
        <f t="shared" si="25"/>
        <v>251.46423379734176</v>
      </c>
      <c r="GD67" s="62">
        <f t="shared" si="26"/>
        <v>544.79756713067513</v>
      </c>
      <c r="GE67" s="62">
        <f ca="1">AVERAGE(OFFSET($GD$3,0,0,'Données projet'!$E$17+1,1))-AVERAGE(OFFSET($H$3,0,0,'Données projet'!$E$17+1,1))</f>
        <v>70.834027458412379</v>
      </c>
      <c r="GF67" s="62">
        <f t="shared" si="50"/>
        <v>74.346987922112362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9.4891120897043648E-5</v>
      </c>
      <c r="GO67" s="23">
        <f t="shared" si="27"/>
        <v>9.4891120897043648E-5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5.5555555555555554</v>
      </c>
      <c r="GU67" s="13">
        <f>IF('Données projet'!$A$270&gt;35,GU66+GT67-HC66,IF(A67&lt;'Données projet'!$A$270,$GR$205^A67,IF(A67='Données projet'!$A$270,'Données projet'!$B$270,GU66+GT67-HC66)))</f>
        <v>182.22222222222217</v>
      </c>
      <c r="GV67" s="18">
        <f>GU67*VLOOKUP('Données projet'!$B$18,Paramètres!$A$1:$I$89,3,0)*VLOOKUP('Données projet'!$B$18,Paramètres!$A$1:$I$89,5,0)</f>
        <v>142.1333333333333</v>
      </c>
      <c r="GW67" s="14">
        <f t="shared" si="51"/>
        <v>36.785291220653065</v>
      </c>
      <c r="GX67" s="22">
        <f t="shared" si="28"/>
        <v>311.61660443152624</v>
      </c>
      <c r="GY67" s="62">
        <f t="shared" si="29"/>
        <v>604.94993776485956</v>
      </c>
      <c r="GZ67" s="62">
        <f ca="1">AVERAGE(OFFSET($GY$3,0,0,'Données projet'!$E$18+1,1))-AVERAGE(OFFSET($H$3,0,0,'Données projet'!$E$18+1,1))</f>
        <v>99.222094917553648</v>
      </c>
      <c r="HA67" s="62">
        <f t="shared" si="52"/>
        <v>98.371477396766352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1.9743266448476225E-5</v>
      </c>
      <c r="HJ67" s="24">
        <f t="shared" si="30"/>
        <v>1.9743266448476225E-5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16.142857142857142</v>
      </c>
      <c r="N68" s="14">
        <f>IF('Données projet'!$A$36&gt;35,N67+M68-V67,IF(A68&lt;'Données projet'!$A$36,$K$205^A68,IF(A68='Données projet'!$A$36,'Données projet'!$B$36,N67+M68-V67)))</f>
        <v>369.14285714285717</v>
      </c>
      <c r="O68" s="14">
        <f>N68*VLOOKUP('Données projet'!$B$9,Paramètres!$A$1:$I$89,3,0)*VLOOKUP('Données projet'!$B$9,Paramètres!$A$1:$I$89,5,0)</f>
        <v>172.75885714285715</v>
      </c>
      <c r="P68" s="14">
        <f t="shared" si="33"/>
        <v>43.707335703690283</v>
      </c>
      <c r="Q68" s="22">
        <f t="shared" si="54"/>
        <v>377.01195254107012</v>
      </c>
      <c r="R68" s="62">
        <f t="shared" si="55"/>
        <v>670.34528587440343</v>
      </c>
      <c r="S68" s="62">
        <f ca="1">AVERAGE(OFFSET($R$3,0,0,'Données projet'!$E$9+1,1))-AVERAGE(OFFSET($H$3,0,0,'Données projet'!$E$9+1,1))</f>
        <v>181.48161394994878</v>
      </c>
      <c r="T68" s="62">
        <f t="shared" si="34"/>
        <v>141.1874974464024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293.04599999999999</v>
      </c>
      <c r="AK68" s="14">
        <f t="shared" si="35"/>
        <v>69.716654076072615</v>
      </c>
      <c r="AL68" s="22">
        <f t="shared" ref="AL68:AL131" si="58">(AJ68+AK68)*0.475*44/12</f>
        <v>631.81162251582646</v>
      </c>
      <c r="AM68" s="62">
        <f t="shared" ref="AM68:AM131" si="59">AL68+(AD68+AE68)*44/12</f>
        <v>925.14495584915971</v>
      </c>
      <c r="AN68" s="62">
        <f ca="1">AVERAGE(OFFSET($AM$3,0,0,'Données projet'!$E$10+1,1))-AVERAGE(OFFSET($H$3,0,0,'Données projet'!$E$10+1,1))</f>
        <v>340.81036749486179</v>
      </c>
      <c r="AO68" s="62">
        <f t="shared" si="36"/>
        <v>208.88199836488013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478.37499999999994</v>
      </c>
      <c r="BE68" s="14">
        <f>BD68*VLOOKUP('Données projet'!$B$11,Paramètres!$A$1:$I$89,3,0)*VLOOKUP('Données projet'!$B$11,Paramètres!$A$1:$I$89,5,0)</f>
        <v>286.06824999999998</v>
      </c>
      <c r="BF68" s="14">
        <f t="shared" si="37"/>
        <v>68.247799922382825</v>
      </c>
      <c r="BG68" s="22">
        <f t="shared" ref="BG68:BG131" si="61">(BE68+BF68)*0.475*44/12</f>
        <v>617.10045361481673</v>
      </c>
      <c r="BH68" s="62">
        <f t="shared" ref="BH68:BH131" si="62">BG68+(AY68+AZ68)*44/12</f>
        <v>910.4337869481501</v>
      </c>
      <c r="BI68" s="62">
        <f ca="1">AVERAGE(OFFSET($BH$3,0,0,'Données projet'!$E$11+1,1))-AVERAGE(OFFSET($H$3,0,0,'Données projet'!$E$11+1,1))</f>
        <v>257.96727373333601</v>
      </c>
      <c r="BJ68" s="62">
        <f t="shared" si="38"/>
        <v>194.52809733694494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2.2905280972277402</v>
      </c>
      <c r="BR68" s="23">
        <f>EXP(-LN(2)/2)*BR67+(1-EXP(-LN(2)/2))/(LN(2)/2)*BL68*BO68*VLOOKUP('Données projet'!$B$11,Paramètres!$A$1:$I$89,3,0)*0.475*44/12</f>
        <v>7.6725318345387399E-5</v>
      </c>
      <c r="BS68" s="24">
        <f t="shared" ref="BS68:BS131" si="63">SUM(BP68:BR68)</f>
        <v>2.2906048225460856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261.48719999999997</v>
      </c>
      <c r="CA68" s="14">
        <f t="shared" si="39"/>
        <v>63.039283586802391</v>
      </c>
      <c r="CB68" s="22">
        <f t="shared" ref="CB68:CB131" si="64">(BZ68+CA68)*0.475*44/12</f>
        <v>565.21695891368086</v>
      </c>
      <c r="CC68" s="62">
        <f t="shared" ref="CC68:CC131" si="65">CB68+(BT68+BU68)*44/12</f>
        <v>858.55029224701411</v>
      </c>
      <c r="CD68" s="62">
        <f ca="1">AVERAGE(OFFSET($CC$3,0,0,'Données projet'!$E$12+1,1))-AVERAGE(OFFSET($H$3,0,0,'Données projet'!$E$12+1,1))</f>
        <v>292.83612296867898</v>
      </c>
      <c r="CE68" s="62">
        <f t="shared" si="40"/>
        <v>180.48047802041276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1.5261541151059387E-4</v>
      </c>
      <c r="CN68" s="24">
        <f t="shared" ref="CN68:CN131" si="66">SUM(CK68:CM68)</f>
        <v>1.5261541151059387E-4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161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160.99999999999986</v>
      </c>
      <c r="CU68" s="18">
        <f>CT68*VLOOKUP('Données projet'!$B$13,Paramètres!$A$1:$I$89,3,0)*VLOOKUP('Données projet'!$B$13,Paramètres!$A$1:$I$89,5,0)</f>
        <v>183.34679999999983</v>
      </c>
      <c r="CV68" s="14">
        <f t="shared" si="41"/>
        <v>46.065987269469694</v>
      </c>
      <c r="CW68" s="22">
        <f t="shared" ref="CW68:CW131" si="67">(CU68+CV68)*0.475*44/12</f>
        <v>399.56060449432607</v>
      </c>
      <c r="CX68" s="62">
        <f t="shared" ref="CX68:CX131" si="68">CW68+(CO68+CP68)*44/12</f>
        <v>692.89393782765933</v>
      </c>
      <c r="CY68" s="62">
        <f ca="1">AVERAGE(OFFSET($CX$3,0,0,'Données projet'!$E$13+1,1))-AVERAGE(OFFSET($H$3,0,0,'Données projet'!$E$13+1,1))</f>
        <v>192.93829651668403</v>
      </c>
      <c r="CZ68" s="62">
        <f t="shared" si="42"/>
        <v>76.592736352376903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14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161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160.99999999999986</v>
      </c>
      <c r="DP68" s="18">
        <f>DO68*VLOOKUP('Données projet'!$B$14,Paramètres!$A$1:$I$89,3,0)*VLOOKUP('Données projet'!$B$14,Paramètres!$A$1:$I$89,5,0)</f>
        <v>107.9987999999999</v>
      </c>
      <c r="DQ68" s="14">
        <f t="shared" si="43"/>
        <v>28.858983600701585</v>
      </c>
      <c r="DR68" s="22">
        <f t="shared" ref="DR68:DR131" si="70">(DP68+DQ68)*0.475*44/12</f>
        <v>238.36063977122171</v>
      </c>
      <c r="DS68" s="62">
        <f t="shared" ref="DS68:DS131" si="71">DR68+(DJ68+DK68)*44/12</f>
        <v>531.69397310455497</v>
      </c>
      <c r="DT68" s="62">
        <f ca="1">AVERAGE(OFFSET($DS$3,0,0,'Données projet'!$E$14+1,1))-AVERAGE(OFFSET($H$3,0,0,'Données projet'!$E$14+1,1))</f>
        <v>66.964554307546564</v>
      </c>
      <c r="DU68" s="62">
        <f t="shared" si="44"/>
        <v>21.162700178818568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14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161</v>
      </c>
      <c r="EH68" s="13">
        <f>VLOOKUP(A68,'Données projet'!$A$191:$I$211,9,0)</f>
        <v>5.2</v>
      </c>
      <c r="EI68" s="13">
        <f t="array" ref="EI68">INDEX(EH:EH,MIN(IF(ISNUMBER(EH68:EH264),ROW(EH68:EH264),"")))</f>
        <v>5.2</v>
      </c>
      <c r="EJ68" s="13">
        <f>IF('Données projet'!$A$192&gt;35,EJ67+EI68-ER67,IF(A68&lt;'Données projet'!$A$192,$EG$205^A68,IF(A68='Données projet'!$A$192,'Données projet'!$B$192,EJ67+EI68-ER67)))</f>
        <v>160.99999999999986</v>
      </c>
      <c r="EK68" s="18">
        <f>EJ68*VLOOKUP('Données projet'!$B$15,Paramètres!$A$1:$I$89,3,0)*VLOOKUP('Données projet'!$B$15,Paramètres!$A$1:$I$89,5,0)</f>
        <v>155.71919999999986</v>
      </c>
      <c r="EL68" s="14">
        <f t="shared" si="45"/>
        <v>39.875450340770094</v>
      </c>
      <c r="EM68" s="22">
        <f t="shared" ref="EM68:EM131" si="73">(EK68+EL68)*0.475*44/12</f>
        <v>340.66068267684102</v>
      </c>
      <c r="EN68" s="62">
        <f t="shared" ref="EN68:EN131" si="74">EM68+(EE68+EF68)*44/12</f>
        <v>633.99401601017439</v>
      </c>
      <c r="EO68" s="62">
        <f ca="1">AVERAGE(OFFSET($EN$3,0,0,'Données projet'!$E$15+1,1))-AVERAGE(OFFSET($H$3,0,0,'Données projet'!$E$15+1,1))</f>
        <v>146.90952320473599</v>
      </c>
      <c r="EP68" s="62">
        <f t="shared" si="46"/>
        <v>56.347130462109817</v>
      </c>
      <c r="EQ68" s="16">
        <f>IF(ISNA(VLOOKUP(A68,'Données projet'!$A$191:$I$211,3,0)),0,VLOOKUP(A68,'Données projet'!$A$191:$I$211,3,0))</f>
        <v>9</v>
      </c>
      <c r="ER68" s="16">
        <f>IF(ISNA(VLOOKUP(A68,'Données projet'!$A$191:$I$211,4,0)),0,VLOOKUP(A68,'Données projet'!$A$191:$I$211,4,0))</f>
        <v>14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161</v>
      </c>
      <c r="FC68" s="13">
        <f>VLOOKUP(A68,'Données projet'!$A$217:$I$237,9,0)</f>
        <v>5.2</v>
      </c>
      <c r="FD68" s="13">
        <f t="array" ref="FD68">INDEX(FC:FC,MIN(IF(ISNUMBER(FC68:FC264),ROW(FC68:FC264),"")))</f>
        <v>5.2</v>
      </c>
      <c r="FE68" s="13">
        <f>IF('Données projet'!$A$218&gt;35,FE67+FD68-FM67,IF(A68&lt;'Données projet'!$A$218,$FB$205^A68,IF(A68='Données projet'!$A$218,'Données projet'!$B$218,FE67+FD68-FM67)))</f>
        <v>160.99999999999986</v>
      </c>
      <c r="FF68" s="18">
        <f>FE68*VLOOKUP('Données projet'!$B$16,Paramètres!$A$1:$I$89,3,0)*VLOOKUP('Données projet'!$B$16,Paramètres!$A$1:$I$89,5,0)</f>
        <v>173.30039999999983</v>
      </c>
      <c r="FG68" s="14">
        <f t="shared" si="47"/>
        <v>43.828374167667008</v>
      </c>
      <c r="FH68" s="22">
        <f t="shared" ref="FH68:FH131" si="76">(FF68+FG68)*0.475*44/12</f>
        <v>378.1659483420197</v>
      </c>
      <c r="FI68" s="62">
        <f t="shared" ref="FI68:FI131" si="77">FH68+(EZ68+FA68)*44/12</f>
        <v>671.49928167535302</v>
      </c>
      <c r="FJ68" s="62">
        <f ca="1">AVERAGE(OFFSET($FI$3,0,0,'Données projet'!$E$16+1,1))-AVERAGE(OFFSET($H$3,0,0,'Données projet'!$E$16+1,1))</f>
        <v>176.21892815766847</v>
      </c>
      <c r="FK68" s="62">
        <f t="shared" si="48"/>
        <v>69.239647548491234</v>
      </c>
      <c r="FL68" s="16">
        <f>IF(ISNA(VLOOKUP(A68,'Données projet'!$A$217:$I$237,3,0)),0,VLOOKUP(A68,'Données projet'!$A$217:$I$237,3,0))</f>
        <v>9</v>
      </c>
      <c r="FM68" s="16">
        <f>IF(ISNA(VLOOKUP(A68,'Données projet'!$A$217:$I$237,4,0)),0,VLOOKUP(A68,'Données projet'!$A$217:$I$237,4,0))</f>
        <v>14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146</v>
      </c>
      <c r="FX68" s="13">
        <f>VLOOKUP(A68,'Données projet'!$A$243:$I$263,9,0)</f>
        <v>2.6</v>
      </c>
      <c r="FY68" s="13">
        <f t="array" ref="FY68">INDEX(FX:FX,MIN(IF(ISNUMBER(FX68:FX264),ROW(FX68:FX264),"")))</f>
        <v>2.6</v>
      </c>
      <c r="FZ68" s="13">
        <f>IF('Données projet'!$A$244&gt;35,FZ67+FY68-GH67,IF(A68&lt;'Données projet'!$A$244,$FW$205^A68,IF(A68='Données projet'!$A$244,'Données projet'!$B$244,FZ67+FY68-GH67)))</f>
        <v>145.99999999999991</v>
      </c>
      <c r="GA68" s="18">
        <f>FZ68*VLOOKUP('Données projet'!$B$17,Paramètres!$A$1:$I$89,3,0)*VLOOKUP('Données projet'!$B$17,Paramètres!$A$1:$I$89,5,0)</f>
        <v>116.15759999999993</v>
      </c>
      <c r="GB68" s="14">
        <f t="shared" si="49"/>
        <v>30.777132266613055</v>
      </c>
      <c r="GC68" s="22">
        <f t="shared" ref="GC68:GC131" si="79">(GA68+GB68)*0.475*44/12</f>
        <v>255.91132536435097</v>
      </c>
      <c r="GD68" s="62">
        <f t="shared" ref="GD68:GD131" si="80">GC68+(FU68+FV68)*44/12</f>
        <v>549.24465869768426</v>
      </c>
      <c r="GE68" s="62">
        <f ca="1">AVERAGE(OFFSET($GD$3,0,0,'Données projet'!$E$17+1,1))-AVERAGE(OFFSET($H$3,0,0,'Données projet'!$E$17+1,1))</f>
        <v>70.834027458412379</v>
      </c>
      <c r="GF68" s="62">
        <f t="shared" si="50"/>
        <v>74.346987922112362</v>
      </c>
      <c r="GG68" s="16">
        <f>IF(ISNA(VLOOKUP(A68,'Données projet'!$A$243:$I$263,3,0)),0,VLOOKUP(A68,'Données projet'!$A$243:$I$263,3,0))</f>
        <v>10</v>
      </c>
      <c r="GH68" s="16">
        <f>IF(ISNA(VLOOKUP(A68,'Données projet'!$A$243:$I$263,4,0)),0,VLOOKUP(A68,'Données projet'!$A$243:$I$263,4,0))</f>
        <v>6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6.709815506069207E-5</v>
      </c>
      <c r="GO68" s="23">
        <f t="shared" ref="GO68:GO131" si="81">SUM(GL68:GN68)</f>
        <v>6.709815506069207E-5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5.5555555555555554</v>
      </c>
      <c r="GU68" s="13">
        <f>IF('Données projet'!$A$270&gt;35,GU67+GT68-HC67,IF(A68&lt;'Données projet'!$A$270,$GR$205^A68,IF(A68='Données projet'!$A$270,'Données projet'!$B$270,GU67+GT68-HC67)))</f>
        <v>187.77777777777771</v>
      </c>
      <c r="GV68" s="18">
        <f>GU68*VLOOKUP('Données projet'!$B$18,Paramètres!$A$1:$I$89,3,0)*VLOOKUP('Données projet'!$B$18,Paramètres!$A$1:$I$89,5,0)</f>
        <v>146.46666666666661</v>
      </c>
      <c r="GW68" s="14">
        <f t="shared" si="51"/>
        <v>37.774512362133947</v>
      </c>
      <c r="GX68" s="22">
        <f t="shared" ref="GX68:GX131" si="82">(GV68+GW68)*0.475*44/12</f>
        <v>320.88672014182765</v>
      </c>
      <c r="GY68" s="62">
        <f t="shared" ref="GY68:GY131" si="83">GX68+(GP68+GQ68)*44/12</f>
        <v>614.22005347516097</v>
      </c>
      <c r="GZ68" s="62">
        <f ca="1">AVERAGE(OFFSET($GY$3,0,0,'Données projet'!$E$18+1,1))-AVERAGE(OFFSET($H$3,0,0,'Données projet'!$E$18+1,1))</f>
        <v>99.222094917553648</v>
      </c>
      <c r="HA68" s="62">
        <f t="shared" si="52"/>
        <v>98.371477396766352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1.3960597588490384E-5</v>
      </c>
      <c r="HJ68" s="24">
        <f t="shared" ref="HJ68:HJ131" si="84">SUM(HG68:HI68)</f>
        <v>1.3960597588490384E-5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16.142857142857142</v>
      </c>
      <c r="N69" s="14">
        <f>IF('Données projet'!$A$36&gt;35,N68+M69-V68,IF(A69&lt;'Données projet'!$A$36,$K$205^A69,IF(A69='Données projet'!$A$36,'Données projet'!$B$36,N68+M69-V68)))</f>
        <v>385.28571428571433</v>
      </c>
      <c r="O69" s="14">
        <f>N69*VLOOKUP('Données projet'!$B$9,Paramètres!$A$1:$I$89,3,0)*VLOOKUP('Données projet'!$B$9,Paramètres!$A$1:$I$89,5,0)</f>
        <v>180.3137142857143</v>
      </c>
      <c r="P69" s="14">
        <f t="shared" ref="P69:P132" si="87">EXP(-1.0587+0.8836*LN(O69)+0.284)</f>
        <v>45.391974740208404</v>
      </c>
      <c r="Q69" s="22">
        <f t="shared" si="54"/>
        <v>393.10407505348206</v>
      </c>
      <c r="R69" s="62">
        <f t="shared" si="55"/>
        <v>686.43740838681538</v>
      </c>
      <c r="S69" s="62">
        <f ca="1">AVERAGE(OFFSET($R$3,0,0,'Données projet'!$E$9+1,1))-AVERAGE(OFFSET($H$3,0,0,'Données projet'!$E$9+1,1))</f>
        <v>181.48161394994878</v>
      </c>
      <c r="T69" s="62">
        <f t="shared" ref="T69:T132" si="88">$T$3</f>
        <v>141.1874974464024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882.79644918103463</v>
      </c>
      <c r="AN69" s="62">
        <f ca="1">AVERAGE(OFFSET($AM$3,0,0,'Données projet'!$E$10+1,1))-AVERAGE(OFFSET($H$3,0,0,'Données projet'!$E$10+1,1))</f>
        <v>340.81036749486179</v>
      </c>
      <c r="AO69" s="62">
        <f t="shared" ref="AO69:AO132" si="90">$AO$3</f>
        <v>208.88199836488013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495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494.99999999999994</v>
      </c>
      <c r="BE69" s="14">
        <f>BD69*VLOOKUP('Données projet'!$B$11,Paramètres!$A$1:$I$89,3,0)*VLOOKUP('Données projet'!$B$11,Paramètres!$A$1:$I$89,5,0)</f>
        <v>296.01</v>
      </c>
      <c r="BF69" s="14">
        <f t="shared" ref="BF69:BF132" si="91">EXP(-1.0587+0.8836*LN(BE69)+0.284)</f>
        <v>70.339355522692159</v>
      </c>
      <c r="BG69" s="22">
        <f t="shared" si="61"/>
        <v>638.05846086868871</v>
      </c>
      <c r="BH69" s="62">
        <f t="shared" si="62"/>
        <v>931.39179420202208</v>
      </c>
      <c r="BI69" s="62">
        <f ca="1">AVERAGE(OFFSET($BH$3,0,0,'Données projet'!$E$11+1,1))-AVERAGE(OFFSET($H$3,0,0,'Données projet'!$E$11+1,1))</f>
        <v>257.96727373333601</v>
      </c>
      <c r="BJ69" s="62">
        <f t="shared" ref="BJ69:BJ132" si="92">$BJ$3</f>
        <v>194.52809733694494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2.22789348595541</v>
      </c>
      <c r="BR69" s="23">
        <f>EXP(-LN(2)/2)*BR68+(1-EXP(-LN(2)/2))/(LN(2)/2)*BL69*BO69*VLOOKUP('Données projet'!$B$11,Paramètres!$A$1:$I$89,3,0)*0.475*44/12</f>
        <v>5.4252992890720049E-5</v>
      </c>
      <c r="BS69" s="24">
        <f t="shared" si="63"/>
        <v>2.2279477389483007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243.57216</v>
      </c>
      <c r="CA69" s="14">
        <f t="shared" ref="CA69:CA132" si="93">EXP(-1.0587+0.8836*LN(BZ69)+0.284)</f>
        <v>59.207435995642292</v>
      </c>
      <c r="CB69" s="22">
        <f t="shared" si="64"/>
        <v>527.34112969241028</v>
      </c>
      <c r="CC69" s="62">
        <f t="shared" si="65"/>
        <v>820.67446302574353</v>
      </c>
      <c r="CD69" s="62">
        <f ca="1">AVERAGE(OFFSET($CC$3,0,0,'Données projet'!$E$12+1,1))-AVERAGE(OFFSET($H$3,0,0,'Données projet'!$E$12+1,1))</f>
        <v>292.83612296867898</v>
      </c>
      <c r="CE69" s="62">
        <f t="shared" ref="CE69:CE132" si="94">$CE$3</f>
        <v>180.48047802041276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1.0791539239271641E-4</v>
      </c>
      <c r="CN69" s="24">
        <f t="shared" si="66"/>
        <v>1.0791539239271641E-4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152.19999999999985</v>
      </c>
      <c r="CU69" s="18">
        <f>CT69*VLOOKUP('Données projet'!$B$13,Paramètres!$A$1:$I$89,3,0)*VLOOKUP('Données projet'!$B$13,Paramètres!$A$1:$I$89,5,0)</f>
        <v>173.32535999999982</v>
      </c>
      <c r="CV69" s="14">
        <f t="shared" ref="CV69:CV132" si="95">EXP(-1.0587+0.8836*LN(CU69)+0.284)</f>
        <v>43.83395183288394</v>
      </c>
      <c r="CW69" s="22">
        <f t="shared" si="67"/>
        <v>378.21913477560588</v>
      </c>
      <c r="CX69" s="62">
        <f t="shared" si="68"/>
        <v>671.55246810893914</v>
      </c>
      <c r="CY69" s="62">
        <f ca="1">AVERAGE(OFFSET($CX$3,0,0,'Données projet'!$E$13+1,1))-AVERAGE(OFFSET($H$3,0,0,'Données projet'!$E$13+1,1))</f>
        <v>192.93829651668403</v>
      </c>
      <c r="CZ69" s="62">
        <f t="shared" ref="CZ69:CZ132" si="96">$CZ$3</f>
        <v>76.592736352376903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5.2</v>
      </c>
      <c r="DO69" s="13">
        <f>IF('Données projet'!$A$166&gt;35,DO68+DN69-DW68,IF(A69&lt;'Données projet'!$A$166,$DL$205^A69,IF(A69='Données projet'!$A$166,'Données projet'!$B$166,DO68+DN69-DW68)))</f>
        <v>152.19999999999985</v>
      </c>
      <c r="DP69" s="18">
        <f>DO69*VLOOKUP('Données projet'!$B$14,Paramètres!$A$1:$I$89,3,0)*VLOOKUP('Données projet'!$B$14,Paramètres!$A$1:$I$89,5,0)</f>
        <v>102.09575999999988</v>
      </c>
      <c r="DQ69" s="14">
        <f t="shared" ref="DQ69:DQ132" si="97">EXP(-1.0587+0.8836*LN(DP69)+0.284)</f>
        <v>27.460679170931883</v>
      </c>
      <c r="DR69" s="22">
        <f t="shared" si="70"/>
        <v>225.64413155603947</v>
      </c>
      <c r="DS69" s="62">
        <f t="shared" si="71"/>
        <v>518.97746488937275</v>
      </c>
      <c r="DT69" s="62">
        <f ca="1">AVERAGE(OFFSET($DS$3,0,0,'Données projet'!$E$14+1,1))-AVERAGE(OFFSET($H$3,0,0,'Données projet'!$E$14+1,1))</f>
        <v>66.964554307546564</v>
      </c>
      <c r="DU69" s="62">
        <f t="shared" ref="DU69:DU132" si="98">$DU$3</f>
        <v>21.162700178818568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5.2</v>
      </c>
      <c r="EJ69" s="13">
        <f>IF('Données projet'!$A$192&gt;35,EJ68+EI69-ER68,IF(A69&lt;'Données projet'!$A$192,$EG$205^A69,IF(A69='Données projet'!$A$192,'Données projet'!$B$192,EJ68+EI69-ER68)))</f>
        <v>152.19999999999985</v>
      </c>
      <c r="EK69" s="18">
        <f>EJ69*VLOOKUP('Données projet'!$B$15,Paramètres!$A$1:$I$89,3,0)*VLOOKUP('Données projet'!$B$15,Paramètres!$A$1:$I$89,5,0)</f>
        <v>147.20783999999986</v>
      </c>
      <c r="EL69" s="14">
        <f t="shared" ref="EL69:EL132" si="99">EXP(-1.0587+0.8836*LN(EK69)+0.284)</f>
        <v>37.94336501087632</v>
      </c>
      <c r="EM69" s="22">
        <f t="shared" si="73"/>
        <v>322.4716820606094</v>
      </c>
      <c r="EN69" s="62">
        <f t="shared" si="74"/>
        <v>615.80501539394277</v>
      </c>
      <c r="EO69" s="62">
        <f ca="1">AVERAGE(OFFSET($EN$3,0,0,'Données projet'!$E$15+1,1))-AVERAGE(OFFSET($H$3,0,0,'Données projet'!$E$15+1,1))</f>
        <v>146.90952320473599</v>
      </c>
      <c r="EP69" s="62">
        <f t="shared" ref="EP69:EP132" si="100">$EP$3</f>
        <v>56.347130462109817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5.2</v>
      </c>
      <c r="FE69" s="13">
        <f>IF('Données projet'!$A$218&gt;35,FE68+FD69-FM68,IF(A69&lt;'Données projet'!$A$218,$FB$205^A69,IF(A69='Données projet'!$A$218,'Données projet'!$B$218,FE68+FD69-FM68)))</f>
        <v>152.19999999999985</v>
      </c>
      <c r="FF69" s="18">
        <f>FE69*VLOOKUP('Données projet'!$B$16,Paramètres!$A$1:$I$89,3,0)*VLOOKUP('Données projet'!$B$16,Paramètres!$A$1:$I$89,5,0)</f>
        <v>163.82807999999983</v>
      </c>
      <c r="FG69" s="14">
        <f t="shared" ref="FG69:FG132" si="101">EXP(-1.0587+0.8836*LN(FF69)+0.284)</f>
        <v>41.704757806252196</v>
      </c>
      <c r="FH69" s="22">
        <f t="shared" si="76"/>
        <v>357.96969251255558</v>
      </c>
      <c r="FI69" s="62">
        <f t="shared" si="77"/>
        <v>651.3030258458889</v>
      </c>
      <c r="FJ69" s="62">
        <f ca="1">AVERAGE(OFFSET($FI$3,0,0,'Données projet'!$E$16+1,1))-AVERAGE(OFFSET($H$3,0,0,'Données projet'!$E$16+1,1))</f>
        <v>176.21892815766847</v>
      </c>
      <c r="FK69" s="62">
        <f t="shared" ref="FK69:FK132" si="102">$FK$3</f>
        <v>69.239647548491234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2</v>
      </c>
      <c r="FZ69" s="13">
        <f>IF('Données projet'!$A$244&gt;35,FZ68+FY69-GH68,IF(A69&lt;'Données projet'!$A$244,$FW$205^A69,IF(A69='Données projet'!$A$244,'Données projet'!$B$244,FZ68+FY69-GH68)))</f>
        <v>141.99999999999991</v>
      </c>
      <c r="GA69" s="18">
        <f>FZ69*VLOOKUP('Données projet'!$B$17,Paramètres!$A$1:$I$89,3,0)*VLOOKUP('Données projet'!$B$17,Paramètres!$A$1:$I$89,5,0)</f>
        <v>112.97519999999994</v>
      </c>
      <c r="GB69" s="14">
        <f t="shared" ref="GB69:GB132" si="103">EXP(-1.0587+0.8836*LN(GA69)+0.284)</f>
        <v>30.030872399306435</v>
      </c>
      <c r="GC69" s="22">
        <f t="shared" si="79"/>
        <v>249.06890942879195</v>
      </c>
      <c r="GD69" s="62">
        <f t="shared" si="80"/>
        <v>542.4022427621253</v>
      </c>
      <c r="GE69" s="62">
        <f ca="1">AVERAGE(OFFSET($GD$3,0,0,'Données projet'!$E$17+1,1))-AVERAGE(OFFSET($H$3,0,0,'Données projet'!$E$17+1,1))</f>
        <v>70.834027458412379</v>
      </c>
      <c r="GF69" s="62">
        <f t="shared" ref="GF69:GF132" si="104">$GF$3</f>
        <v>74.346987922112362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4.7445560448521824E-5</v>
      </c>
      <c r="GO69" s="23">
        <f t="shared" si="81"/>
        <v>4.7445560448521824E-5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5.5555555555555554</v>
      </c>
      <c r="GU69" s="13">
        <f>IF('Données projet'!$A$270&gt;35,GU68+GT69-HC68,IF(A69&lt;'Données projet'!$A$270,$GR$205^A69,IF(A69='Données projet'!$A$270,'Données projet'!$B$270,GU68+GT69-HC68)))</f>
        <v>193.33333333333326</v>
      </c>
      <c r="GV69" s="18">
        <f>GU69*VLOOKUP('Données projet'!$B$18,Paramètres!$A$1:$I$89,3,0)*VLOOKUP('Données projet'!$B$18,Paramètres!$A$1:$I$89,5,0)</f>
        <v>150.79999999999995</v>
      </c>
      <c r="GW69" s="14">
        <f t="shared" ref="GW69:GW132" si="105">EXP(-1.0587+0.8836*LN(GV69)+0.284)</f>
        <v>38.760332171619183</v>
      </c>
      <c r="GX69" s="22">
        <f t="shared" si="82"/>
        <v>330.15091186556998</v>
      </c>
      <c r="GY69" s="62">
        <f t="shared" si="83"/>
        <v>623.4842451989033</v>
      </c>
      <c r="GZ69" s="62">
        <f ca="1">AVERAGE(OFFSET($GY$3,0,0,'Données projet'!$E$18+1,1))-AVERAGE(OFFSET($H$3,0,0,'Données projet'!$E$18+1,1))</f>
        <v>99.222094917553648</v>
      </c>
      <c r="HA69" s="62">
        <f t="shared" ref="HA69:HA132" si="106">$HA$3</f>
        <v>98.371477396766352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9.8716332242381127E-6</v>
      </c>
      <c r="HJ69" s="24">
        <f t="shared" si="84"/>
        <v>9.8716332242381127E-6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16.142857142857142</v>
      </c>
      <c r="N70" s="14">
        <f>IF('Données projet'!$A$36&gt;35,N69+M70-V69,IF(A70&lt;'Données projet'!$A$36,$K$205^A70,IF(A70='Données projet'!$A$36,'Données projet'!$B$36,N69+M70-V69)))</f>
        <v>401.4285714285715</v>
      </c>
      <c r="O70" s="14">
        <f>N70*VLOOKUP('Données projet'!$B$9,Paramètres!$A$1:$I$89,3,0)*VLOOKUP('Données projet'!$B$9,Paramètres!$A$1:$I$89,5,0)</f>
        <v>187.86857142857147</v>
      </c>
      <c r="P70" s="14">
        <f t="shared" si="87"/>
        <v>47.068415303981318</v>
      </c>
      <c r="Q70" s="22">
        <f t="shared" si="54"/>
        <v>409.18191855919605</v>
      </c>
      <c r="R70" s="62">
        <f t="shared" si="55"/>
        <v>702.51525189252936</v>
      </c>
      <c r="S70" s="62">
        <f ca="1">AVERAGE(OFFSET($R$3,0,0,'Données projet'!$E$9+1,1))-AVERAGE(OFFSET($H$3,0,0,'Données projet'!$E$9+1,1))</f>
        <v>181.48161394994878</v>
      </c>
      <c r="T70" s="62">
        <f t="shared" si="88"/>
        <v>141.1874974464024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900.34213188128092</v>
      </c>
      <c r="AN70" s="62">
        <f ca="1">AVERAGE(OFFSET($AM$3,0,0,'Données projet'!$E$10+1,1))-AVERAGE(OFFSET($H$3,0,0,'Données projet'!$E$10+1,1))</f>
        <v>340.81036749486179</v>
      </c>
      <c r="AO70" s="62">
        <f t="shared" si="90"/>
        <v>208.88199836488013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442.87499999999994</v>
      </c>
      <c r="BE70" s="14">
        <f>BD70*VLOOKUP('Données projet'!$B$11,Paramètres!$A$1:$I$89,3,0)*VLOOKUP('Données projet'!$B$11,Paramètres!$A$1:$I$89,5,0)</f>
        <v>264.83924999999999</v>
      </c>
      <c r="BF70" s="14">
        <f t="shared" si="91"/>
        <v>63.752800756768096</v>
      </c>
      <c r="BG70" s="22">
        <f t="shared" si="61"/>
        <v>572.29782173470437</v>
      </c>
      <c r="BH70" s="62">
        <f t="shared" si="62"/>
        <v>865.63115506803774</v>
      </c>
      <c r="BI70" s="62">
        <f ca="1">AVERAGE(OFFSET($BH$3,0,0,'Données projet'!$E$11+1,1))-AVERAGE(OFFSET($H$3,0,0,'Données projet'!$E$11+1,1))</f>
        <v>257.96727373333601</v>
      </c>
      <c r="BJ70" s="62">
        <f t="shared" si="92"/>
        <v>194.52809733694494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2.1669716214221326</v>
      </c>
      <c r="BR70" s="23">
        <f>EXP(-LN(2)/2)*BR69+(1-EXP(-LN(2)/2))/(LN(2)/2)*BL70*BO70*VLOOKUP('Données projet'!$B$11,Paramètres!$A$1:$I$89,3,0)*0.475*44/12</f>
        <v>3.83626591726937E-5</v>
      </c>
      <c r="BS70" s="24">
        <f t="shared" si="63"/>
        <v>2.1670099840813055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250.99151999999995</v>
      </c>
      <c r="CA70" s="14">
        <f t="shared" si="93"/>
        <v>60.798211000769406</v>
      </c>
      <c r="CB70" s="22">
        <f t="shared" si="64"/>
        <v>543.03378149300659</v>
      </c>
      <c r="CC70" s="62">
        <f t="shared" si="65"/>
        <v>836.36711482633996</v>
      </c>
      <c r="CD70" s="62">
        <f ca="1">AVERAGE(OFFSET($CC$3,0,0,'Données projet'!$E$12+1,1))-AVERAGE(OFFSET($H$3,0,0,'Données projet'!$E$12+1,1))</f>
        <v>292.83612296867898</v>
      </c>
      <c r="CE70" s="62">
        <f t="shared" si="94"/>
        <v>180.48047802041276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7.6307705755296936E-5</v>
      </c>
      <c r="CN70" s="24">
        <f t="shared" si="66"/>
        <v>7.6307705755296936E-5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157.39999999999984</v>
      </c>
      <c r="CU70" s="18">
        <f>CT70*VLOOKUP('Données projet'!$B$13,Paramètres!$A$1:$I$89,3,0)*VLOOKUP('Données projet'!$B$13,Paramètres!$A$1:$I$89,5,0)</f>
        <v>179.2471199999998</v>
      </c>
      <c r="CV70" s="14">
        <f t="shared" si="95"/>
        <v>45.154643398751531</v>
      </c>
      <c r="CW70" s="22">
        <f t="shared" si="67"/>
        <v>390.83307125282516</v>
      </c>
      <c r="CX70" s="62">
        <f t="shared" si="68"/>
        <v>684.16640458615848</v>
      </c>
      <c r="CY70" s="62">
        <f ca="1">AVERAGE(OFFSET($CX$3,0,0,'Données projet'!$E$13+1,1))-AVERAGE(OFFSET($H$3,0,0,'Données projet'!$E$13+1,1))</f>
        <v>192.93829651668403</v>
      </c>
      <c r="CZ70" s="62">
        <f t="shared" si="96"/>
        <v>76.592736352376903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5.2</v>
      </c>
      <c r="DO70" s="13">
        <f>IF('Données projet'!$A$166&gt;35,DO69+DN70-DW69,IF(A70&lt;'Données projet'!$A$166,$DL$205^A70,IF(A70='Données projet'!$A$166,'Données projet'!$B$166,DO69+DN70-DW69)))</f>
        <v>157.39999999999984</v>
      </c>
      <c r="DP70" s="18">
        <f>DO70*VLOOKUP('Données projet'!$B$14,Paramètres!$A$1:$I$89,3,0)*VLOOKUP('Données projet'!$B$14,Paramètres!$A$1:$I$89,5,0)</f>
        <v>105.58391999999989</v>
      </c>
      <c r="DQ70" s="14">
        <f t="shared" si="97"/>
        <v>28.288053520210592</v>
      </c>
      <c r="DR70" s="22">
        <f t="shared" si="70"/>
        <v>233.16035388103322</v>
      </c>
      <c r="DS70" s="62">
        <f t="shared" si="71"/>
        <v>526.49368721436656</v>
      </c>
      <c r="DT70" s="62">
        <f ca="1">AVERAGE(OFFSET($DS$3,0,0,'Données projet'!$E$14+1,1))-AVERAGE(OFFSET($H$3,0,0,'Données projet'!$E$14+1,1))</f>
        <v>66.964554307546564</v>
      </c>
      <c r="DU70" s="62">
        <f t="shared" si="98"/>
        <v>21.162700178818568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5.2</v>
      </c>
      <c r="EJ70" s="13">
        <f>IF('Données projet'!$A$192&gt;35,EJ69+EI70-ER69,IF(A70&lt;'Données projet'!$A$192,$EG$205^A70,IF(A70='Données projet'!$A$192,'Données projet'!$B$192,EJ69+EI70-ER69)))</f>
        <v>157.39999999999984</v>
      </c>
      <c r="EK70" s="18">
        <f>EJ70*VLOOKUP('Données projet'!$B$15,Paramètres!$A$1:$I$89,3,0)*VLOOKUP('Données projet'!$B$15,Paramètres!$A$1:$I$89,5,0)</f>
        <v>152.23727999999983</v>
      </c>
      <c r="EL70" s="14">
        <f t="shared" si="99"/>
        <v>39.08657660953731</v>
      </c>
      <c r="EM70" s="22">
        <f t="shared" si="73"/>
        <v>333.22238359494384</v>
      </c>
      <c r="EN70" s="62">
        <f t="shared" si="74"/>
        <v>626.55571692827721</v>
      </c>
      <c r="EO70" s="62">
        <f ca="1">AVERAGE(OFFSET($EN$3,0,0,'Données projet'!$E$15+1,1))-AVERAGE(OFFSET($H$3,0,0,'Données projet'!$E$15+1,1))</f>
        <v>146.90952320473599</v>
      </c>
      <c r="EP70" s="62">
        <f t="shared" si="100"/>
        <v>56.347130462109817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5.2</v>
      </c>
      <c r="FE70" s="13">
        <f>IF('Données projet'!$A$218&gt;35,FE69+FD70-FM69,IF(A70&lt;'Données projet'!$A$218,$FB$205^A70,IF(A70='Données projet'!$A$218,'Données projet'!$B$218,FE69+FD70-FM69)))</f>
        <v>157.39999999999984</v>
      </c>
      <c r="FF70" s="18">
        <f>FE70*VLOOKUP('Données projet'!$B$16,Paramètres!$A$1:$I$89,3,0)*VLOOKUP('Données projet'!$B$16,Paramètres!$A$1:$I$89,5,0)</f>
        <v>169.42535999999981</v>
      </c>
      <c r="FG70" s="14">
        <f t="shared" si="101"/>
        <v>42.961297990017918</v>
      </c>
      <c r="FH70" s="22">
        <f t="shared" si="76"/>
        <v>369.90676266594755</v>
      </c>
      <c r="FI70" s="62">
        <f t="shared" si="77"/>
        <v>663.24009599928081</v>
      </c>
      <c r="FJ70" s="62">
        <f ca="1">AVERAGE(OFFSET($FI$3,0,0,'Données projet'!$E$16+1,1))-AVERAGE(OFFSET($H$3,0,0,'Données projet'!$E$16+1,1))</f>
        <v>176.21892815766847</v>
      </c>
      <c r="FK70" s="62">
        <f t="shared" si="102"/>
        <v>69.239647548491234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2</v>
      </c>
      <c r="FZ70" s="13">
        <f>IF('Données projet'!$A$244&gt;35,FZ69+FY70-GH69,IF(A70&lt;'Données projet'!$A$244,$FW$205^A70,IF(A70='Données projet'!$A$244,'Données projet'!$B$244,FZ69+FY70-GH69)))</f>
        <v>143.99999999999991</v>
      </c>
      <c r="GA70" s="18">
        <f>FZ70*VLOOKUP('Données projet'!$B$17,Paramètres!$A$1:$I$89,3,0)*VLOOKUP('Données projet'!$B$17,Paramètres!$A$1:$I$89,5,0)</f>
        <v>114.56639999999993</v>
      </c>
      <c r="GB70" s="14">
        <f t="shared" si="103"/>
        <v>30.404303956519186</v>
      </c>
      <c r="GC70" s="22">
        <f t="shared" si="79"/>
        <v>252.49064272427077</v>
      </c>
      <c r="GD70" s="62">
        <f t="shared" si="80"/>
        <v>545.82397605760411</v>
      </c>
      <c r="GE70" s="62">
        <f ca="1">AVERAGE(OFFSET($GD$3,0,0,'Données projet'!$E$17+1,1))-AVERAGE(OFFSET($H$3,0,0,'Données projet'!$E$17+1,1))</f>
        <v>70.834027458412379</v>
      </c>
      <c r="GF70" s="62">
        <f t="shared" si="104"/>
        <v>74.346987922112362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3.3549077530346035E-5</v>
      </c>
      <c r="GO70" s="23">
        <f t="shared" si="81"/>
        <v>3.3549077530346035E-5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5.5555555555555554</v>
      </c>
      <c r="GU70" s="13">
        <f>IF('Données projet'!$A$270&gt;35,GU69+GT70-HC69,IF(A70&lt;'Données projet'!$A$270,$GR$205^A70,IF(A70='Données projet'!$A$270,'Données projet'!$B$270,GU69+GT70-HC69)))</f>
        <v>198.8888888888888</v>
      </c>
      <c r="GV70" s="18">
        <f>GU70*VLOOKUP('Données projet'!$B$18,Paramètres!$A$1:$I$89,3,0)*VLOOKUP('Données projet'!$B$18,Paramètres!$A$1:$I$89,5,0)</f>
        <v>155.13333333333327</v>
      </c>
      <c r="GW70" s="14">
        <f t="shared" si="105"/>
        <v>39.742859613510198</v>
      </c>
      <c r="GX70" s="22">
        <f t="shared" si="82"/>
        <v>339.40936938241902</v>
      </c>
      <c r="GY70" s="62">
        <f t="shared" si="83"/>
        <v>632.74270271575233</v>
      </c>
      <c r="GZ70" s="62">
        <f ca="1">AVERAGE(OFFSET($GY$3,0,0,'Données projet'!$E$18+1,1))-AVERAGE(OFFSET($H$3,0,0,'Données projet'!$E$18+1,1))</f>
        <v>99.222094917553648</v>
      </c>
      <c r="HA70" s="62">
        <f t="shared" si="106"/>
        <v>98.371477396766352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6.9802987942451919E-6</v>
      </c>
      <c r="HJ70" s="24">
        <f t="shared" si="84"/>
        <v>6.9802987942451919E-6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16.142857142857142</v>
      </c>
      <c r="N71" s="14">
        <f>IF('Données projet'!$A$36&gt;35,N70+M71-V70,IF(A71&lt;'Données projet'!$A$36,$K$205^A71,IF(A71='Données projet'!$A$36,'Données projet'!$B$36,N70+M71-V70)))</f>
        <v>417.57142857142867</v>
      </c>
      <c r="O71" s="14">
        <f>N71*VLOOKUP('Données projet'!$B$9,Paramètres!$A$1:$I$89,3,0)*VLOOKUP('Données projet'!$B$9,Paramètres!$A$1:$I$89,5,0)</f>
        <v>195.42342857142864</v>
      </c>
      <c r="P71" s="14">
        <f t="shared" si="87"/>
        <v>48.737024802067147</v>
      </c>
      <c r="Q71" s="22">
        <f t="shared" si="54"/>
        <v>425.24612295883844</v>
      </c>
      <c r="R71" s="62">
        <f t="shared" si="55"/>
        <v>718.5794562921717</v>
      </c>
      <c r="S71" s="62">
        <f ca="1">AVERAGE(OFFSET($R$3,0,0,'Données projet'!$E$9+1,1))-AVERAGE(OFFSET($H$3,0,0,'Données projet'!$E$9+1,1))</f>
        <v>181.48161394994878</v>
      </c>
      <c r="T71" s="62">
        <f t="shared" si="88"/>
        <v>141.1874974464024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917.87728819466042</v>
      </c>
      <c r="AN71" s="62">
        <f ca="1">AVERAGE(OFFSET($AM$3,0,0,'Données projet'!$E$10+1,1))-AVERAGE(OFFSET($H$3,0,0,'Données projet'!$E$10+1,1))</f>
        <v>340.81036749486179</v>
      </c>
      <c r="AO71" s="62">
        <f t="shared" si="90"/>
        <v>208.88199836488013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455.74999999999994</v>
      </c>
      <c r="BE71" s="14">
        <f>BD71*VLOOKUP('Données projet'!$B$11,Paramètres!$A$1:$I$89,3,0)*VLOOKUP('Données projet'!$B$11,Paramètres!$A$1:$I$89,5,0)</f>
        <v>272.5385</v>
      </c>
      <c r="BF71" s="14">
        <f t="shared" si="91"/>
        <v>65.387709293034902</v>
      </c>
      <c r="BG71" s="22">
        <f t="shared" si="61"/>
        <v>588.55481451870241</v>
      </c>
      <c r="BH71" s="62">
        <f t="shared" si="62"/>
        <v>881.88814785203567</v>
      </c>
      <c r="BI71" s="62">
        <f ca="1">AVERAGE(OFFSET($BH$3,0,0,'Données projet'!$E$11+1,1))-AVERAGE(OFFSET($H$3,0,0,'Données projet'!$E$11+1,1))</f>
        <v>257.96727373333601</v>
      </c>
      <c r="BJ71" s="62">
        <f t="shared" si="92"/>
        <v>194.52809733694494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2.1077156684782596</v>
      </c>
      <c r="BR71" s="23">
        <f>EXP(-LN(2)/2)*BR70+(1-EXP(-LN(2)/2))/(LN(2)/2)*BL71*BO71*VLOOKUP('Données projet'!$B$11,Paramètres!$A$1:$I$89,3,0)*0.475*44/12</f>
        <v>2.7126496445360025E-5</v>
      </c>
      <c r="BS71" s="24">
        <f t="shared" si="63"/>
        <v>2.1077427949747052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258.41087999999996</v>
      </c>
      <c r="CA71" s="14">
        <f t="shared" si="93"/>
        <v>62.383521020316756</v>
      </c>
      <c r="CB71" s="22">
        <f t="shared" si="64"/>
        <v>558.71691511038489</v>
      </c>
      <c r="CC71" s="62">
        <f t="shared" si="65"/>
        <v>852.05024844371815</v>
      </c>
      <c r="CD71" s="62">
        <f ca="1">AVERAGE(OFFSET($CC$3,0,0,'Données projet'!$E$12+1,1))-AVERAGE(OFFSET($H$3,0,0,'Données projet'!$E$12+1,1))</f>
        <v>292.83612296867898</v>
      </c>
      <c r="CE71" s="62">
        <f t="shared" si="94"/>
        <v>180.48047802041276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5.3957696196358205E-5</v>
      </c>
      <c r="CN71" s="24">
        <f t="shared" si="66"/>
        <v>5.3957696196358205E-5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162.59999999999982</v>
      </c>
      <c r="CU71" s="18">
        <f>CT71*VLOOKUP('Données projet'!$B$13,Paramètres!$A$1:$I$89,3,0)*VLOOKUP('Données projet'!$B$13,Paramètres!$A$1:$I$89,5,0)</f>
        <v>185.1688799999998</v>
      </c>
      <c r="CV71" s="14">
        <f t="shared" si="95"/>
        <v>46.470265037709233</v>
      </c>
      <c r="CW71" s="22">
        <f t="shared" si="67"/>
        <v>403.43817760734322</v>
      </c>
      <c r="CX71" s="62">
        <f t="shared" si="68"/>
        <v>696.77151094067654</v>
      </c>
      <c r="CY71" s="62">
        <f ca="1">AVERAGE(OFFSET($CX$3,0,0,'Données projet'!$E$13+1,1))-AVERAGE(OFFSET($H$3,0,0,'Données projet'!$E$13+1,1))</f>
        <v>192.93829651668403</v>
      </c>
      <c r="CZ71" s="62">
        <f t="shared" si="96"/>
        <v>76.592736352376903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5.2</v>
      </c>
      <c r="DO71" s="13">
        <f>IF('Données projet'!$A$166&gt;35,DO70+DN71-DW70,IF(A71&lt;'Données projet'!$A$166,$DL$205^A71,IF(A71='Données projet'!$A$166,'Données projet'!$B$166,DO70+DN71-DW70)))</f>
        <v>162.59999999999982</v>
      </c>
      <c r="DP71" s="18">
        <f>DO71*VLOOKUP('Données projet'!$B$14,Paramètres!$A$1:$I$89,3,0)*VLOOKUP('Données projet'!$B$14,Paramètres!$A$1:$I$89,5,0)</f>
        <v>109.07207999999989</v>
      </c>
      <c r="DQ71" s="14">
        <f t="shared" si="97"/>
        <v>29.112251709675458</v>
      </c>
      <c r="DR71" s="22">
        <f t="shared" si="70"/>
        <v>240.67104439435124</v>
      </c>
      <c r="DS71" s="62">
        <f t="shared" si="71"/>
        <v>534.00437772768453</v>
      </c>
      <c r="DT71" s="62">
        <f ca="1">AVERAGE(OFFSET($DS$3,0,0,'Données projet'!$E$14+1,1))-AVERAGE(OFFSET($H$3,0,0,'Données projet'!$E$14+1,1))</f>
        <v>66.964554307546564</v>
      </c>
      <c r="DU71" s="62">
        <f t="shared" si="98"/>
        <v>21.162700178818568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5.2</v>
      </c>
      <c r="EJ71" s="13">
        <f>IF('Données projet'!$A$192&gt;35,EJ70+EI71-ER70,IF(A71&lt;'Données projet'!$A$192,$EG$205^A71,IF(A71='Données projet'!$A$192,'Données projet'!$B$192,EJ70+EI71-ER70)))</f>
        <v>162.59999999999982</v>
      </c>
      <c r="EK71" s="18">
        <f>EJ71*VLOOKUP('Données projet'!$B$15,Paramètres!$A$1:$I$89,3,0)*VLOOKUP('Données projet'!$B$15,Paramètres!$A$1:$I$89,5,0)</f>
        <v>157.26671999999982</v>
      </c>
      <c r="EL71" s="14">
        <f t="shared" si="99"/>
        <v>40.225399598929073</v>
      </c>
      <c r="EM71" s="22">
        <f t="shared" si="73"/>
        <v>343.96544163480115</v>
      </c>
      <c r="EN71" s="62">
        <f t="shared" si="74"/>
        <v>637.29877496813447</v>
      </c>
      <c r="EO71" s="62">
        <f ca="1">AVERAGE(OFFSET($EN$3,0,0,'Données projet'!$E$15+1,1))-AVERAGE(OFFSET($H$3,0,0,'Données projet'!$E$15+1,1))</f>
        <v>146.90952320473599</v>
      </c>
      <c r="EP71" s="62">
        <f t="shared" si="100"/>
        <v>56.347130462109817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5.2</v>
      </c>
      <c r="FE71" s="13">
        <f>IF('Données projet'!$A$218&gt;35,FE70+FD71-FM70,IF(A71&lt;'Données projet'!$A$218,$FB$205^A71,IF(A71='Données projet'!$A$218,'Données projet'!$B$218,FE70+FD71-FM70)))</f>
        <v>162.59999999999982</v>
      </c>
      <c r="FF71" s="18">
        <f>FE71*VLOOKUP('Données projet'!$B$16,Paramètres!$A$1:$I$89,3,0)*VLOOKUP('Données projet'!$B$16,Paramètres!$A$1:$I$89,5,0)</f>
        <v>175.0226399999998</v>
      </c>
      <c r="FG71" s="14">
        <f t="shared" si="101"/>
        <v>44.213014513925586</v>
      </c>
      <c r="FH71" s="22">
        <f t="shared" si="76"/>
        <v>381.83543161175339</v>
      </c>
      <c r="FI71" s="62">
        <f t="shared" si="77"/>
        <v>675.16876494508665</v>
      </c>
      <c r="FJ71" s="62">
        <f ca="1">AVERAGE(OFFSET($FI$3,0,0,'Données projet'!$E$16+1,1))-AVERAGE(OFFSET($H$3,0,0,'Données projet'!$E$16+1,1))</f>
        <v>176.21892815766847</v>
      </c>
      <c r="FK71" s="62">
        <f t="shared" si="102"/>
        <v>69.239647548491234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2</v>
      </c>
      <c r="FZ71" s="13">
        <f>IF('Données projet'!$A$244&gt;35,FZ70+FY71-GH70,IF(A71&lt;'Données projet'!$A$244,$FW$205^A71,IF(A71='Données projet'!$A$244,'Données projet'!$B$244,FZ70+FY71-GH70)))</f>
        <v>145.99999999999991</v>
      </c>
      <c r="GA71" s="18">
        <f>FZ71*VLOOKUP('Données projet'!$B$17,Paramètres!$A$1:$I$89,3,0)*VLOOKUP('Données projet'!$B$17,Paramètres!$A$1:$I$89,5,0)</f>
        <v>116.15759999999993</v>
      </c>
      <c r="GB71" s="14">
        <f t="shared" si="103"/>
        <v>30.777132266613055</v>
      </c>
      <c r="GC71" s="22">
        <f t="shared" si="79"/>
        <v>255.91132536435097</v>
      </c>
      <c r="GD71" s="62">
        <f t="shared" si="80"/>
        <v>549.24465869768426</v>
      </c>
      <c r="GE71" s="62">
        <f ca="1">AVERAGE(OFFSET($GD$3,0,0,'Données projet'!$E$17+1,1))-AVERAGE(OFFSET($H$3,0,0,'Données projet'!$E$17+1,1))</f>
        <v>70.834027458412379</v>
      </c>
      <c r="GF71" s="62">
        <f t="shared" si="104"/>
        <v>74.346987922112362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2.3722780224260912E-5</v>
      </c>
      <c r="GO71" s="23">
        <f t="shared" si="81"/>
        <v>2.3722780224260912E-5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5.5555555555555554</v>
      </c>
      <c r="GU71" s="13">
        <f>IF('Données projet'!$A$270&gt;35,GU70+GT71-HC70,IF(A71&lt;'Données projet'!$A$270,$GR$205^A71,IF(A71='Données projet'!$A$270,'Données projet'!$B$270,GU70+GT71-HC70)))</f>
        <v>204.44444444444434</v>
      </c>
      <c r="GV71" s="18">
        <f>GU71*VLOOKUP('Données projet'!$B$18,Paramètres!$A$1:$I$89,3,0)*VLOOKUP('Données projet'!$B$18,Paramètres!$A$1:$I$89,5,0)</f>
        <v>159.46666666666658</v>
      </c>
      <c r="GW71" s="14">
        <f t="shared" si="105"/>
        <v>40.722197218456166</v>
      </c>
      <c r="GX71" s="22">
        <f t="shared" si="82"/>
        <v>348.66227126658879</v>
      </c>
      <c r="GY71" s="62">
        <f t="shared" si="83"/>
        <v>641.9956045999221</v>
      </c>
      <c r="GZ71" s="62">
        <f ca="1">AVERAGE(OFFSET($GY$3,0,0,'Données projet'!$E$18+1,1))-AVERAGE(OFFSET($H$3,0,0,'Données projet'!$E$18+1,1))</f>
        <v>99.222094917553648</v>
      </c>
      <c r="HA71" s="62">
        <f t="shared" si="106"/>
        <v>98.371477396766352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4.9358166121190564E-6</v>
      </c>
      <c r="HJ71" s="24">
        <f t="shared" si="84"/>
        <v>4.9358166121190564E-6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16.142857142857142</v>
      </c>
      <c r="N72" s="14">
        <f>IF('Données projet'!$A$36&gt;35,N71+M72-V71,IF(A72&lt;'Données projet'!$A$36,$K$205^A72,IF(A72='Données projet'!$A$36,'Données projet'!$B$36,N71+M72-V71)))</f>
        <v>433.71428571428584</v>
      </c>
      <c r="O72" s="14">
        <f>N72*VLOOKUP('Données projet'!$B$9,Paramètres!$A$1:$I$89,3,0)*VLOOKUP('Données projet'!$B$9,Paramètres!$A$1:$I$89,5,0)</f>
        <v>202.97828571428576</v>
      </c>
      <c r="P72" s="14">
        <f t="shared" si="87"/>
        <v>50.398140625785402</v>
      </c>
      <c r="Q72" s="22">
        <f t="shared" si="54"/>
        <v>441.29727587562394</v>
      </c>
      <c r="R72" s="62">
        <f t="shared" si="55"/>
        <v>734.63060920895725</v>
      </c>
      <c r="S72" s="62">
        <f ca="1">AVERAGE(OFFSET($R$3,0,0,'Données projet'!$E$9+1,1))-AVERAGE(OFFSET($H$3,0,0,'Données projet'!$E$9+1,1))</f>
        <v>181.48161394994878</v>
      </c>
      <c r="T72" s="62">
        <f t="shared" si="88"/>
        <v>141.1874974464024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935.40225505936314</v>
      </c>
      <c r="AN72" s="62">
        <f ca="1">AVERAGE(OFFSET($AM$3,0,0,'Données projet'!$E$10+1,1))-AVERAGE(OFFSET($H$3,0,0,'Données projet'!$E$10+1,1))</f>
        <v>340.81036749486179</v>
      </c>
      <c r="AO72" s="62">
        <f t="shared" si="90"/>
        <v>208.88199836488013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468.62499999999994</v>
      </c>
      <c r="BE72" s="14">
        <f>BD72*VLOOKUP('Données projet'!$B$11,Paramètres!$A$1:$I$89,3,0)*VLOOKUP('Données projet'!$B$11,Paramètres!$A$1:$I$89,5,0)</f>
        <v>280.23775000000001</v>
      </c>
      <c r="BF72" s="14">
        <f t="shared" si="91"/>
        <v>67.017249808465152</v>
      </c>
      <c r="BG72" s="22">
        <f t="shared" si="61"/>
        <v>604.80245799974352</v>
      </c>
      <c r="BH72" s="62">
        <f t="shared" si="62"/>
        <v>898.1357913330769</v>
      </c>
      <c r="BI72" s="62">
        <f ca="1">AVERAGE(OFFSET($BH$3,0,0,'Données projet'!$E$11+1,1))-AVERAGE(OFFSET($H$3,0,0,'Données projet'!$E$11+1,1))</f>
        <v>257.96727373333601</v>
      </c>
      <c r="BJ72" s="62">
        <f t="shared" si="92"/>
        <v>194.52809733694494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2.0500800726837718</v>
      </c>
      <c r="BR72" s="23">
        <f>EXP(-LN(2)/2)*BR71+(1-EXP(-LN(2)/2))/(LN(2)/2)*BL72*BO72*VLOOKUP('Données projet'!$B$11,Paramètres!$A$1:$I$89,3,0)*0.475*44/12</f>
        <v>1.918132958634685E-5</v>
      </c>
      <c r="BS72" s="24">
        <f t="shared" si="63"/>
        <v>2.0500992540133582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265.83023999999995</v>
      </c>
      <c r="CA72" s="14">
        <f t="shared" si="93"/>
        <v>63.963540982526439</v>
      </c>
      <c r="CB72" s="22">
        <f t="shared" si="64"/>
        <v>574.39083521123348</v>
      </c>
      <c r="CC72" s="62">
        <f t="shared" si="65"/>
        <v>867.72416854456674</v>
      </c>
      <c r="CD72" s="62">
        <f ca="1">AVERAGE(OFFSET($CC$3,0,0,'Données projet'!$E$12+1,1))-AVERAGE(OFFSET($H$3,0,0,'Données projet'!$E$12+1,1))</f>
        <v>292.83612296867898</v>
      </c>
      <c r="CE72" s="62">
        <f t="shared" si="94"/>
        <v>180.48047802041276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3.8153852877648468E-5</v>
      </c>
      <c r="CN72" s="24">
        <f t="shared" si="66"/>
        <v>3.8153852877648468E-5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167.79999999999981</v>
      </c>
      <c r="CU72" s="18">
        <f>CT72*VLOOKUP('Données projet'!$B$13,Paramètres!$A$1:$I$89,3,0)*VLOOKUP('Données projet'!$B$13,Paramètres!$A$1:$I$89,5,0)</f>
        <v>191.09063999999978</v>
      </c>
      <c r="CV72" s="14">
        <f t="shared" si="95"/>
        <v>47.78099748653559</v>
      </c>
      <c r="CW72" s="22">
        <f t="shared" si="67"/>
        <v>416.03476862238244</v>
      </c>
      <c r="CX72" s="62">
        <f t="shared" si="68"/>
        <v>709.3681019557157</v>
      </c>
      <c r="CY72" s="62">
        <f ca="1">AVERAGE(OFFSET($CX$3,0,0,'Données projet'!$E$13+1,1))-AVERAGE(OFFSET($H$3,0,0,'Données projet'!$E$13+1,1))</f>
        <v>192.93829651668403</v>
      </c>
      <c r="CZ72" s="62">
        <f t="shared" si="96"/>
        <v>76.592736352376903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5.2</v>
      </c>
      <c r="DO72" s="13">
        <f>IF('Données projet'!$A$166&gt;35,DO71+DN72-DW71,IF(A72&lt;'Données projet'!$A$166,$DL$205^A72,IF(A72='Données projet'!$A$166,'Données projet'!$B$166,DO71+DN72-DW71)))</f>
        <v>167.79999999999981</v>
      </c>
      <c r="DP72" s="18">
        <f>DO72*VLOOKUP('Données projet'!$B$14,Paramètres!$A$1:$I$89,3,0)*VLOOKUP('Données projet'!$B$14,Paramètres!$A$1:$I$89,5,0)</f>
        <v>112.56023999999989</v>
      </c>
      <c r="DQ72" s="14">
        <f t="shared" si="97"/>
        <v>29.933386965592501</v>
      </c>
      <c r="DR72" s="22">
        <f t="shared" si="70"/>
        <v>248.17640029840672</v>
      </c>
      <c r="DS72" s="62">
        <f t="shared" si="71"/>
        <v>541.50973363174</v>
      </c>
      <c r="DT72" s="62">
        <f ca="1">AVERAGE(OFFSET($DS$3,0,0,'Données projet'!$E$14+1,1))-AVERAGE(OFFSET($H$3,0,0,'Données projet'!$E$14+1,1))</f>
        <v>66.964554307546564</v>
      </c>
      <c r="DU72" s="62">
        <f t="shared" si="98"/>
        <v>21.162700178818568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5.2</v>
      </c>
      <c r="EJ72" s="13">
        <f>IF('Données projet'!$A$192&gt;35,EJ71+EI72-ER71,IF(A72&lt;'Données projet'!$A$192,$EG$205^A72,IF(A72='Données projet'!$A$192,'Données projet'!$B$192,EJ71+EI72-ER71)))</f>
        <v>167.79999999999981</v>
      </c>
      <c r="EK72" s="18">
        <f>EJ72*VLOOKUP('Données projet'!$B$15,Paramètres!$A$1:$I$89,3,0)*VLOOKUP('Données projet'!$B$15,Paramètres!$A$1:$I$89,5,0)</f>
        <v>162.29615999999984</v>
      </c>
      <c r="EL72" s="14">
        <f t="shared" si="99"/>
        <v>41.359990427678127</v>
      </c>
      <c r="EM72" s="22">
        <f t="shared" si="73"/>
        <v>354.70112866153909</v>
      </c>
      <c r="EN72" s="62">
        <f t="shared" si="74"/>
        <v>648.03446199487234</v>
      </c>
      <c r="EO72" s="62">
        <f ca="1">AVERAGE(OFFSET($EN$3,0,0,'Données projet'!$E$15+1,1))-AVERAGE(OFFSET($H$3,0,0,'Données projet'!$E$15+1,1))</f>
        <v>146.90952320473599</v>
      </c>
      <c r="EP72" s="62">
        <f t="shared" si="100"/>
        <v>56.347130462109817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5.2</v>
      </c>
      <c r="FE72" s="13">
        <f>IF('Données projet'!$A$218&gt;35,FE71+FD72-FM71,IF(A72&lt;'Données projet'!$A$218,$FB$205^A72,IF(A72='Données projet'!$A$218,'Données projet'!$B$218,FE71+FD72-FM71)))</f>
        <v>167.79999999999981</v>
      </c>
      <c r="FF72" s="18">
        <f>FE72*VLOOKUP('Données projet'!$B$16,Paramètres!$A$1:$I$89,3,0)*VLOOKUP('Données projet'!$B$16,Paramètres!$A$1:$I$89,5,0)</f>
        <v>180.61991999999981</v>
      </c>
      <c r="FG72" s="14">
        <f t="shared" si="101"/>
        <v>45.460079335630581</v>
      </c>
      <c r="FH72" s="22">
        <f t="shared" si="76"/>
        <v>393.75599884288954</v>
      </c>
      <c r="FI72" s="62">
        <f t="shared" si="77"/>
        <v>687.0893321762228</v>
      </c>
      <c r="FJ72" s="62">
        <f ca="1">AVERAGE(OFFSET($FI$3,0,0,'Données projet'!$E$16+1,1))-AVERAGE(OFFSET($H$3,0,0,'Données projet'!$E$16+1,1))</f>
        <v>176.21892815766847</v>
      </c>
      <c r="FK72" s="62">
        <f t="shared" si="102"/>
        <v>69.239647548491234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2</v>
      </c>
      <c r="FZ72" s="13">
        <f>IF('Données projet'!$A$244&gt;35,FZ71+FY72-GH71,IF(A72&lt;'Données projet'!$A$244,$FW$205^A72,IF(A72='Données projet'!$A$244,'Données projet'!$B$244,FZ71+FY72-GH71)))</f>
        <v>147.99999999999991</v>
      </c>
      <c r="GA72" s="18">
        <f>FZ72*VLOOKUP('Données projet'!$B$17,Paramètres!$A$1:$I$89,3,0)*VLOOKUP('Données projet'!$B$17,Paramètres!$A$1:$I$89,5,0)</f>
        <v>117.74879999999995</v>
      </c>
      <c r="GB72" s="14">
        <f t="shared" si="103"/>
        <v>31.149366548366</v>
      </c>
      <c r="GC72" s="22">
        <f t="shared" si="79"/>
        <v>259.33097340507067</v>
      </c>
      <c r="GD72" s="62">
        <f t="shared" si="80"/>
        <v>552.66430673840398</v>
      </c>
      <c r="GE72" s="62">
        <f ca="1">AVERAGE(OFFSET($GD$3,0,0,'Données projet'!$E$17+1,1))-AVERAGE(OFFSET($H$3,0,0,'Données projet'!$E$17+1,1))</f>
        <v>70.834027458412379</v>
      </c>
      <c r="GF72" s="62">
        <f t="shared" si="104"/>
        <v>74.346987922112362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1.6774538765173017E-5</v>
      </c>
      <c r="GO72" s="23">
        <f t="shared" si="81"/>
        <v>1.6774538765173017E-5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>
        <f>VLOOKUP(A72,'Données projet'!$A$269:$I$289,2,0)</f>
        <v>210</v>
      </c>
      <c r="GS72" s="13">
        <f>VLOOKUP(A72,'Données projet'!$A$269:$I$289,9,0)</f>
        <v>5.5555555555555554</v>
      </c>
      <c r="GT72" s="13">
        <f t="array" ref="GT72">INDEX(GS:GS,MIN(IF(ISNUMBER(GS72:GS268),ROW(GS72:GS268),"")))</f>
        <v>5.5555555555555554</v>
      </c>
      <c r="GU72" s="13">
        <f>IF('Données projet'!$A$270&gt;35,GU71+GT72-HC71,IF(A72&lt;'Données projet'!$A$270,$GR$205^A72,IF(A72='Données projet'!$A$270,'Données projet'!$B$270,GU71+GT72-HC71)))</f>
        <v>209.99999999999989</v>
      </c>
      <c r="GV72" s="18">
        <f>GU72*VLOOKUP('Données projet'!$B$18,Paramètres!$A$1:$I$89,3,0)*VLOOKUP('Données projet'!$B$18,Paramètres!$A$1:$I$89,5,0)</f>
        <v>163.79999999999993</v>
      </c>
      <c r="GW72" s="14">
        <f t="shared" si="105"/>
        <v>41.698441627605291</v>
      </c>
      <c r="GX72" s="22">
        <f t="shared" si="82"/>
        <v>357.90978583474572</v>
      </c>
      <c r="GY72" s="62">
        <f t="shared" si="83"/>
        <v>651.24311916807903</v>
      </c>
      <c r="GZ72" s="62">
        <f ca="1">AVERAGE(OFFSET($GY$3,0,0,'Données projet'!$E$18+1,1))-AVERAGE(OFFSET($H$3,0,0,'Données projet'!$E$18+1,1))</f>
        <v>99.222094917553648</v>
      </c>
      <c r="HA72" s="62">
        <f t="shared" si="106"/>
        <v>98.371477396766352</v>
      </c>
      <c r="HB72" s="16">
        <f>IF(ISNA(VLOOKUP(A72,'Données projet'!$A$269:$I$289,3,0)),0,VLOOKUP(A72,'Données projet'!$A$269:$I$289,3,0))</f>
        <v>9</v>
      </c>
      <c r="HC72" s="16">
        <f>IF(ISNA(VLOOKUP(A72,'Données projet'!$A$269:$I$289,4,0)),0,VLOOKUP(A72,'Données projet'!$A$269:$I$289,4,0))</f>
        <v>210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3.4901493971225959E-6</v>
      </c>
      <c r="HJ72" s="24">
        <f t="shared" si="84"/>
        <v>3.4901493971225959E-6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16.142857142857142</v>
      </c>
      <c r="N73" s="14">
        <f>IF('Données projet'!$A$36&gt;35,N72+M73-V72,IF(A73&lt;'Données projet'!$A$36,$K$205^A73,IF(A73='Données projet'!$A$36,'Données projet'!$B$36,N72+M73-V72)))</f>
        <v>449.857142857143</v>
      </c>
      <c r="O73" s="14">
        <f>N73*VLOOKUP('Données projet'!$B$9,Paramètres!$A$1:$I$89,3,0)*VLOOKUP('Données projet'!$B$9,Paramètres!$A$1:$I$89,5,0)</f>
        <v>210.53314285714293</v>
      </c>
      <c r="P73" s="14">
        <f t="shared" si="87"/>
        <v>52.052073628089957</v>
      </c>
      <c r="Q73" s="22">
        <f t="shared" si="54"/>
        <v>457.33591871178055</v>
      </c>
      <c r="R73" s="62">
        <f t="shared" si="55"/>
        <v>750.66925204511381</v>
      </c>
      <c r="S73" s="62">
        <f ca="1">AVERAGE(OFFSET($R$3,0,0,'Données projet'!$E$9+1,1))-AVERAGE(OFFSET($H$3,0,0,'Données projet'!$E$9+1,1))</f>
        <v>181.48161394994878</v>
      </c>
      <c r="T73" s="62">
        <f t="shared" si="88"/>
        <v>141.1874974464024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952.91734953545892</v>
      </c>
      <c r="AN73" s="62">
        <f ca="1">AVERAGE(OFFSET($AM$3,0,0,'Données projet'!$E$10+1,1))-AVERAGE(OFFSET($H$3,0,0,'Données projet'!$E$10+1,1))</f>
        <v>340.81036749486179</v>
      </c>
      <c r="AO73" s="62">
        <f t="shared" si="90"/>
        <v>208.88199836488013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481.49999999999994</v>
      </c>
      <c r="BE73" s="14">
        <f>BD73*VLOOKUP('Données projet'!$B$11,Paramètres!$A$1:$I$89,3,0)*VLOOKUP('Données projet'!$B$11,Paramètres!$A$1:$I$89,5,0)</f>
        <v>287.93700000000001</v>
      </c>
      <c r="BF73" s="14">
        <f t="shared" si="91"/>
        <v>68.641586729718156</v>
      </c>
      <c r="BG73" s="22">
        <f t="shared" si="61"/>
        <v>621.04103855425899</v>
      </c>
      <c r="BH73" s="62">
        <f t="shared" si="62"/>
        <v>914.37437188759236</v>
      </c>
      <c r="BI73" s="62">
        <f ca="1">AVERAGE(OFFSET($BH$3,0,0,'Données projet'!$E$11+1,1))-AVERAGE(OFFSET($H$3,0,0,'Données projet'!$E$11+1,1))</f>
        <v>257.96727373333601</v>
      </c>
      <c r="BJ73" s="62">
        <f t="shared" si="92"/>
        <v>194.52809733694494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1.9940205252872085</v>
      </c>
      <c r="BR73" s="23">
        <f>EXP(-LN(2)/2)*BR72+(1-EXP(-LN(2)/2))/(LN(2)/2)*BL73*BO73*VLOOKUP('Données projet'!$B$11,Paramètres!$A$1:$I$89,3,0)*0.475*44/12</f>
        <v>1.3563248222680012E-5</v>
      </c>
      <c r="BS73" s="24">
        <f t="shared" si="63"/>
        <v>1.9940340885354313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273.24959999999999</v>
      </c>
      <c r="CA73" s="14">
        <f t="shared" si="93"/>
        <v>65.538435495514321</v>
      </c>
      <c r="CB73" s="22">
        <f t="shared" si="64"/>
        <v>590.05582848802067</v>
      </c>
      <c r="CC73" s="62">
        <f t="shared" si="65"/>
        <v>883.38916182135404</v>
      </c>
      <c r="CD73" s="62">
        <f ca="1">AVERAGE(OFFSET($CC$3,0,0,'Données projet'!$E$12+1,1))-AVERAGE(OFFSET($H$3,0,0,'Données projet'!$E$12+1,1))</f>
        <v>292.83612296867898</v>
      </c>
      <c r="CE73" s="62">
        <f t="shared" si="94"/>
        <v>180.48047802041276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2.6978848098179102E-5</v>
      </c>
      <c r="CN73" s="24">
        <f t="shared" si="66"/>
        <v>2.6978848098179102E-5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173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172.9999999999998</v>
      </c>
      <c r="CU73" s="18">
        <f>CT73*VLOOKUP('Données projet'!$B$13,Paramètres!$A$1:$I$89,3,0)*VLOOKUP('Données projet'!$B$13,Paramètres!$A$1:$I$89,5,0)</f>
        <v>197.01239999999979</v>
      </c>
      <c r="CV73" s="14">
        <f t="shared" si="95"/>
        <v>49.087009643867518</v>
      </c>
      <c r="CW73" s="22">
        <f t="shared" si="67"/>
        <v>428.62313846306893</v>
      </c>
      <c r="CX73" s="62">
        <f t="shared" si="68"/>
        <v>721.95647179640218</v>
      </c>
      <c r="CY73" s="62">
        <f ca="1">AVERAGE(OFFSET($CX$3,0,0,'Données projet'!$E$13+1,1))-AVERAGE(OFFSET($H$3,0,0,'Données projet'!$E$13+1,1))</f>
        <v>192.93829651668403</v>
      </c>
      <c r="CZ73" s="62">
        <f t="shared" si="96"/>
        <v>76.592736352376903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14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173</v>
      </c>
      <c r="DM73" s="13">
        <f>VLOOKUP(A73,'Données projet'!$A$165:$I$185,9,0)</f>
        <v>5.2</v>
      </c>
      <c r="DN73" s="13">
        <f t="array" ref="DN73">INDEX(DM:DM,MIN(IF(ISNUMBER(DM73:DM269),ROW(DM73:DM269),"")))</f>
        <v>5.2</v>
      </c>
      <c r="DO73" s="13">
        <f>IF('Données projet'!$A$166&gt;35,DO72+DN73-DW72,IF(A73&lt;'Données projet'!$A$166,$DL$205^A73,IF(A73='Données projet'!$A$166,'Données projet'!$B$166,DO72+DN73-DW72)))</f>
        <v>172.9999999999998</v>
      </c>
      <c r="DP73" s="18">
        <f>DO73*VLOOKUP('Données projet'!$B$14,Paramètres!$A$1:$I$89,3,0)*VLOOKUP('Données projet'!$B$14,Paramètres!$A$1:$I$89,5,0)</f>
        <v>116.04839999999987</v>
      </c>
      <c r="DQ73" s="14">
        <f t="shared" si="97"/>
        <v>30.751565097980826</v>
      </c>
      <c r="DR73" s="22">
        <f t="shared" si="70"/>
        <v>255.67660587898308</v>
      </c>
      <c r="DS73" s="62">
        <f t="shared" si="71"/>
        <v>549.00993921231634</v>
      </c>
      <c r="DT73" s="62">
        <f ca="1">AVERAGE(OFFSET($DS$3,0,0,'Données projet'!$E$14+1,1))-AVERAGE(OFFSET($H$3,0,0,'Données projet'!$E$14+1,1))</f>
        <v>66.964554307546564</v>
      </c>
      <c r="DU73" s="62">
        <f t="shared" si="98"/>
        <v>21.162700178818568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14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173</v>
      </c>
      <c r="EH73" s="13">
        <f>VLOOKUP(A73,'Données projet'!$A$191:$I$211,9,0)</f>
        <v>5.2</v>
      </c>
      <c r="EI73" s="13">
        <f t="array" ref="EI73">INDEX(EH:EH,MIN(IF(ISNUMBER(EH73:EH269),ROW(EH73:EH269),"")))</f>
        <v>5.2</v>
      </c>
      <c r="EJ73" s="13">
        <f>IF('Données projet'!$A$192&gt;35,EJ72+EI73-ER72,IF(A73&lt;'Données projet'!$A$192,$EG$205^A73,IF(A73='Données projet'!$A$192,'Données projet'!$B$192,EJ72+EI73-ER72)))</f>
        <v>172.9999999999998</v>
      </c>
      <c r="EK73" s="18">
        <f>EJ73*VLOOKUP('Données projet'!$B$15,Paramètres!$A$1:$I$89,3,0)*VLOOKUP('Données projet'!$B$15,Paramètres!$A$1:$I$89,5,0)</f>
        <v>167.32559999999981</v>
      </c>
      <c r="EL73" s="14">
        <f t="shared" si="99"/>
        <v>42.490495297127566</v>
      </c>
      <c r="EM73" s="22">
        <f t="shared" si="73"/>
        <v>365.42969930916348</v>
      </c>
      <c r="EN73" s="62">
        <f t="shared" si="74"/>
        <v>658.7630326424968</v>
      </c>
      <c r="EO73" s="62">
        <f ca="1">AVERAGE(OFFSET($EN$3,0,0,'Données projet'!$E$15+1,1))-AVERAGE(OFFSET($H$3,0,0,'Données projet'!$E$15+1,1))</f>
        <v>146.90952320473599</v>
      </c>
      <c r="EP73" s="62">
        <f t="shared" si="100"/>
        <v>56.347130462109817</v>
      </c>
      <c r="EQ73" s="16">
        <f>IF(ISNA(VLOOKUP(A73,'Données projet'!$A$191:$I$211,3,0)),0,VLOOKUP(A73,'Données projet'!$A$191:$I$211,3,0))</f>
        <v>10</v>
      </c>
      <c r="ER73" s="16">
        <f>IF(ISNA(VLOOKUP(A73,'Données projet'!$A$191:$I$211,4,0)),0,VLOOKUP(A73,'Données projet'!$A$191:$I$211,4,0))</f>
        <v>14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173</v>
      </c>
      <c r="FC73" s="13">
        <f>VLOOKUP(A73,'Données projet'!$A$217:$I$237,9,0)</f>
        <v>5.2</v>
      </c>
      <c r="FD73" s="13">
        <f t="array" ref="FD73">INDEX(FC:FC,MIN(IF(ISNUMBER(FC73:FC269),ROW(FC73:FC269),"")))</f>
        <v>5.2</v>
      </c>
      <c r="FE73" s="13">
        <f>IF('Données projet'!$A$218&gt;35,FE72+FD73-FM72,IF(A73&lt;'Données projet'!$A$218,$FB$205^A73,IF(A73='Données projet'!$A$218,'Données projet'!$B$218,FE72+FD73-FM72)))</f>
        <v>172.9999999999998</v>
      </c>
      <c r="FF73" s="18">
        <f>FE73*VLOOKUP('Données projet'!$B$16,Paramètres!$A$1:$I$89,3,0)*VLOOKUP('Données projet'!$B$16,Paramètres!$A$1:$I$89,5,0)</f>
        <v>186.21719999999976</v>
      </c>
      <c r="FG73" s="14">
        <f t="shared" si="101"/>
        <v>46.70265314967321</v>
      </c>
      <c r="FH73" s="22">
        <f t="shared" si="76"/>
        <v>405.66874423568044</v>
      </c>
      <c r="FI73" s="62">
        <f t="shared" si="77"/>
        <v>699.00207756901375</v>
      </c>
      <c r="FJ73" s="62">
        <f ca="1">AVERAGE(OFFSET($FI$3,0,0,'Données projet'!$E$16+1,1))-AVERAGE(OFFSET($H$3,0,0,'Données projet'!$E$16+1,1))</f>
        <v>176.21892815766847</v>
      </c>
      <c r="FK73" s="62">
        <f t="shared" si="102"/>
        <v>69.239647548491234</v>
      </c>
      <c r="FL73" s="16">
        <f>IF(ISNA(VLOOKUP(A73,'Données projet'!$A$217:$I$237,3,0)),0,VLOOKUP(A73,'Données projet'!$A$217:$I$237,3,0))</f>
        <v>10</v>
      </c>
      <c r="FM73" s="16">
        <f>IF(ISNA(VLOOKUP(A73,'Données projet'!$A$217:$I$237,4,0)),0,VLOOKUP(A73,'Données projet'!$A$217:$I$237,4,0))</f>
        <v>14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150</v>
      </c>
      <c r="FX73" s="13">
        <f>VLOOKUP(A73,'Données projet'!$A$243:$I$263,9,0)</f>
        <v>2</v>
      </c>
      <c r="FY73" s="13">
        <f t="array" ref="FY73">INDEX(FX:FX,MIN(IF(ISNUMBER(FX73:FX269),ROW(FX73:FX269),"")))</f>
        <v>2</v>
      </c>
      <c r="FZ73" s="13">
        <f>IF('Données projet'!$A$244&gt;35,FZ72+FY73-GH72,IF(A73&lt;'Données projet'!$A$244,$FW$205^A73,IF(A73='Données projet'!$A$244,'Données projet'!$B$244,FZ72+FY73-GH72)))</f>
        <v>149.99999999999991</v>
      </c>
      <c r="GA73" s="18">
        <f>FZ73*VLOOKUP('Données projet'!$B$17,Paramètres!$A$1:$I$89,3,0)*VLOOKUP('Données projet'!$B$17,Paramètres!$A$1:$I$89,5,0)</f>
        <v>119.33999999999993</v>
      </c>
      <c r="GB73" s="14">
        <f t="shared" si="103"/>
        <v>31.521015757082434</v>
      </c>
      <c r="GC73" s="22">
        <f t="shared" si="79"/>
        <v>262.74960244358505</v>
      </c>
      <c r="GD73" s="62">
        <f t="shared" si="80"/>
        <v>556.08293577691836</v>
      </c>
      <c r="GE73" s="62">
        <f ca="1">AVERAGE(OFFSET($GD$3,0,0,'Données projet'!$E$17+1,1))-AVERAGE(OFFSET($H$3,0,0,'Données projet'!$E$17+1,1))</f>
        <v>70.834027458412379</v>
      </c>
      <c r="GF73" s="62">
        <f t="shared" si="104"/>
        <v>74.346987922112362</v>
      </c>
      <c r="GG73" s="16">
        <f>IF(ISNA(VLOOKUP(A73,'Données projet'!$A$243:$I$263,3,0)),0,VLOOKUP(A73,'Données projet'!$A$243:$I$263,3,0))</f>
        <v>11</v>
      </c>
      <c r="GH73" s="16">
        <f>IF(ISNA(VLOOKUP(A73,'Données projet'!$A$243:$I$263,4,0)),0,VLOOKUP(A73,'Données projet'!$A$243:$I$263,4,0))</f>
        <v>5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1.1861390112130456E-5</v>
      </c>
      <c r="GO73" s="23">
        <f t="shared" si="81"/>
        <v>1.1861390112130456E-5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-1.1368683772161603E-13</v>
      </c>
      <c r="GV73" s="18">
        <f>GU73*VLOOKUP('Données projet'!$B$18,Paramètres!$A$1:$I$89,3,0)*VLOOKUP('Données projet'!$B$18,Paramètres!$A$1:$I$89,5,0)</f>
        <v>-8.8675733422860506E-14</v>
      </c>
      <c r="GW73" s="14" t="e">
        <f t="shared" si="105"/>
        <v>#NUM!</v>
      </c>
      <c r="GX73" s="22" t="e">
        <f t="shared" si="82"/>
        <v>#NUM!</v>
      </c>
      <c r="GY73" s="62" t="e">
        <f t="shared" si="83"/>
        <v>#NUM!</v>
      </c>
      <c r="GZ73" s="62">
        <f ca="1">AVERAGE(OFFSET($GY$3,0,0,'Données projet'!$E$18+1,1))-AVERAGE(OFFSET($H$3,0,0,'Données projet'!$E$18+1,1))</f>
        <v>99.222094917553648</v>
      </c>
      <c r="HA73" s="62">
        <f t="shared" si="106"/>
        <v>98.371477396766352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2.4679083060595282E-6</v>
      </c>
      <c r="HJ73" s="24">
        <f t="shared" si="84"/>
        <v>2.4679083060595282E-6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466</v>
      </c>
      <c r="L74" s="13">
        <f>VLOOKUP(A74,'Données projet'!$A$35:$I$55,9,0)</f>
        <v>16.142857142857142</v>
      </c>
      <c r="M74" s="13">
        <f t="array" ref="M74">INDEX(L:L,MIN(IF(ISNUMBER(L74:L270),ROW(L74:L270),"")))</f>
        <v>16.142857142857142</v>
      </c>
      <c r="N74" s="14">
        <f>IF('Données projet'!$A$36&gt;35,N73+M74-V73,IF(A74&lt;'Données projet'!$A$36,$K$205^A74,IF(A74='Données projet'!$A$36,'Données projet'!$B$36,N73+M74-V73)))</f>
        <v>466.00000000000017</v>
      </c>
      <c r="O74" s="14">
        <f>N74*VLOOKUP('Données projet'!$B$9,Paramètres!$A$1:$I$89,3,0)*VLOOKUP('Données projet'!$B$9,Paramètres!$A$1:$I$89,5,0)</f>
        <v>218.08800000000008</v>
      </c>
      <c r="P74" s="14">
        <f t="shared" si="87"/>
        <v>53.699111087780629</v>
      </c>
      <c r="Q74" s="22">
        <f t="shared" si="54"/>
        <v>473.36255181121805</v>
      </c>
      <c r="R74" s="62">
        <f t="shared" si="55"/>
        <v>766.69588514455131</v>
      </c>
      <c r="S74" s="62">
        <f ca="1">AVERAGE(OFFSET($R$3,0,0,'Données projet'!$E$9+1,1))-AVERAGE(OFFSET($H$3,0,0,'Données projet'!$E$9+1,1))</f>
        <v>181.48161394994878</v>
      </c>
      <c r="T74" s="62">
        <f t="shared" si="88"/>
        <v>141.1874974464024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91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285.54239999999999</v>
      </c>
      <c r="AK74" s="14">
        <f t="shared" si="89"/>
        <v>68.136937829389524</v>
      </c>
      <c r="AL74" s="22">
        <f t="shared" si="58"/>
        <v>615.99151338618674</v>
      </c>
      <c r="AM74" s="62">
        <f t="shared" si="59"/>
        <v>909.32484671952011</v>
      </c>
      <c r="AN74" s="62">
        <f ca="1">AVERAGE(OFFSET($AM$3,0,0,'Données projet'!$E$10+1,1))-AVERAGE(OFFSET($H$3,0,0,'Données projet'!$E$10+1,1))</f>
        <v>340.81036749486179</v>
      </c>
      <c r="AO74" s="62">
        <f t="shared" si="90"/>
        <v>208.88199836488013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494.37499999999994</v>
      </c>
      <c r="BE74" s="14">
        <f>BD74*VLOOKUP('Données projet'!$B$11,Paramètres!$A$1:$I$89,3,0)*VLOOKUP('Données projet'!$B$11,Paramètres!$A$1:$I$89,5,0)</f>
        <v>295.63625000000002</v>
      </c>
      <c r="BF74" s="14">
        <f t="shared" si="91"/>
        <v>70.260875189476423</v>
      </c>
      <c r="BG74" s="22">
        <f t="shared" si="61"/>
        <v>637.27082637167155</v>
      </c>
      <c r="BH74" s="62">
        <f t="shared" si="62"/>
        <v>930.6041597050048</v>
      </c>
      <c r="BI74" s="62">
        <f ca="1">AVERAGE(OFFSET($BH$3,0,0,'Données projet'!$E$11+1,1))-AVERAGE(OFFSET($H$3,0,0,'Données projet'!$E$11+1,1))</f>
        <v>257.96727373333601</v>
      </c>
      <c r="BJ74" s="62">
        <f t="shared" si="92"/>
        <v>194.52809733694494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1.9394939291622477</v>
      </c>
      <c r="BR74" s="23">
        <f>EXP(-LN(2)/2)*BR73+(1-EXP(-LN(2)/2))/(LN(2)/2)*BL74*BO74*VLOOKUP('Données projet'!$B$11,Paramètres!$A$1:$I$89,3,0)*0.475*44/12</f>
        <v>9.5906647931734249E-6</v>
      </c>
      <c r="BS74" s="24">
        <f t="shared" si="63"/>
        <v>1.9395035198270409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254.79167999999996</v>
      </c>
      <c r="CA74" s="14">
        <f t="shared" si="93"/>
        <v>61.610870508448471</v>
      </c>
      <c r="CB74" s="22">
        <f t="shared" si="64"/>
        <v>551.067775468881</v>
      </c>
      <c r="CC74" s="62">
        <f t="shared" si="65"/>
        <v>844.40110880221437</v>
      </c>
      <c r="CD74" s="62">
        <f ca="1">AVERAGE(OFFSET($CC$3,0,0,'Données projet'!$E$12+1,1))-AVERAGE(OFFSET($H$3,0,0,'Données projet'!$E$12+1,1))</f>
        <v>292.83612296867898</v>
      </c>
      <c r="CE74" s="62">
        <f t="shared" si="94"/>
        <v>180.48047802041276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1.9076926438824234E-5</v>
      </c>
      <c r="CN74" s="24">
        <f t="shared" si="66"/>
        <v>1.9076926438824234E-5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163.79999999999981</v>
      </c>
      <c r="CU74" s="18">
        <f>CT74*VLOOKUP('Données projet'!$B$13,Paramètres!$A$1:$I$89,3,0)*VLOOKUP('Données projet'!$B$13,Paramètres!$A$1:$I$89,5,0)</f>
        <v>186.5354399999998</v>
      </c>
      <c r="CV74" s="14">
        <f t="shared" si="95"/>
        <v>46.773169376075522</v>
      </c>
      <c r="CW74" s="22">
        <f t="shared" si="67"/>
        <v>406.34582799666447</v>
      </c>
      <c r="CX74" s="62">
        <f t="shared" si="68"/>
        <v>699.67916132999778</v>
      </c>
      <c r="CY74" s="62">
        <f ca="1">AVERAGE(OFFSET($CX$3,0,0,'Données projet'!$E$13+1,1))-AVERAGE(OFFSET($H$3,0,0,'Données projet'!$E$13+1,1))</f>
        <v>192.93829651668403</v>
      </c>
      <c r="CZ74" s="62">
        <f t="shared" si="96"/>
        <v>76.592736352376903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4.8</v>
      </c>
      <c r="DO74" s="13">
        <f>IF('Données projet'!$A$166&gt;35,DO73+DN74-DW73,IF(A74&lt;'Données projet'!$A$166,$DL$205^A74,IF(A74='Données projet'!$A$166,'Données projet'!$B$166,DO73+DN74-DW73)))</f>
        <v>163.79999999999981</v>
      </c>
      <c r="DP74" s="18">
        <f>DO74*VLOOKUP('Données projet'!$B$14,Paramètres!$A$1:$I$89,3,0)*VLOOKUP('Données projet'!$B$14,Paramètres!$A$1:$I$89,5,0)</f>
        <v>109.87703999999987</v>
      </c>
      <c r="DQ74" s="14">
        <f t="shared" si="97"/>
        <v>29.302012351998354</v>
      </c>
      <c r="DR74" s="22">
        <f t="shared" si="70"/>
        <v>242.40351617973022</v>
      </c>
      <c r="DS74" s="62">
        <f t="shared" si="71"/>
        <v>535.73684951306359</v>
      </c>
      <c r="DT74" s="62">
        <f ca="1">AVERAGE(OFFSET($DS$3,0,0,'Données projet'!$E$14+1,1))-AVERAGE(OFFSET($H$3,0,0,'Données projet'!$E$14+1,1))</f>
        <v>66.964554307546564</v>
      </c>
      <c r="DU74" s="62">
        <f t="shared" si="98"/>
        <v>21.162700178818568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4.8</v>
      </c>
      <c r="EJ74" s="13">
        <f>IF('Données projet'!$A$192&gt;35,EJ73+EI74-ER73,IF(A74&lt;'Données projet'!$A$192,$EG$205^A74,IF(A74='Données projet'!$A$192,'Données projet'!$B$192,EJ73+EI74-ER73)))</f>
        <v>163.79999999999981</v>
      </c>
      <c r="EK74" s="18">
        <f>EJ74*VLOOKUP('Données projet'!$B$15,Paramètres!$A$1:$I$89,3,0)*VLOOKUP('Données projet'!$B$15,Paramètres!$A$1:$I$89,5,0)</f>
        <v>158.42735999999982</v>
      </c>
      <c r="EL74" s="14">
        <f t="shared" si="99"/>
        <v>40.487598405868177</v>
      </c>
      <c r="EM74" s="22">
        <f t="shared" si="73"/>
        <v>346.44355255688674</v>
      </c>
      <c r="EN74" s="62">
        <f t="shared" si="74"/>
        <v>639.77688589022</v>
      </c>
      <c r="EO74" s="62">
        <f ca="1">AVERAGE(OFFSET($EN$3,0,0,'Données projet'!$E$15+1,1))-AVERAGE(OFFSET($H$3,0,0,'Données projet'!$E$15+1,1))</f>
        <v>146.90952320473599</v>
      </c>
      <c r="EP74" s="62">
        <f t="shared" si="100"/>
        <v>56.347130462109817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4.8</v>
      </c>
      <c r="FE74" s="13">
        <f>IF('Données projet'!$A$218&gt;35,FE73+FD74-FM73,IF(A74&lt;'Données projet'!$A$218,$FB$205^A74,IF(A74='Données projet'!$A$218,'Données projet'!$B$218,FE73+FD74-FM73)))</f>
        <v>163.79999999999981</v>
      </c>
      <c r="FF74" s="18">
        <f>FE74*VLOOKUP('Données projet'!$B$16,Paramètres!$A$1:$I$89,3,0)*VLOOKUP('Données projet'!$B$16,Paramètres!$A$1:$I$89,5,0)</f>
        <v>176.31431999999978</v>
      </c>
      <c r="FG74" s="14">
        <f t="shared" si="101"/>
        <v>44.501205551735474</v>
      </c>
      <c r="FH74" s="22">
        <f t="shared" si="76"/>
        <v>384.58704033593887</v>
      </c>
      <c r="FI74" s="62">
        <f t="shared" si="77"/>
        <v>677.92037366927218</v>
      </c>
      <c r="FJ74" s="62">
        <f ca="1">AVERAGE(OFFSET($FI$3,0,0,'Données projet'!$E$16+1,1))-AVERAGE(OFFSET($H$3,0,0,'Données projet'!$E$16+1,1))</f>
        <v>176.21892815766847</v>
      </c>
      <c r="FK74" s="62">
        <f t="shared" si="102"/>
        <v>69.239647548491234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2</v>
      </c>
      <c r="FZ74" s="13">
        <f>IF('Données projet'!$A$244&gt;35,FZ73+FY74-GH73,IF(A74&lt;'Données projet'!$A$244,$FW$205^A74,IF(A74='Données projet'!$A$244,'Données projet'!$B$244,FZ73+FY74-GH73)))</f>
        <v>146.99999999999991</v>
      </c>
      <c r="GA74" s="18">
        <f>FZ74*VLOOKUP('Données projet'!$B$17,Paramètres!$A$1:$I$89,3,0)*VLOOKUP('Données projet'!$B$17,Paramètres!$A$1:$I$89,5,0)</f>
        <v>116.95319999999994</v>
      </c>
      <c r="GB74" s="14">
        <f t="shared" si="103"/>
        <v>30.963323095281638</v>
      </c>
      <c r="GC74" s="22">
        <f t="shared" si="79"/>
        <v>257.62127772428204</v>
      </c>
      <c r="GD74" s="62">
        <f t="shared" si="80"/>
        <v>550.95461105761535</v>
      </c>
      <c r="GE74" s="62">
        <f ca="1">AVERAGE(OFFSET($GD$3,0,0,'Données projet'!$E$17+1,1))-AVERAGE(OFFSET($H$3,0,0,'Données projet'!$E$17+1,1))</f>
        <v>70.834027458412379</v>
      </c>
      <c r="GF74" s="62">
        <f t="shared" si="104"/>
        <v>74.346987922112362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8.3872693825865087E-6</v>
      </c>
      <c r="GO74" s="23">
        <f t="shared" si="81"/>
        <v>8.3872693825865087E-6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-1.1368683772161603E-13</v>
      </c>
      <c r="GV74" s="18">
        <f>GU74*VLOOKUP('Données projet'!$B$18,Paramètres!$A$1:$I$89,3,0)*VLOOKUP('Données projet'!$B$18,Paramètres!$A$1:$I$89,5,0)</f>
        <v>-8.8675733422860506E-14</v>
      </c>
      <c r="GW74" s="14" t="e">
        <f t="shared" si="105"/>
        <v>#NUM!</v>
      </c>
      <c r="GX74" s="22" t="e">
        <f t="shared" si="82"/>
        <v>#NUM!</v>
      </c>
      <c r="GY74" s="62" t="e">
        <f t="shared" si="83"/>
        <v>#NUM!</v>
      </c>
      <c r="GZ74" s="62">
        <f ca="1">AVERAGE(OFFSET($GY$3,0,0,'Données projet'!$E$18+1,1))-AVERAGE(OFFSET($H$3,0,0,'Données projet'!$E$18+1,1))</f>
        <v>99.222094917553648</v>
      </c>
      <c r="HA74" s="62">
        <f t="shared" si="106"/>
        <v>98.371477396766352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1.745074698561298E-6</v>
      </c>
      <c r="HJ74" s="24">
        <f t="shared" si="84"/>
        <v>1.745074698561298E-6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</v>
      </c>
      <c r="L75" s="13">
        <f>VLOOKUP(A75,'Données projet'!$A$35:$I$55,9,0)</f>
        <v>15</v>
      </c>
      <c r="M75" s="13">
        <f t="array" ref="M75">INDEX(L:L,MIN(IF(ISNUMBER(L75:L271),ROW(L75:L271),"")))</f>
        <v>15</v>
      </c>
      <c r="N75" s="14">
        <f>IF('Données projet'!$A$36&gt;35,N74+M75-V74,IF(A75&lt;'Données projet'!$A$36,$K$205^A75,IF(A75='Données projet'!$A$36,'Données projet'!$B$36,N74+M75-V74)))</f>
        <v>390.00000000000017</v>
      </c>
      <c r="O75" s="14">
        <f>N75*VLOOKUP('Données projet'!$B$9,Paramètres!$A$1:$I$89,3,0)*VLOOKUP('Données projet'!$B$9,Paramètres!$A$1:$I$89,5,0)</f>
        <v>182.5200000000001</v>
      </c>
      <c r="P75" s="14">
        <f t="shared" si="87"/>
        <v>45.882385280285632</v>
      </c>
      <c r="Q75" s="22">
        <f t="shared" si="54"/>
        <v>397.80082102983096</v>
      </c>
      <c r="R75" s="62">
        <f t="shared" si="55"/>
        <v>691.13415436316427</v>
      </c>
      <c r="S75" s="62">
        <f ca="1">AVERAGE(OFFSET($R$3,0,0,'Données projet'!$E$9+1,1))-AVERAGE(OFFSET($H$3,0,0,'Données projet'!$E$9+1,1))</f>
        <v>181.48161394994878</v>
      </c>
      <c r="T75" s="62">
        <f t="shared" si="88"/>
        <v>141.1874974464024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293.24880000000002</v>
      </c>
      <c r="AK75" s="14">
        <f t="shared" si="89"/>
        <v>69.759283249126327</v>
      </c>
      <c r="AL75" s="22">
        <f t="shared" si="58"/>
        <v>632.23907832556176</v>
      </c>
      <c r="AM75" s="62">
        <f t="shared" si="59"/>
        <v>925.57241165889513</v>
      </c>
      <c r="AN75" s="62">
        <f ca="1">AVERAGE(OFFSET($AM$3,0,0,'Données projet'!$E$10+1,1))-AVERAGE(OFFSET($H$3,0,0,'Données projet'!$E$10+1,1))</f>
        <v>340.81036749486179</v>
      </c>
      <c r="AO75" s="62">
        <f t="shared" si="90"/>
        <v>208.88199836488013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507.24999999999994</v>
      </c>
      <c r="BE75" s="14">
        <f>BD75*VLOOKUP('Données projet'!$B$11,Paramètres!$A$1:$I$89,3,0)*VLOOKUP('Données projet'!$B$11,Paramètres!$A$1:$I$89,5,0)</f>
        <v>303.33549999999997</v>
      </c>
      <c r="BF75" s="14">
        <f t="shared" si="91"/>
        <v>71.875261779950591</v>
      </c>
      <c r="BG75" s="22">
        <f t="shared" si="61"/>
        <v>653.49207676674712</v>
      </c>
      <c r="BH75" s="62">
        <f t="shared" si="62"/>
        <v>946.82541010008049</v>
      </c>
      <c r="BI75" s="62">
        <f ca="1">AVERAGE(OFFSET($BH$3,0,0,'Données projet'!$E$11+1,1))-AVERAGE(OFFSET($H$3,0,0,'Données projet'!$E$11+1,1))</f>
        <v>257.96727373333601</v>
      </c>
      <c r="BJ75" s="62">
        <f t="shared" si="92"/>
        <v>194.52809733694494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1.8864583656757532</v>
      </c>
      <c r="BR75" s="23">
        <f>EXP(-LN(2)/2)*BR74+(1-EXP(-LN(2)/2))/(LN(2)/2)*BL75*BO75*VLOOKUP('Données projet'!$B$11,Paramètres!$A$1:$I$89,3,0)*0.475*44/12</f>
        <v>6.7816241113400061E-6</v>
      </c>
      <c r="BS75" s="24">
        <f t="shared" si="63"/>
        <v>1.8864651472998646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261.66816</v>
      </c>
      <c r="CA75" s="14">
        <f t="shared" si="93"/>
        <v>63.077829793082856</v>
      </c>
      <c r="CB75" s="22">
        <f t="shared" si="64"/>
        <v>565.5992655562859</v>
      </c>
      <c r="CC75" s="62">
        <f t="shared" si="65"/>
        <v>858.93259888961916</v>
      </c>
      <c r="CD75" s="62">
        <f ca="1">AVERAGE(OFFSET($CC$3,0,0,'Données projet'!$E$12+1,1))-AVERAGE(OFFSET($H$3,0,0,'Données projet'!$E$12+1,1))</f>
        <v>292.83612296867898</v>
      </c>
      <c r="CE75" s="62">
        <f t="shared" si="94"/>
        <v>180.48047802041276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1.3489424049089551E-5</v>
      </c>
      <c r="CN75" s="24">
        <f t="shared" si="66"/>
        <v>1.3489424049089551E-5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168.59999999999982</v>
      </c>
      <c r="CU75" s="18">
        <f>CT75*VLOOKUP('Données projet'!$B$13,Paramètres!$A$1:$I$89,3,0)*VLOOKUP('Données projet'!$B$13,Paramètres!$A$1:$I$89,5,0)</f>
        <v>192.00167999999982</v>
      </c>
      <c r="CV75" s="14">
        <f t="shared" si="95"/>
        <v>47.982225593282763</v>
      </c>
      <c r="CW75" s="22">
        <f t="shared" si="67"/>
        <v>417.97196890830054</v>
      </c>
      <c r="CX75" s="62">
        <f t="shared" si="68"/>
        <v>711.30530224163385</v>
      </c>
      <c r="CY75" s="62">
        <f ca="1">AVERAGE(OFFSET($CX$3,0,0,'Données projet'!$E$13+1,1))-AVERAGE(OFFSET($H$3,0,0,'Données projet'!$E$13+1,1))</f>
        <v>192.93829651668403</v>
      </c>
      <c r="CZ75" s="62">
        <f t="shared" si="96"/>
        <v>76.592736352376903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4.8</v>
      </c>
      <c r="DO75" s="13">
        <f>IF('Données projet'!$A$166&gt;35,DO74+DN75-DW74,IF(A75&lt;'Données projet'!$A$166,$DL$205^A75,IF(A75='Données projet'!$A$166,'Données projet'!$B$166,DO74+DN75-DW74)))</f>
        <v>168.59999999999982</v>
      </c>
      <c r="DP75" s="18">
        <f>DO75*VLOOKUP('Données projet'!$B$14,Paramètres!$A$1:$I$89,3,0)*VLOOKUP('Données projet'!$B$14,Paramètres!$A$1:$I$89,5,0)</f>
        <v>113.09687999999989</v>
      </c>
      <c r="DQ75" s="14">
        <f t="shared" si="97"/>
        <v>30.059450444893326</v>
      </c>
      <c r="DR75" s="22">
        <f t="shared" si="70"/>
        <v>249.33060885818895</v>
      </c>
      <c r="DS75" s="62">
        <f t="shared" si="71"/>
        <v>542.66394219152221</v>
      </c>
      <c r="DT75" s="62">
        <f ca="1">AVERAGE(OFFSET($DS$3,0,0,'Données projet'!$E$14+1,1))-AVERAGE(OFFSET($H$3,0,0,'Données projet'!$E$14+1,1))</f>
        <v>66.964554307546564</v>
      </c>
      <c r="DU75" s="62">
        <f t="shared" si="98"/>
        <v>21.162700178818568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4.8</v>
      </c>
      <c r="EJ75" s="13">
        <f>IF('Données projet'!$A$192&gt;35,EJ74+EI75-ER74,IF(A75&lt;'Données projet'!$A$192,$EG$205^A75,IF(A75='Données projet'!$A$192,'Données projet'!$B$192,EJ74+EI75-ER74)))</f>
        <v>168.59999999999982</v>
      </c>
      <c r="EK75" s="18">
        <f>EJ75*VLOOKUP('Données projet'!$B$15,Paramètres!$A$1:$I$89,3,0)*VLOOKUP('Données projet'!$B$15,Paramètres!$A$1:$I$89,5,0)</f>
        <v>163.06991999999985</v>
      </c>
      <c r="EL75" s="14">
        <f t="shared" si="99"/>
        <v>41.534176673396168</v>
      </c>
      <c r="EM75" s="22">
        <f t="shared" si="73"/>
        <v>356.35213503949808</v>
      </c>
      <c r="EN75" s="62">
        <f t="shared" si="74"/>
        <v>649.68546837283134</v>
      </c>
      <c r="EO75" s="62">
        <f ca="1">AVERAGE(OFFSET($EN$3,0,0,'Données projet'!$E$15+1,1))-AVERAGE(OFFSET($H$3,0,0,'Données projet'!$E$15+1,1))</f>
        <v>146.90952320473599</v>
      </c>
      <c r="EP75" s="62">
        <f t="shared" si="100"/>
        <v>56.347130462109817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4.8</v>
      </c>
      <c r="FE75" s="13">
        <f>IF('Données projet'!$A$218&gt;35,FE74+FD75-FM74,IF(A75&lt;'Données projet'!$A$218,$FB$205^A75,IF(A75='Données projet'!$A$218,'Données projet'!$B$218,FE74+FD75-FM74)))</f>
        <v>168.59999999999982</v>
      </c>
      <c r="FF75" s="18">
        <f>FE75*VLOOKUP('Données projet'!$B$16,Paramètres!$A$1:$I$89,3,0)*VLOOKUP('Données projet'!$B$16,Paramètres!$A$1:$I$89,5,0)</f>
        <v>181.48103999999981</v>
      </c>
      <c r="FG75" s="14">
        <f t="shared" si="101"/>
        <v>45.651532971563213</v>
      </c>
      <c r="FH75" s="22">
        <f t="shared" si="76"/>
        <v>395.58923125880557</v>
      </c>
      <c r="FI75" s="62">
        <f t="shared" si="77"/>
        <v>688.92256459213888</v>
      </c>
      <c r="FJ75" s="62">
        <f ca="1">AVERAGE(OFFSET($FI$3,0,0,'Données projet'!$E$16+1,1))-AVERAGE(OFFSET($H$3,0,0,'Données projet'!$E$16+1,1))</f>
        <v>176.21892815766847</v>
      </c>
      <c r="FK75" s="62">
        <f t="shared" si="102"/>
        <v>69.239647548491234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2</v>
      </c>
      <c r="FZ75" s="13">
        <f>IF('Données projet'!$A$244&gt;35,FZ74+FY75-GH74,IF(A75&lt;'Données projet'!$A$244,$FW$205^A75,IF(A75='Données projet'!$A$244,'Données projet'!$B$244,FZ74+FY75-GH74)))</f>
        <v>148.99999999999991</v>
      </c>
      <c r="GA75" s="18">
        <f>FZ75*VLOOKUP('Données projet'!$B$17,Paramètres!$A$1:$I$89,3,0)*VLOOKUP('Données projet'!$B$17,Paramètres!$A$1:$I$89,5,0)</f>
        <v>118.54439999999992</v>
      </c>
      <c r="GB75" s="14">
        <f t="shared" si="103"/>
        <v>31.3352637371359</v>
      </c>
      <c r="GC75" s="22">
        <f t="shared" si="79"/>
        <v>261.04041434217817</v>
      </c>
      <c r="GD75" s="62">
        <f t="shared" si="80"/>
        <v>554.37374767551148</v>
      </c>
      <c r="GE75" s="62">
        <f ca="1">AVERAGE(OFFSET($GD$3,0,0,'Données projet'!$E$17+1,1))-AVERAGE(OFFSET($H$3,0,0,'Données projet'!$E$17+1,1))</f>
        <v>70.834027458412379</v>
      </c>
      <c r="GF75" s="62">
        <f t="shared" si="104"/>
        <v>74.346987922112362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5.930695056065228E-6</v>
      </c>
      <c r="GO75" s="23">
        <f t="shared" si="81"/>
        <v>5.930695056065228E-6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-1.1368683772161603E-13</v>
      </c>
      <c r="GV75" s="18">
        <f>GU75*VLOOKUP('Données projet'!$B$18,Paramètres!$A$1:$I$89,3,0)*VLOOKUP('Données projet'!$B$18,Paramètres!$A$1:$I$89,5,0)</f>
        <v>-8.8675733422860506E-14</v>
      </c>
      <c r="GW75" s="14" t="e">
        <f t="shared" si="105"/>
        <v>#NUM!</v>
      </c>
      <c r="GX75" s="22" t="e">
        <f t="shared" si="82"/>
        <v>#NUM!</v>
      </c>
      <c r="GY75" s="62" t="e">
        <f t="shared" si="83"/>
        <v>#NUM!</v>
      </c>
      <c r="GZ75" s="62">
        <f ca="1">AVERAGE(OFFSET($GY$3,0,0,'Données projet'!$E$18+1,1))-AVERAGE(OFFSET($H$3,0,0,'Données projet'!$E$18+1,1))</f>
        <v>99.222094917553648</v>
      </c>
      <c r="HA75" s="62">
        <f t="shared" si="106"/>
        <v>98.371477396766352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1.2339541530297641E-6</v>
      </c>
      <c r="HJ75" s="24">
        <f t="shared" si="84"/>
        <v>1.2339541530297641E-6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15.142857142857142</v>
      </c>
      <c r="N76" s="14">
        <f>IF('Données projet'!$A$36&gt;35,N75+M76-V75,IF(A76&lt;'Données projet'!$A$36,$K$205^A76,IF(A76='Données projet'!$A$36,'Données projet'!$B$36,N75+M76-V75)))</f>
        <v>405.14285714285734</v>
      </c>
      <c r="O76" s="14">
        <f>N76*VLOOKUP('Données projet'!$B$9,Paramètres!$A$1:$I$89,3,0)*VLOOKUP('Données projet'!$B$9,Paramètres!$A$1:$I$89,5,0)</f>
        <v>189.60685714285725</v>
      </c>
      <c r="P76" s="14">
        <f t="shared" si="87"/>
        <v>47.453024072159629</v>
      </c>
      <c r="Q76" s="22">
        <f t="shared" si="54"/>
        <v>412.87929311615432</v>
      </c>
      <c r="R76" s="62">
        <f t="shared" si="55"/>
        <v>706.21262644948763</v>
      </c>
      <c r="S76" s="62">
        <f ca="1">AVERAGE(OFFSET($R$3,0,0,'Données projet'!$E$9+1,1))-AVERAGE(OFFSET($H$3,0,0,'Données projet'!$E$9+1,1))</f>
        <v>181.48161394994878</v>
      </c>
      <c r="T76" s="62">
        <f t="shared" si="88"/>
        <v>141.1874974464024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300.95520000000005</v>
      </c>
      <c r="AK76" s="14">
        <f t="shared" si="89"/>
        <v>71.376673021759785</v>
      </c>
      <c r="AL76" s="22">
        <f t="shared" si="58"/>
        <v>648.4780121795651</v>
      </c>
      <c r="AM76" s="62">
        <f t="shared" si="59"/>
        <v>941.81134551289847</v>
      </c>
      <c r="AN76" s="62">
        <f ca="1">AVERAGE(OFFSET($AM$3,0,0,'Données projet'!$E$10+1,1))-AVERAGE(OFFSET($H$3,0,0,'Données projet'!$E$10+1,1))</f>
        <v>340.81036749486179</v>
      </c>
      <c r="AO76" s="62">
        <f t="shared" si="90"/>
        <v>208.88199836488013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520.125</v>
      </c>
      <c r="BE76" s="14">
        <f>BD76*VLOOKUP('Données projet'!$B$11,Paramètres!$A$1:$I$89,3,0)*VLOOKUP('Données projet'!$B$11,Paramètres!$A$1:$I$89,5,0)</f>
        <v>311.03475000000003</v>
      </c>
      <c r="BF76" s="14">
        <f t="shared" si="91"/>
        <v>73.484885227728896</v>
      </c>
      <c r="BG76" s="22">
        <f t="shared" si="61"/>
        <v>669.70503135496119</v>
      </c>
      <c r="BH76" s="62">
        <f t="shared" si="62"/>
        <v>963.03836468829445</v>
      </c>
      <c r="BI76" s="62">
        <f ca="1">AVERAGE(OFFSET($BH$3,0,0,'Données projet'!$E$11+1,1))-AVERAGE(OFFSET($H$3,0,0,'Données projet'!$E$11+1,1))</f>
        <v>257.96727373333601</v>
      </c>
      <c r="BJ76" s="62">
        <f t="shared" si="92"/>
        <v>194.52809733694494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1.8348730624618159</v>
      </c>
      <c r="BR76" s="23">
        <f>EXP(-LN(2)/2)*BR75+(1-EXP(-LN(2)/2))/(LN(2)/2)*BL76*BO76*VLOOKUP('Données projet'!$B$11,Paramètres!$A$1:$I$89,3,0)*0.475*44/12</f>
        <v>4.7953323965867125E-6</v>
      </c>
      <c r="BS76" s="24">
        <f t="shared" si="63"/>
        <v>1.8348778577942124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268.54464000000002</v>
      </c>
      <c r="CA76" s="14">
        <f t="shared" si="93"/>
        <v>64.54030807605065</v>
      </c>
      <c r="CB76" s="22">
        <f t="shared" si="64"/>
        <v>580.12295123245474</v>
      </c>
      <c r="CC76" s="62">
        <f t="shared" si="65"/>
        <v>873.45628456578811</v>
      </c>
      <c r="CD76" s="62">
        <f ca="1">AVERAGE(OFFSET($CC$3,0,0,'Données projet'!$E$12+1,1))-AVERAGE(OFFSET($H$3,0,0,'Données projet'!$E$12+1,1))</f>
        <v>292.83612296867898</v>
      </c>
      <c r="CE76" s="62">
        <f t="shared" si="94"/>
        <v>180.48047802041276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9.538463219412117E-6</v>
      </c>
      <c r="CN76" s="24">
        <f t="shared" si="66"/>
        <v>9.538463219412117E-6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173.39999999999984</v>
      </c>
      <c r="CU76" s="18">
        <f>CT76*VLOOKUP('Données projet'!$B$13,Paramètres!$A$1:$I$89,3,0)*VLOOKUP('Données projet'!$B$13,Paramètres!$A$1:$I$89,5,0)</f>
        <v>197.46791999999982</v>
      </c>
      <c r="CV76" s="14">
        <f t="shared" si="95"/>
        <v>49.187281204902298</v>
      </c>
      <c r="CW76" s="22">
        <f t="shared" si="67"/>
        <v>429.59114209853783</v>
      </c>
      <c r="CX76" s="62">
        <f t="shared" si="68"/>
        <v>722.92447543187109</v>
      </c>
      <c r="CY76" s="62">
        <f ca="1">AVERAGE(OFFSET($CX$3,0,0,'Données projet'!$E$13+1,1))-AVERAGE(OFFSET($H$3,0,0,'Données projet'!$E$13+1,1))</f>
        <v>192.93829651668403</v>
      </c>
      <c r="CZ76" s="62">
        <f t="shared" si="96"/>
        <v>76.592736352376903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4.8</v>
      </c>
      <c r="DO76" s="13">
        <f>IF('Données projet'!$A$166&gt;35,DO75+DN76-DW75,IF(A76&lt;'Données projet'!$A$166,$DL$205^A76,IF(A76='Données projet'!$A$166,'Données projet'!$B$166,DO75+DN76-DW75)))</f>
        <v>173.39999999999984</v>
      </c>
      <c r="DP76" s="18">
        <f>DO76*VLOOKUP('Données projet'!$B$14,Paramètres!$A$1:$I$89,3,0)*VLOOKUP('Données projet'!$B$14,Paramètres!$A$1:$I$89,5,0)</f>
        <v>116.31671999999989</v>
      </c>
      <c r="DQ76" s="14">
        <f t="shared" si="97"/>
        <v>30.814382276273175</v>
      </c>
      <c r="DR76" s="22">
        <f t="shared" si="70"/>
        <v>256.25333646450889</v>
      </c>
      <c r="DS76" s="62">
        <f t="shared" si="71"/>
        <v>549.58666979784221</v>
      </c>
      <c r="DT76" s="62">
        <f ca="1">AVERAGE(OFFSET($DS$3,0,0,'Données projet'!$E$14+1,1))-AVERAGE(OFFSET($H$3,0,0,'Données projet'!$E$14+1,1))</f>
        <v>66.964554307546564</v>
      </c>
      <c r="DU76" s="62">
        <f t="shared" si="98"/>
        <v>21.162700178818568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4.8</v>
      </c>
      <c r="EJ76" s="13">
        <f>IF('Données projet'!$A$192&gt;35,EJ75+EI76-ER75,IF(A76&lt;'Données projet'!$A$192,$EG$205^A76,IF(A76='Données projet'!$A$192,'Données projet'!$B$192,EJ75+EI76-ER75)))</f>
        <v>173.39999999999984</v>
      </c>
      <c r="EK76" s="18">
        <f>EJ76*VLOOKUP('Données projet'!$B$15,Paramètres!$A$1:$I$89,3,0)*VLOOKUP('Données projet'!$B$15,Paramètres!$A$1:$I$89,5,0)</f>
        <v>167.71247999999986</v>
      </c>
      <c r="EL76" s="14">
        <f t="shared" si="99"/>
        <v>42.577291953177607</v>
      </c>
      <c r="EM76" s="22">
        <f t="shared" si="73"/>
        <v>366.25468615178403</v>
      </c>
      <c r="EN76" s="62">
        <f t="shared" si="74"/>
        <v>659.58801948511734</v>
      </c>
      <c r="EO76" s="62">
        <f ca="1">AVERAGE(OFFSET($EN$3,0,0,'Données projet'!$E$15+1,1))-AVERAGE(OFFSET($H$3,0,0,'Données projet'!$E$15+1,1))</f>
        <v>146.90952320473599</v>
      </c>
      <c r="EP76" s="62">
        <f t="shared" si="100"/>
        <v>56.347130462109817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4.8</v>
      </c>
      <c r="FE76" s="13">
        <f>IF('Données projet'!$A$218&gt;35,FE75+FD76-FM75,IF(A76&lt;'Données projet'!$A$218,$FB$205^A76,IF(A76='Données projet'!$A$218,'Données projet'!$B$218,FE75+FD76-FM75)))</f>
        <v>173.39999999999984</v>
      </c>
      <c r="FF76" s="18">
        <f>FE76*VLOOKUP('Données projet'!$B$16,Paramètres!$A$1:$I$89,3,0)*VLOOKUP('Données projet'!$B$16,Paramètres!$A$1:$I$89,5,0)</f>
        <v>186.64775999999981</v>
      </c>
      <c r="FG76" s="14">
        <f t="shared" si="101"/>
        <v>46.798054111552098</v>
      </c>
      <c r="FH76" s="22">
        <f t="shared" si="76"/>
        <v>406.5847929109529</v>
      </c>
      <c r="FI76" s="62">
        <f t="shared" si="77"/>
        <v>699.91812624428621</v>
      </c>
      <c r="FJ76" s="62">
        <f ca="1">AVERAGE(OFFSET($FI$3,0,0,'Données projet'!$E$16+1,1))-AVERAGE(OFFSET($H$3,0,0,'Données projet'!$E$16+1,1))</f>
        <v>176.21892815766847</v>
      </c>
      <c r="FK76" s="62">
        <f t="shared" si="102"/>
        <v>69.239647548491234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2</v>
      </c>
      <c r="FZ76" s="13">
        <f>IF('Données projet'!$A$244&gt;35,FZ75+FY76-GH75,IF(A76&lt;'Données projet'!$A$244,$FW$205^A76,IF(A76='Données projet'!$A$244,'Données projet'!$B$244,FZ75+FY76-GH75)))</f>
        <v>150.99999999999991</v>
      </c>
      <c r="GA76" s="18">
        <f>FZ76*VLOOKUP('Données projet'!$B$17,Paramètres!$A$1:$I$89,3,0)*VLOOKUP('Données projet'!$B$17,Paramètres!$A$1:$I$89,5,0)</f>
        <v>120.13559999999994</v>
      </c>
      <c r="GB76" s="14">
        <f t="shared" si="103"/>
        <v>31.70662368824571</v>
      </c>
      <c r="GC76" s="22">
        <f t="shared" si="79"/>
        <v>264.45853959036111</v>
      </c>
      <c r="GD76" s="62">
        <f t="shared" si="80"/>
        <v>557.79187292369443</v>
      </c>
      <c r="GE76" s="62">
        <f ca="1">AVERAGE(OFFSET($GD$3,0,0,'Données projet'!$E$17+1,1))-AVERAGE(OFFSET($H$3,0,0,'Données projet'!$E$17+1,1))</f>
        <v>70.834027458412379</v>
      </c>
      <c r="GF76" s="62">
        <f t="shared" si="104"/>
        <v>74.346987922112362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4.1936346912932544E-6</v>
      </c>
      <c r="GO76" s="23">
        <f t="shared" si="81"/>
        <v>4.1936346912932544E-6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-1.1368683772161603E-13</v>
      </c>
      <c r="GV76" s="18">
        <f>GU76*VLOOKUP('Données projet'!$B$18,Paramètres!$A$1:$I$89,3,0)*VLOOKUP('Données projet'!$B$18,Paramètres!$A$1:$I$89,5,0)</f>
        <v>-8.8675733422860506E-14</v>
      </c>
      <c r="GW76" s="14" t="e">
        <f t="shared" si="105"/>
        <v>#NUM!</v>
      </c>
      <c r="GX76" s="22" t="e">
        <f t="shared" si="82"/>
        <v>#NUM!</v>
      </c>
      <c r="GY76" s="62" t="e">
        <f t="shared" si="83"/>
        <v>#NUM!</v>
      </c>
      <c r="GZ76" s="62">
        <f ca="1">AVERAGE(OFFSET($GY$3,0,0,'Données projet'!$E$18+1,1))-AVERAGE(OFFSET($H$3,0,0,'Données projet'!$E$18+1,1))</f>
        <v>99.222094917553648</v>
      </c>
      <c r="HA76" s="62">
        <f t="shared" si="106"/>
        <v>98.371477396766352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8.7253734928064898E-7</v>
      </c>
      <c r="HJ76" s="24">
        <f t="shared" si="84"/>
        <v>8.7253734928064898E-7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15.142857142857142</v>
      </c>
      <c r="N77" s="14">
        <f>IF('Données projet'!$A$36&gt;35,N76+M77-V76,IF(A77&lt;'Données projet'!$A$36,$K$205^A77,IF(A77='Données projet'!$A$36,'Données projet'!$B$36,N76+M77-V76)))</f>
        <v>420.2857142857145</v>
      </c>
      <c r="O77" s="14">
        <f>N77*VLOOKUP('Données projet'!$B$9,Paramètres!$A$1:$I$89,3,0)*VLOOKUP('Données projet'!$B$9,Paramètres!$A$1:$I$89,5,0)</f>
        <v>196.69371428571441</v>
      </c>
      <c r="P77" s="14">
        <f t="shared" si="87"/>
        <v>49.016842754125221</v>
      </c>
      <c r="Q77" s="22">
        <f t="shared" si="54"/>
        <v>427.9458868443873</v>
      </c>
      <c r="R77" s="62">
        <f t="shared" si="55"/>
        <v>721.27922017772062</v>
      </c>
      <c r="S77" s="62">
        <f ca="1">AVERAGE(OFFSET($R$3,0,0,'Données projet'!$E$9+1,1))-AVERAGE(OFFSET($H$3,0,0,'Données projet'!$E$9+1,1))</f>
        <v>181.48161394994878</v>
      </c>
      <c r="T77" s="62">
        <f t="shared" si="88"/>
        <v>141.1874974464024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308.66160000000008</v>
      </c>
      <c r="AK77" s="14">
        <f t="shared" si="89"/>
        <v>72.98924863505313</v>
      </c>
      <c r="AL77" s="22">
        <f t="shared" si="58"/>
        <v>664.70856137271755</v>
      </c>
      <c r="AM77" s="62">
        <f t="shared" si="59"/>
        <v>958.04189470605093</v>
      </c>
      <c r="AN77" s="62">
        <f ca="1">AVERAGE(OFFSET($AM$3,0,0,'Données projet'!$E$10+1,1))-AVERAGE(OFFSET($H$3,0,0,'Données projet'!$E$10+1,1))</f>
        <v>340.81036749486179</v>
      </c>
      <c r="AO77" s="62">
        <f t="shared" si="90"/>
        <v>208.88199836488013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533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533</v>
      </c>
      <c r="BE77" s="14">
        <f>BD77*VLOOKUP('Données projet'!$B$11,Paramètres!$A$1:$I$89,3,0)*VLOOKUP('Données projet'!$B$11,Paramètres!$A$1:$I$89,5,0)</f>
        <v>318.73400000000004</v>
      </c>
      <c r="BF77" s="14">
        <f t="shared" si="91"/>
        <v>75.089876999925679</v>
      </c>
      <c r="BG77" s="22">
        <f t="shared" si="61"/>
        <v>685.90991910820378</v>
      </c>
      <c r="BH77" s="62">
        <f t="shared" si="62"/>
        <v>979.24325244153715</v>
      </c>
      <c r="BI77" s="62">
        <f ca="1">AVERAGE(OFFSET($BH$3,0,0,'Données projet'!$E$11+1,1))-AVERAGE(OFFSET($H$3,0,0,'Données projet'!$E$11+1,1))</f>
        <v>257.96727373333601</v>
      </c>
      <c r="BJ77" s="62">
        <f t="shared" si="92"/>
        <v>194.52809733694494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1.7846983620770169</v>
      </c>
      <c r="BR77" s="23">
        <f>EXP(-LN(2)/2)*BR76+(1-EXP(-LN(2)/2))/(LN(2)/2)*BL77*BO77*VLOOKUP('Données projet'!$B$11,Paramètres!$A$1:$I$89,3,0)*0.475*44/12</f>
        <v>3.3908120556700031E-6</v>
      </c>
      <c r="BS77" s="24">
        <f t="shared" si="63"/>
        <v>1.7847017528890725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275.42112000000003</v>
      </c>
      <c r="CA77" s="14">
        <f t="shared" si="93"/>
        <v>65.998433293601067</v>
      </c>
      <c r="CB77" s="22">
        <f t="shared" si="64"/>
        <v>594.63905531968851</v>
      </c>
      <c r="CC77" s="62">
        <f t="shared" si="65"/>
        <v>887.97238865302188</v>
      </c>
      <c r="CD77" s="62">
        <f ca="1">AVERAGE(OFFSET($CC$3,0,0,'Données projet'!$E$12+1,1))-AVERAGE(OFFSET($H$3,0,0,'Données projet'!$E$12+1,1))</f>
        <v>292.83612296867898</v>
      </c>
      <c r="CE77" s="62">
        <f t="shared" si="94"/>
        <v>180.48047802041276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6.7447120245447756E-6</v>
      </c>
      <c r="CN77" s="24">
        <f t="shared" si="66"/>
        <v>6.7447120245447756E-6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178.19999999999985</v>
      </c>
      <c r="CU77" s="18">
        <f>CT77*VLOOKUP('Données projet'!$B$13,Paramètres!$A$1:$I$89,3,0)*VLOOKUP('Données projet'!$B$13,Paramètres!$A$1:$I$89,5,0)</f>
        <v>202.93415999999979</v>
      </c>
      <c r="CV77" s="14">
        <f t="shared" si="95"/>
        <v>50.388459677844807</v>
      </c>
      <c r="CW77" s="22">
        <f t="shared" si="67"/>
        <v>441.20356260557941</v>
      </c>
      <c r="CX77" s="62">
        <f t="shared" si="68"/>
        <v>734.53689593891272</v>
      </c>
      <c r="CY77" s="62">
        <f ca="1">AVERAGE(OFFSET($CX$3,0,0,'Données projet'!$E$13+1,1))-AVERAGE(OFFSET($H$3,0,0,'Données projet'!$E$13+1,1))</f>
        <v>192.93829651668403</v>
      </c>
      <c r="CZ77" s="62">
        <f t="shared" si="96"/>
        <v>76.592736352376903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4.8</v>
      </c>
      <c r="DO77" s="13">
        <f>IF('Données projet'!$A$166&gt;35,DO76+DN77-DW76,IF(A77&lt;'Données projet'!$A$166,$DL$205^A77,IF(A77='Données projet'!$A$166,'Données projet'!$B$166,DO76+DN77-DW76)))</f>
        <v>178.19999999999985</v>
      </c>
      <c r="DP77" s="18">
        <f>DO77*VLOOKUP('Données projet'!$B$14,Paramètres!$A$1:$I$89,3,0)*VLOOKUP('Données projet'!$B$14,Paramètres!$A$1:$I$89,5,0)</f>
        <v>119.53655999999989</v>
      </c>
      <c r="DQ77" s="14">
        <f t="shared" si="97"/>
        <v>31.566885194519251</v>
      </c>
      <c r="DR77" s="22">
        <f t="shared" si="70"/>
        <v>263.17183371378752</v>
      </c>
      <c r="DS77" s="62">
        <f t="shared" si="71"/>
        <v>556.50516704712084</v>
      </c>
      <c r="DT77" s="62">
        <f ca="1">AVERAGE(OFFSET($DS$3,0,0,'Données projet'!$E$14+1,1))-AVERAGE(OFFSET($H$3,0,0,'Données projet'!$E$14+1,1))</f>
        <v>66.964554307546564</v>
      </c>
      <c r="DU77" s="62">
        <f t="shared" si="98"/>
        <v>21.162700178818568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4.8</v>
      </c>
      <c r="EJ77" s="13">
        <f>IF('Données projet'!$A$192&gt;35,EJ76+EI77-ER76,IF(A77&lt;'Données projet'!$A$192,$EG$205^A77,IF(A77='Données projet'!$A$192,'Données projet'!$B$192,EJ76+EI77-ER76)))</f>
        <v>178.19999999999985</v>
      </c>
      <c r="EK77" s="18">
        <f>EJ77*VLOOKUP('Données projet'!$B$15,Paramètres!$A$1:$I$89,3,0)*VLOOKUP('Données projet'!$B$15,Paramètres!$A$1:$I$89,5,0)</f>
        <v>172.35503999999986</v>
      </c>
      <c r="EL77" s="14">
        <f t="shared" si="99"/>
        <v>43.617051120131656</v>
      </c>
      <c r="EM77" s="22">
        <f t="shared" si="73"/>
        <v>376.15139203422905</v>
      </c>
      <c r="EN77" s="62">
        <f t="shared" si="74"/>
        <v>669.48472536756231</v>
      </c>
      <c r="EO77" s="62">
        <f ca="1">AVERAGE(OFFSET($EN$3,0,0,'Données projet'!$E$15+1,1))-AVERAGE(OFFSET($H$3,0,0,'Données projet'!$E$15+1,1))</f>
        <v>146.90952320473599</v>
      </c>
      <c r="EP77" s="62">
        <f t="shared" si="100"/>
        <v>56.347130462109817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4.8</v>
      </c>
      <c r="FE77" s="13">
        <f>IF('Données projet'!$A$218&gt;35,FE76+FD77-FM76,IF(A77&lt;'Données projet'!$A$218,$FB$205^A77,IF(A77='Données projet'!$A$218,'Données projet'!$B$218,FE76+FD77-FM76)))</f>
        <v>178.19999999999985</v>
      </c>
      <c r="FF77" s="18">
        <f>FE77*VLOOKUP('Données projet'!$B$16,Paramètres!$A$1:$I$89,3,0)*VLOOKUP('Données projet'!$B$16,Paramètres!$A$1:$I$89,5,0)</f>
        <v>191.81447999999983</v>
      </c>
      <c r="FG77" s="14">
        <f t="shared" si="101"/>
        <v>47.940886441320977</v>
      </c>
      <c r="FH77" s="22">
        <f t="shared" si="76"/>
        <v>417.5739298853004</v>
      </c>
      <c r="FI77" s="62">
        <f t="shared" si="77"/>
        <v>710.90726321863372</v>
      </c>
      <c r="FJ77" s="62">
        <f ca="1">AVERAGE(OFFSET($FI$3,0,0,'Données projet'!$E$16+1,1))-AVERAGE(OFFSET($H$3,0,0,'Données projet'!$E$16+1,1))</f>
        <v>176.21892815766847</v>
      </c>
      <c r="FK77" s="62">
        <f t="shared" si="102"/>
        <v>69.239647548491234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2</v>
      </c>
      <c r="FZ77" s="13">
        <f>IF('Données projet'!$A$244&gt;35,FZ76+FY77-GH76,IF(A77&lt;'Données projet'!$A$244,$FW$205^A77,IF(A77='Données projet'!$A$244,'Données projet'!$B$244,FZ76+FY77-GH76)))</f>
        <v>152.99999999999991</v>
      </c>
      <c r="GA77" s="18">
        <f>FZ77*VLOOKUP('Données projet'!$B$17,Paramètres!$A$1:$I$89,3,0)*VLOOKUP('Données projet'!$B$17,Paramètres!$A$1:$I$89,5,0)</f>
        <v>121.72679999999994</v>
      </c>
      <c r="GB77" s="14">
        <f t="shared" si="103"/>
        <v>32.07741152903197</v>
      </c>
      <c r="GC77" s="22">
        <f t="shared" si="79"/>
        <v>267.87566841306392</v>
      </c>
      <c r="GD77" s="62">
        <f t="shared" si="80"/>
        <v>561.20900174639723</v>
      </c>
      <c r="GE77" s="62">
        <f ca="1">AVERAGE(OFFSET($GD$3,0,0,'Données projet'!$E$17+1,1))-AVERAGE(OFFSET($H$3,0,0,'Données projet'!$E$17+1,1))</f>
        <v>70.834027458412379</v>
      </c>
      <c r="GF77" s="62">
        <f t="shared" si="104"/>
        <v>74.346987922112362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2.965347528032614E-6</v>
      </c>
      <c r="GO77" s="23">
        <f t="shared" si="81"/>
        <v>2.965347528032614E-6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-1.1368683772161603E-13</v>
      </c>
      <c r="GV77" s="18">
        <f>GU77*VLOOKUP('Données projet'!$B$18,Paramètres!$A$1:$I$89,3,0)*VLOOKUP('Données projet'!$B$18,Paramètres!$A$1:$I$89,5,0)</f>
        <v>-8.8675733422860506E-14</v>
      </c>
      <c r="GW77" s="14" t="e">
        <f t="shared" si="105"/>
        <v>#NUM!</v>
      </c>
      <c r="GX77" s="22" t="e">
        <f t="shared" si="82"/>
        <v>#NUM!</v>
      </c>
      <c r="GY77" s="62" t="e">
        <f t="shared" si="83"/>
        <v>#NUM!</v>
      </c>
      <c r="GZ77" s="62">
        <f ca="1">AVERAGE(OFFSET($GY$3,0,0,'Données projet'!$E$18+1,1))-AVERAGE(OFFSET($H$3,0,0,'Données projet'!$E$18+1,1))</f>
        <v>99.222094917553648</v>
      </c>
      <c r="HA77" s="62">
        <f t="shared" si="106"/>
        <v>98.371477396766352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6.1697707651488204E-7</v>
      </c>
      <c r="HJ77" s="24">
        <f t="shared" si="84"/>
        <v>6.1697707651488204E-7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15.142857142857142</v>
      </c>
      <c r="N78" s="14">
        <f>IF('Données projet'!$A$36&gt;35,N77+M78-V77,IF(A78&lt;'Données projet'!$A$36,$K$205^A78,IF(A78='Données projet'!$A$36,'Données projet'!$B$36,N77+M78-V77)))</f>
        <v>435.42857142857167</v>
      </c>
      <c r="O78" s="14">
        <f>N78*VLOOKUP('Données projet'!$B$9,Paramètres!$A$1:$I$89,3,0)*VLOOKUP('Données projet'!$B$9,Paramètres!$A$1:$I$89,5,0)</f>
        <v>203.78057142857153</v>
      </c>
      <c r="P78" s="14">
        <f t="shared" si="87"/>
        <v>50.574115202939069</v>
      </c>
      <c r="Q78" s="22">
        <f t="shared" si="54"/>
        <v>443.00107921654762</v>
      </c>
      <c r="R78" s="62">
        <f t="shared" si="55"/>
        <v>736.33441254988088</v>
      </c>
      <c r="S78" s="62">
        <f ca="1">AVERAGE(OFFSET($R$3,0,0,'Données projet'!$E$9+1,1))-AVERAGE(OFFSET($H$3,0,0,'Données projet'!$E$9+1,1))</f>
        <v>181.48161394994878</v>
      </c>
      <c r="T78" s="62">
        <f t="shared" si="88"/>
        <v>141.1874974464024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316.36800000000005</v>
      </c>
      <c r="AK78" s="14">
        <f t="shared" si="89"/>
        <v>74.597144109003438</v>
      </c>
      <c r="AL78" s="22">
        <f t="shared" si="58"/>
        <v>680.93095932318113</v>
      </c>
      <c r="AM78" s="62">
        <f t="shared" si="59"/>
        <v>974.2642926565145</v>
      </c>
      <c r="AN78" s="62">
        <f ca="1">AVERAGE(OFFSET($AM$3,0,0,'Données projet'!$E$10+1,1))-AVERAGE(OFFSET($H$3,0,0,'Données projet'!$E$10+1,1))</f>
        <v>340.81036749486179</v>
      </c>
      <c r="AO78" s="62">
        <f t="shared" si="90"/>
        <v>208.88199836488013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504.875</v>
      </c>
      <c r="BE78" s="14">
        <f>BD78*VLOOKUP('Données projet'!$B$11,Paramètres!$A$1:$I$89,3,0)*VLOOKUP('Données projet'!$B$11,Paramètres!$A$1:$I$89,5,0)</f>
        <v>301.91525000000001</v>
      </c>
      <c r="BF78" s="14">
        <f t="shared" si="91"/>
        <v>71.577824610045951</v>
      </c>
      <c r="BG78" s="22">
        <f t="shared" si="61"/>
        <v>650.50043827916329</v>
      </c>
      <c r="BH78" s="62">
        <f t="shared" si="62"/>
        <v>943.83377161249655</v>
      </c>
      <c r="BI78" s="62">
        <f ca="1">AVERAGE(OFFSET($BH$3,0,0,'Données projet'!$E$11+1,1))-AVERAGE(OFFSET($H$3,0,0,'Données projet'!$E$11+1,1))</f>
        <v>257.96727373333601</v>
      </c>
      <c r="BJ78" s="62">
        <f t="shared" si="92"/>
        <v>194.52809733694494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1.735895691512813</v>
      </c>
      <c r="BR78" s="23">
        <f>EXP(-LN(2)/2)*BR77+(1-EXP(-LN(2)/2))/(LN(2)/2)*BL78*BO78*VLOOKUP('Données projet'!$B$11,Paramètres!$A$1:$I$89,3,0)*0.475*44/12</f>
        <v>2.3976661982933562E-6</v>
      </c>
      <c r="BS78" s="24">
        <f t="shared" si="63"/>
        <v>1.7358980891790112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282.29760000000005</v>
      </c>
      <c r="CA78" s="14">
        <f t="shared" si="93"/>
        <v>67.452326629470178</v>
      </c>
      <c r="CB78" s="22">
        <f t="shared" si="64"/>
        <v>609.14778887966054</v>
      </c>
      <c r="CC78" s="62">
        <f t="shared" si="65"/>
        <v>902.4811222129938</v>
      </c>
      <c r="CD78" s="62">
        <f ca="1">AVERAGE(OFFSET($CC$3,0,0,'Données projet'!$E$12+1,1))-AVERAGE(OFFSET($H$3,0,0,'Données projet'!$E$12+1,1))</f>
        <v>292.83612296867898</v>
      </c>
      <c r="CE78" s="62">
        <f t="shared" si="94"/>
        <v>180.48047802041276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4.7692316097060585E-6</v>
      </c>
      <c r="CN78" s="24">
        <f t="shared" si="66"/>
        <v>4.7692316097060585E-6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183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182.99999999999986</v>
      </c>
      <c r="CU78" s="18">
        <f>CT78*VLOOKUP('Données projet'!$B$13,Paramètres!$A$1:$I$89,3,0)*VLOOKUP('Données projet'!$B$13,Paramètres!$A$1:$I$89,5,0)</f>
        <v>208.40039999999985</v>
      </c>
      <c r="CV78" s="14">
        <f t="shared" si="95"/>
        <v>51.585877448947201</v>
      </c>
      <c r="CW78" s="22">
        <f t="shared" si="67"/>
        <v>452.80943322358263</v>
      </c>
      <c r="CX78" s="62">
        <f t="shared" si="68"/>
        <v>746.14276655691594</v>
      </c>
      <c r="CY78" s="62">
        <f ca="1">AVERAGE(OFFSET($CX$3,0,0,'Données projet'!$E$13+1,1))-AVERAGE(OFFSET($H$3,0,0,'Données projet'!$E$13+1,1))</f>
        <v>192.93829651668403</v>
      </c>
      <c r="CZ78" s="62">
        <f t="shared" si="96"/>
        <v>76.592736352376903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183</v>
      </c>
      <c r="DM78" s="13">
        <f>VLOOKUP(A78,'Données projet'!$A$165:$I$185,9,0)</f>
        <v>4.8</v>
      </c>
      <c r="DN78" s="13">
        <f t="array" ref="DN78">INDEX(DM:DM,MIN(IF(ISNUMBER(DM78:DM274),ROW(DM78:DM274),"")))</f>
        <v>4.8</v>
      </c>
      <c r="DO78" s="13">
        <f>IF('Données projet'!$A$166&gt;35,DO77+DN78-DW77,IF(A78&lt;'Données projet'!$A$166,$DL$205^A78,IF(A78='Données projet'!$A$166,'Données projet'!$B$166,DO77+DN78-DW77)))</f>
        <v>182.99999999999986</v>
      </c>
      <c r="DP78" s="18">
        <f>DO78*VLOOKUP('Données projet'!$B$14,Paramètres!$A$1:$I$89,3,0)*VLOOKUP('Données projet'!$B$14,Paramètres!$A$1:$I$89,5,0)</f>
        <v>122.75639999999991</v>
      </c>
      <c r="DQ78" s="14">
        <f t="shared" si="97"/>
        <v>32.31703214387889</v>
      </c>
      <c r="DR78" s="22">
        <f t="shared" si="70"/>
        <v>270.08622765058885</v>
      </c>
      <c r="DS78" s="62">
        <f t="shared" si="71"/>
        <v>563.41956098392211</v>
      </c>
      <c r="DT78" s="62">
        <f ca="1">AVERAGE(OFFSET($DS$3,0,0,'Données projet'!$E$14+1,1))-AVERAGE(OFFSET($H$3,0,0,'Données projet'!$E$14+1,1))</f>
        <v>66.964554307546564</v>
      </c>
      <c r="DU78" s="62">
        <f t="shared" si="98"/>
        <v>21.162700178818568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14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183</v>
      </c>
      <c r="EH78" s="13">
        <f>VLOOKUP(A78,'Données projet'!$A$191:$I$211,9,0)</f>
        <v>4.8</v>
      </c>
      <c r="EI78" s="13">
        <f t="array" ref="EI78">INDEX(EH:EH,MIN(IF(ISNUMBER(EH78:EH274),ROW(EH78:EH274),"")))</f>
        <v>4.8</v>
      </c>
      <c r="EJ78" s="13">
        <f>IF('Données projet'!$A$192&gt;35,EJ77+EI78-ER77,IF(A78&lt;'Données projet'!$A$192,$EG$205^A78,IF(A78='Données projet'!$A$192,'Données projet'!$B$192,EJ77+EI78-ER77)))</f>
        <v>182.99999999999986</v>
      </c>
      <c r="EK78" s="18">
        <f>EJ78*VLOOKUP('Données projet'!$B$15,Paramètres!$A$1:$I$89,3,0)*VLOOKUP('Données projet'!$B$15,Paramètres!$A$1:$I$89,5,0)</f>
        <v>176.99759999999986</v>
      </c>
      <c r="EL78" s="14">
        <f t="shared" si="99"/>
        <v>44.653554963834011</v>
      </c>
      <c r="EM78" s="22">
        <f t="shared" si="73"/>
        <v>386.04242822867735</v>
      </c>
      <c r="EN78" s="62">
        <f t="shared" si="74"/>
        <v>679.37576156201067</v>
      </c>
      <c r="EO78" s="62">
        <f ca="1">AVERAGE(OFFSET($EN$3,0,0,'Données projet'!$E$15+1,1))-AVERAGE(OFFSET($H$3,0,0,'Données projet'!$E$15+1,1))</f>
        <v>146.90952320473599</v>
      </c>
      <c r="EP78" s="62">
        <f t="shared" si="100"/>
        <v>56.347130462109817</v>
      </c>
      <c r="EQ78" s="16">
        <f>IF(ISNA(VLOOKUP(A78,'Données projet'!$A$191:$I$211,3,0)),0,VLOOKUP(A78,'Données projet'!$A$191:$I$211,3,0))</f>
        <v>11</v>
      </c>
      <c r="ER78" s="16">
        <f>IF(ISNA(VLOOKUP(A78,'Données projet'!$A$191:$I$211,4,0)),0,VLOOKUP(A78,'Données projet'!$A$191:$I$211,4,0))</f>
        <v>14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183</v>
      </c>
      <c r="FC78" s="13">
        <f>VLOOKUP(A78,'Données projet'!$A$217:$I$237,9,0)</f>
        <v>4.8</v>
      </c>
      <c r="FD78" s="13">
        <f t="array" ref="FD78">INDEX(FC:FC,MIN(IF(ISNUMBER(FC78:FC274),ROW(FC78:FC274),"")))</f>
        <v>4.8</v>
      </c>
      <c r="FE78" s="13">
        <f>IF('Données projet'!$A$218&gt;35,FE77+FD78-FM77,IF(A78&lt;'Données projet'!$A$218,$FB$205^A78,IF(A78='Données projet'!$A$218,'Données projet'!$B$218,FE77+FD78-FM77)))</f>
        <v>182.99999999999986</v>
      </c>
      <c r="FF78" s="18">
        <f>FE78*VLOOKUP('Données projet'!$B$16,Paramètres!$A$1:$I$89,3,0)*VLOOKUP('Données projet'!$B$16,Paramètres!$A$1:$I$89,5,0)</f>
        <v>196.98119999999986</v>
      </c>
      <c r="FG78" s="14">
        <f t="shared" si="101"/>
        <v>49.080140741894091</v>
      </c>
      <c r="FH78" s="22">
        <f t="shared" si="76"/>
        <v>428.55683512546528</v>
      </c>
      <c r="FI78" s="62">
        <f t="shared" si="77"/>
        <v>721.8901684587986</v>
      </c>
      <c r="FJ78" s="62">
        <f ca="1">AVERAGE(OFFSET($FI$3,0,0,'Données projet'!$E$16+1,1))-AVERAGE(OFFSET($H$3,0,0,'Données projet'!$E$16+1,1))</f>
        <v>176.21892815766847</v>
      </c>
      <c r="FK78" s="62">
        <f t="shared" si="102"/>
        <v>69.239647548491234</v>
      </c>
      <c r="FL78" s="16">
        <f>IF(ISNA(VLOOKUP(A78,'Données projet'!$A$217:$I$237,3,0)),0,VLOOKUP(A78,'Données projet'!$A$217:$I$237,3,0))</f>
        <v>11</v>
      </c>
      <c r="FM78" s="16">
        <f>IF(ISNA(VLOOKUP(A78,'Données projet'!$A$217:$I$237,4,0)),0,VLOOKUP(A78,'Données projet'!$A$217:$I$237,4,0))</f>
        <v>14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155</v>
      </c>
      <c r="FX78" s="13">
        <f>VLOOKUP(A78,'Données projet'!$A$243:$I$263,9,0)</f>
        <v>2</v>
      </c>
      <c r="FY78" s="13">
        <f t="array" ref="FY78">INDEX(FX:FX,MIN(IF(ISNUMBER(FX78:FX274),ROW(FX78:FX274),"")))</f>
        <v>2</v>
      </c>
      <c r="FZ78" s="13">
        <f>IF('Données projet'!$A$244&gt;35,FZ77+FY78-GH77,IF(A78&lt;'Données projet'!$A$244,$FW$205^A78,IF(A78='Données projet'!$A$244,'Données projet'!$B$244,FZ77+FY78-GH77)))</f>
        <v>154.99999999999991</v>
      </c>
      <c r="GA78" s="18">
        <f>FZ78*VLOOKUP('Données projet'!$B$17,Paramètres!$A$1:$I$89,3,0)*VLOOKUP('Données projet'!$B$17,Paramètres!$A$1:$I$89,5,0)</f>
        <v>123.31799999999993</v>
      </c>
      <c r="GB78" s="14">
        <f t="shared" si="103"/>
        <v>32.44763560269552</v>
      </c>
      <c r="GC78" s="22">
        <f t="shared" si="79"/>
        <v>271.2918153413612</v>
      </c>
      <c r="GD78" s="62">
        <f t="shared" si="80"/>
        <v>564.62514867469451</v>
      </c>
      <c r="GE78" s="62">
        <f ca="1">AVERAGE(OFFSET($GD$3,0,0,'Données projet'!$E$17+1,1))-AVERAGE(OFFSET($H$3,0,0,'Données projet'!$E$17+1,1))</f>
        <v>70.834027458412379</v>
      </c>
      <c r="GF78" s="62">
        <f t="shared" si="104"/>
        <v>74.346987922112362</v>
      </c>
      <c r="GG78" s="16">
        <f>IF(ISNA(VLOOKUP(A78,'Données projet'!$A$243:$I$263,3,0)),0,VLOOKUP(A78,'Données projet'!$A$243:$I$263,3,0))</f>
        <v>12</v>
      </c>
      <c r="GH78" s="16">
        <f>IF(ISNA(VLOOKUP(A78,'Données projet'!$A$243:$I$263,4,0)),0,VLOOKUP(A78,'Données projet'!$A$243:$I$263,4,0))</f>
        <v>4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2.0968173456466272E-6</v>
      </c>
      <c r="GO78" s="23">
        <f t="shared" si="81"/>
        <v>2.0968173456466272E-6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-1.1368683772161603E-13</v>
      </c>
      <c r="GV78" s="18">
        <f>GU78*VLOOKUP('Données projet'!$B$18,Paramètres!$A$1:$I$89,3,0)*VLOOKUP('Données projet'!$B$18,Paramètres!$A$1:$I$89,5,0)</f>
        <v>-8.8675733422860506E-14</v>
      </c>
      <c r="GW78" s="14" t="e">
        <f t="shared" si="105"/>
        <v>#NUM!</v>
      </c>
      <c r="GX78" s="22" t="e">
        <f t="shared" si="82"/>
        <v>#NUM!</v>
      </c>
      <c r="GY78" s="62" t="e">
        <f t="shared" si="83"/>
        <v>#NUM!</v>
      </c>
      <c r="GZ78" s="62">
        <f ca="1">AVERAGE(OFFSET($GY$3,0,0,'Données projet'!$E$18+1,1))-AVERAGE(OFFSET($H$3,0,0,'Données projet'!$E$18+1,1))</f>
        <v>99.222094917553648</v>
      </c>
      <c r="HA78" s="62">
        <f t="shared" si="106"/>
        <v>98.371477396766352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4.3626867464032449E-7</v>
      </c>
      <c r="HJ78" s="24">
        <f t="shared" si="84"/>
        <v>4.3626867464032449E-7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15.142857142857142</v>
      </c>
      <c r="N79" s="14">
        <f>IF('Données projet'!$A$36&gt;35,N78+M79-V78,IF(A79&lt;'Données projet'!$A$36,$K$205^A79,IF(A79='Données projet'!$A$36,'Données projet'!$B$36,N78+M79-V78)))</f>
        <v>450.57142857142884</v>
      </c>
      <c r="O79" s="14">
        <f>N79*VLOOKUP('Données projet'!$B$9,Paramètres!$A$1:$I$89,3,0)*VLOOKUP('Données projet'!$B$9,Paramètres!$A$1:$I$89,5,0)</f>
        <v>210.86742857142869</v>
      </c>
      <c r="P79" s="14">
        <f t="shared" si="87"/>
        <v>52.125095165913116</v>
      </c>
      <c r="Q79" s="22">
        <f t="shared" si="54"/>
        <v>458.04531217587032</v>
      </c>
      <c r="R79" s="62">
        <f t="shared" si="55"/>
        <v>751.37864550920358</v>
      </c>
      <c r="S79" s="62">
        <f ca="1">AVERAGE(OFFSET($R$3,0,0,'Données projet'!$E$9+1,1))-AVERAGE(OFFSET($H$3,0,0,'Données projet'!$E$9+1,1))</f>
        <v>181.48161394994878</v>
      </c>
      <c r="T79" s="62">
        <f t="shared" si="88"/>
        <v>141.1874974464024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929.8466418131577</v>
      </c>
      <c r="AN79" s="62">
        <f ca="1">AVERAGE(OFFSET($AM$3,0,0,'Données projet'!$E$10+1,1))-AVERAGE(OFFSET($H$3,0,0,'Données projet'!$E$10+1,1))</f>
        <v>340.81036749486179</v>
      </c>
      <c r="AO79" s="62">
        <f t="shared" si="90"/>
        <v>208.88199836488013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513.75</v>
      </c>
      <c r="BE79" s="14">
        <f>BD79*VLOOKUP('Données projet'!$B$11,Paramètres!$A$1:$I$89,3,0)*VLOOKUP('Données projet'!$B$11,Paramètres!$A$1:$I$89,5,0)</f>
        <v>307.22250000000003</v>
      </c>
      <c r="BF79" s="14">
        <f t="shared" si="91"/>
        <v>72.68847414066191</v>
      </c>
      <c r="BG79" s="22">
        <f t="shared" si="61"/>
        <v>661.67827996165295</v>
      </c>
      <c r="BH79" s="62">
        <f t="shared" si="62"/>
        <v>955.01161329498632</v>
      </c>
      <c r="BI79" s="62">
        <f ca="1">AVERAGE(OFFSET($BH$3,0,0,'Données projet'!$E$11+1,1))-AVERAGE(OFFSET($H$3,0,0,'Données projet'!$E$11+1,1))</f>
        <v>257.96727373333601</v>
      </c>
      <c r="BJ79" s="62">
        <f t="shared" si="92"/>
        <v>194.52809733694494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1.688427532541608</v>
      </c>
      <c r="BR79" s="23">
        <f>EXP(-LN(2)/2)*BR78+(1-EXP(-LN(2)/2))/(LN(2)/2)*BL79*BO79*VLOOKUP('Données projet'!$B$11,Paramètres!$A$1:$I$89,3,0)*0.475*44/12</f>
        <v>1.6954060278350015E-6</v>
      </c>
      <c r="BS79" s="24">
        <f t="shared" si="63"/>
        <v>1.6884292279476358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263.47776000000005</v>
      </c>
      <c r="CA79" s="14">
        <f t="shared" si="93"/>
        <v>63.46312159763346</v>
      </c>
      <c r="CB79" s="22">
        <f t="shared" si="64"/>
        <v>569.42203544921165</v>
      </c>
      <c r="CC79" s="62">
        <f t="shared" si="65"/>
        <v>862.75536878254502</v>
      </c>
      <c r="CD79" s="62">
        <f ca="1">AVERAGE(OFFSET($CC$3,0,0,'Données projet'!$E$12+1,1))-AVERAGE(OFFSET($H$3,0,0,'Données projet'!$E$12+1,1))</f>
        <v>292.83612296867898</v>
      </c>
      <c r="CE79" s="62">
        <f t="shared" si="94"/>
        <v>180.48047802041276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3.3723560122723878E-6</v>
      </c>
      <c r="CN79" s="24">
        <f t="shared" si="66"/>
        <v>3.3723560122723878E-6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173.59999999999985</v>
      </c>
      <c r="CU79" s="18">
        <f>CT79*VLOOKUP('Données projet'!$B$13,Paramètres!$A$1:$I$89,3,0)*VLOOKUP('Données projet'!$B$13,Paramètres!$A$1:$I$89,5,0)</f>
        <v>197.69567999999984</v>
      </c>
      <c r="CV79" s="14">
        <f t="shared" si="95"/>
        <v>49.237406885887019</v>
      </c>
      <c r="CW79" s="22">
        <f t="shared" si="67"/>
        <v>430.07512632625293</v>
      </c>
      <c r="CX79" s="62">
        <f t="shared" si="68"/>
        <v>723.40845965958624</v>
      </c>
      <c r="CY79" s="62">
        <f ca="1">AVERAGE(OFFSET($CX$3,0,0,'Données projet'!$E$13+1,1))-AVERAGE(OFFSET($H$3,0,0,'Données projet'!$E$13+1,1))</f>
        <v>192.93829651668403</v>
      </c>
      <c r="CZ79" s="62">
        <f t="shared" si="96"/>
        <v>76.592736352376903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4.5999999999999996</v>
      </c>
      <c r="DO79" s="13">
        <f>IF('Données projet'!$A$166&gt;35,DO78+DN79-DW78,IF(A79&lt;'Données projet'!$A$166,$DL$205^A79,IF(A79='Données projet'!$A$166,'Données projet'!$B$166,DO78+DN79-DW78)))</f>
        <v>173.59999999999985</v>
      </c>
      <c r="DP79" s="18">
        <f>DO79*VLOOKUP('Données projet'!$B$14,Paramètres!$A$1:$I$89,3,0)*VLOOKUP('Données projet'!$B$14,Paramètres!$A$1:$I$89,5,0)</f>
        <v>116.45087999999991</v>
      </c>
      <c r="DQ79" s="14">
        <f t="shared" si="97"/>
        <v>30.845784538359709</v>
      </c>
      <c r="DR79" s="22">
        <f t="shared" si="70"/>
        <v>256.54169073764297</v>
      </c>
      <c r="DS79" s="62">
        <f t="shared" si="71"/>
        <v>549.87502407097622</v>
      </c>
      <c r="DT79" s="62">
        <f ca="1">AVERAGE(OFFSET($DS$3,0,0,'Données projet'!$E$14+1,1))-AVERAGE(OFFSET($H$3,0,0,'Données projet'!$E$14+1,1))</f>
        <v>66.964554307546564</v>
      </c>
      <c r="DU79" s="62">
        <f t="shared" si="98"/>
        <v>21.162700178818568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4.5999999999999996</v>
      </c>
      <c r="EJ79" s="13">
        <f>IF('Données projet'!$A$192&gt;35,EJ78+EI79-ER78,IF(A79&lt;'Données projet'!$A$192,$EG$205^A79,IF(A79='Données projet'!$A$192,'Données projet'!$B$192,EJ78+EI79-ER78)))</f>
        <v>173.59999999999985</v>
      </c>
      <c r="EK79" s="18">
        <f>EJ79*VLOOKUP('Données projet'!$B$15,Paramètres!$A$1:$I$89,3,0)*VLOOKUP('Données projet'!$B$15,Paramètres!$A$1:$I$89,5,0)</f>
        <v>167.90591999999987</v>
      </c>
      <c r="EL79" s="14">
        <f t="shared" si="99"/>
        <v>42.620681538886721</v>
      </c>
      <c r="EM79" s="22">
        <f t="shared" si="73"/>
        <v>366.66716434689414</v>
      </c>
      <c r="EN79" s="62">
        <f t="shared" si="74"/>
        <v>660.00049768022745</v>
      </c>
      <c r="EO79" s="62">
        <f ca="1">AVERAGE(OFFSET($EN$3,0,0,'Données projet'!$E$15+1,1))-AVERAGE(OFFSET($H$3,0,0,'Données projet'!$E$15+1,1))</f>
        <v>146.90952320473599</v>
      </c>
      <c r="EP79" s="62">
        <f t="shared" si="100"/>
        <v>56.347130462109817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4.5999999999999996</v>
      </c>
      <c r="FE79" s="13">
        <f>IF('Données projet'!$A$218&gt;35,FE78+FD79-FM78,IF(A79&lt;'Données projet'!$A$218,$FB$205^A79,IF(A79='Données projet'!$A$218,'Données projet'!$B$218,FE78+FD79-FM78)))</f>
        <v>173.59999999999985</v>
      </c>
      <c r="FF79" s="18">
        <f>FE79*VLOOKUP('Données projet'!$B$16,Paramètres!$A$1:$I$89,3,0)*VLOOKUP('Données projet'!$B$16,Paramètres!$A$1:$I$89,5,0)</f>
        <v>186.86303999999984</v>
      </c>
      <c r="FG79" s="14">
        <f t="shared" si="101"/>
        <v>46.845744983534424</v>
      </c>
      <c r="FH79" s="22">
        <f t="shared" si="76"/>
        <v>407.04280051298883</v>
      </c>
      <c r="FI79" s="62">
        <f t="shared" si="77"/>
        <v>700.37613384632209</v>
      </c>
      <c r="FJ79" s="62">
        <f ca="1">AVERAGE(OFFSET($FI$3,0,0,'Données projet'!$E$16+1,1))-AVERAGE(OFFSET($H$3,0,0,'Données projet'!$E$16+1,1))</f>
        <v>176.21892815766847</v>
      </c>
      <c r="FK79" s="62">
        <f t="shared" si="102"/>
        <v>69.239647548491234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1.6</v>
      </c>
      <c r="FZ79" s="13">
        <f>IF('Données projet'!$A$244&gt;35,FZ78+FY79-GH78,IF(A79&lt;'Données projet'!$A$244,$FW$205^A79,IF(A79='Données projet'!$A$244,'Données projet'!$B$244,FZ78+FY79-GH78)))</f>
        <v>152.59999999999991</v>
      </c>
      <c r="GA79" s="18">
        <f>FZ79*VLOOKUP('Données projet'!$B$17,Paramètres!$A$1:$I$89,3,0)*VLOOKUP('Données projet'!$B$17,Paramètres!$A$1:$I$89,5,0)</f>
        <v>121.40855999999992</v>
      </c>
      <c r="GB79" s="14">
        <f t="shared" si="103"/>
        <v>32.00329932588938</v>
      </c>
      <c r="GC79" s="22">
        <f t="shared" si="79"/>
        <v>267.19232165925723</v>
      </c>
      <c r="GD79" s="62">
        <f t="shared" si="80"/>
        <v>560.52565499259049</v>
      </c>
      <c r="GE79" s="62">
        <f ca="1">AVERAGE(OFFSET($GD$3,0,0,'Données projet'!$E$17+1,1))-AVERAGE(OFFSET($H$3,0,0,'Données projet'!$E$17+1,1))</f>
        <v>70.834027458412379</v>
      </c>
      <c r="GF79" s="62">
        <f t="shared" si="104"/>
        <v>74.346987922112362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1.482673764016307E-6</v>
      </c>
      <c r="GO79" s="23">
        <f t="shared" si="81"/>
        <v>1.482673764016307E-6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-1.1368683772161603E-13</v>
      </c>
      <c r="GV79" s="18">
        <f>GU79*VLOOKUP('Données projet'!$B$18,Paramètres!$A$1:$I$89,3,0)*VLOOKUP('Données projet'!$B$18,Paramètres!$A$1:$I$89,5,0)</f>
        <v>-8.8675733422860506E-14</v>
      </c>
      <c r="GW79" s="14" t="e">
        <f t="shared" si="105"/>
        <v>#NUM!</v>
      </c>
      <c r="GX79" s="22" t="e">
        <f t="shared" si="82"/>
        <v>#NUM!</v>
      </c>
      <c r="GY79" s="62" t="e">
        <f t="shared" si="83"/>
        <v>#NUM!</v>
      </c>
      <c r="GZ79" s="62">
        <f ca="1">AVERAGE(OFFSET($GY$3,0,0,'Données projet'!$E$18+1,1))-AVERAGE(OFFSET($H$3,0,0,'Données projet'!$E$18+1,1))</f>
        <v>99.222094917553648</v>
      </c>
      <c r="HA79" s="62">
        <f t="shared" si="106"/>
        <v>98.371477396766352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3.0848853825744102E-7</v>
      </c>
      <c r="HJ79" s="24">
        <f t="shared" si="84"/>
        <v>3.0848853825744102E-7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15.142857142857142</v>
      </c>
      <c r="N80" s="14">
        <f>IF('Données projet'!$A$36&gt;35,N79+M80-V79,IF(A80&lt;'Données projet'!$A$36,$K$205^A80,IF(A80='Données projet'!$A$36,'Données projet'!$B$36,N79+M80-V79)))</f>
        <v>465.71428571428601</v>
      </c>
      <c r="O80" s="14">
        <f>N80*VLOOKUP('Données projet'!$B$9,Paramètres!$A$1:$I$89,3,0)*VLOOKUP('Données projet'!$B$9,Paramètres!$A$1:$I$89,5,0)</f>
        <v>217.95428571428585</v>
      </c>
      <c r="P80" s="14">
        <f t="shared" si="87"/>
        <v>53.670018366701875</v>
      </c>
      <c r="Q80" s="22">
        <f t="shared" si="54"/>
        <v>473.07899627438695</v>
      </c>
      <c r="R80" s="62">
        <f t="shared" si="55"/>
        <v>766.41232960772027</v>
      </c>
      <c r="S80" s="62">
        <f ca="1">AVERAGE(OFFSET($R$3,0,0,'Données projet'!$E$9+1,1))-AVERAGE(OFFSET($H$3,0,0,'Données projet'!$E$9+1,1))</f>
        <v>181.48161394994878</v>
      </c>
      <c r="T80" s="62">
        <f t="shared" si="88"/>
        <v>141.1874974464024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945.22899200862457</v>
      </c>
      <c r="AN80" s="62">
        <f ca="1">AVERAGE(OFFSET($AM$3,0,0,'Données projet'!$E$10+1,1))-AVERAGE(OFFSET($H$3,0,0,'Données projet'!$E$10+1,1))</f>
        <v>340.81036749486179</v>
      </c>
      <c r="AO80" s="62">
        <f t="shared" si="90"/>
        <v>208.88199836488013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522.625</v>
      </c>
      <c r="BE80" s="14">
        <f>BD80*VLOOKUP('Données projet'!$B$11,Paramètres!$A$1:$I$89,3,0)*VLOOKUP('Données projet'!$B$11,Paramètres!$A$1:$I$89,5,0)</f>
        <v>312.52975000000004</v>
      </c>
      <c r="BF80" s="14">
        <f t="shared" si="91"/>
        <v>73.796892500493684</v>
      </c>
      <c r="BG80" s="22">
        <f t="shared" si="61"/>
        <v>672.85223568835988</v>
      </c>
      <c r="BH80" s="62">
        <f t="shared" si="62"/>
        <v>966.18556902169325</v>
      </c>
      <c r="BI80" s="62">
        <f ca="1">AVERAGE(OFFSET($BH$3,0,0,'Données projet'!$E$11+1,1))-AVERAGE(OFFSET($H$3,0,0,'Données projet'!$E$11+1,1))</f>
        <v>257.96727373333601</v>
      </c>
      <c r="BJ80" s="62">
        <f t="shared" si="92"/>
        <v>194.52809733694494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1.6422573928737128</v>
      </c>
      <c r="BR80" s="23">
        <f>EXP(-LN(2)/2)*BR79+(1-EXP(-LN(2)/2))/(LN(2)/2)*BL80*BO80*VLOOKUP('Données projet'!$B$11,Paramètres!$A$1:$I$89,3,0)*0.475*44/12</f>
        <v>1.1988330991466781E-6</v>
      </c>
      <c r="BS80" s="24">
        <f t="shared" si="63"/>
        <v>1.642258591706812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269.99232000000001</v>
      </c>
      <c r="CA80" s="14">
        <f t="shared" si="93"/>
        <v>64.847639395310296</v>
      </c>
      <c r="CB80" s="22">
        <f t="shared" si="64"/>
        <v>583.17959594683214</v>
      </c>
      <c r="CC80" s="62">
        <f t="shared" si="65"/>
        <v>876.51292928016551</v>
      </c>
      <c r="CD80" s="62">
        <f ca="1">AVERAGE(OFFSET($CC$3,0,0,'Données projet'!$E$12+1,1))-AVERAGE(OFFSET($H$3,0,0,'Données projet'!$E$12+1,1))</f>
        <v>292.83612296867898</v>
      </c>
      <c r="CE80" s="62">
        <f t="shared" si="94"/>
        <v>180.48047802041276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2.3846158048530293E-6</v>
      </c>
      <c r="CN80" s="24">
        <f t="shared" si="66"/>
        <v>2.3846158048530293E-6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178.19999999999985</v>
      </c>
      <c r="CU80" s="18">
        <f>CT80*VLOOKUP('Données projet'!$B$13,Paramètres!$A$1:$I$89,3,0)*VLOOKUP('Données projet'!$B$13,Paramètres!$A$1:$I$89,5,0)</f>
        <v>202.93415999999979</v>
      </c>
      <c r="CV80" s="14">
        <f t="shared" si="95"/>
        <v>50.388459677844807</v>
      </c>
      <c r="CW80" s="22">
        <f t="shared" si="67"/>
        <v>441.20356260557941</v>
      </c>
      <c r="CX80" s="62">
        <f t="shared" si="68"/>
        <v>734.53689593891272</v>
      </c>
      <c r="CY80" s="62">
        <f ca="1">AVERAGE(OFFSET($CX$3,0,0,'Données projet'!$E$13+1,1))-AVERAGE(OFFSET($H$3,0,0,'Données projet'!$E$13+1,1))</f>
        <v>192.93829651668403</v>
      </c>
      <c r="CZ80" s="62">
        <f t="shared" si="96"/>
        <v>76.592736352376903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4.5999999999999996</v>
      </c>
      <c r="DO80" s="13">
        <f>IF('Données projet'!$A$166&gt;35,DO79+DN80-DW79,IF(A80&lt;'Données projet'!$A$166,$DL$205^A80,IF(A80='Données projet'!$A$166,'Données projet'!$B$166,DO79+DN80-DW79)))</f>
        <v>178.19999999999985</v>
      </c>
      <c r="DP80" s="18">
        <f>DO80*VLOOKUP('Données projet'!$B$14,Paramètres!$A$1:$I$89,3,0)*VLOOKUP('Données projet'!$B$14,Paramètres!$A$1:$I$89,5,0)</f>
        <v>119.53655999999989</v>
      </c>
      <c r="DQ80" s="14">
        <f t="shared" si="97"/>
        <v>31.566885194519251</v>
      </c>
      <c r="DR80" s="22">
        <f t="shared" si="70"/>
        <v>263.17183371378752</v>
      </c>
      <c r="DS80" s="62">
        <f t="shared" si="71"/>
        <v>556.50516704712084</v>
      </c>
      <c r="DT80" s="62">
        <f ca="1">AVERAGE(OFFSET($DS$3,0,0,'Données projet'!$E$14+1,1))-AVERAGE(OFFSET($H$3,0,0,'Données projet'!$E$14+1,1))</f>
        <v>66.964554307546564</v>
      </c>
      <c r="DU80" s="62">
        <f t="shared" si="98"/>
        <v>21.162700178818568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4.5999999999999996</v>
      </c>
      <c r="EJ80" s="13">
        <f>IF('Données projet'!$A$192&gt;35,EJ79+EI80-ER79,IF(A80&lt;'Données projet'!$A$192,$EG$205^A80,IF(A80='Données projet'!$A$192,'Données projet'!$B$192,EJ79+EI80-ER79)))</f>
        <v>178.19999999999985</v>
      </c>
      <c r="EK80" s="18">
        <f>EJ80*VLOOKUP('Données projet'!$B$15,Paramètres!$A$1:$I$89,3,0)*VLOOKUP('Données projet'!$B$15,Paramètres!$A$1:$I$89,5,0)</f>
        <v>172.35503999999986</v>
      </c>
      <c r="EL80" s="14">
        <f t="shared" si="99"/>
        <v>43.617051120131656</v>
      </c>
      <c r="EM80" s="22">
        <f t="shared" si="73"/>
        <v>376.15139203422905</v>
      </c>
      <c r="EN80" s="62">
        <f t="shared" si="74"/>
        <v>669.48472536756231</v>
      </c>
      <c r="EO80" s="62">
        <f ca="1">AVERAGE(OFFSET($EN$3,0,0,'Données projet'!$E$15+1,1))-AVERAGE(OFFSET($H$3,0,0,'Données projet'!$E$15+1,1))</f>
        <v>146.90952320473599</v>
      </c>
      <c r="EP80" s="62">
        <f t="shared" si="100"/>
        <v>56.347130462109817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4.5999999999999996</v>
      </c>
      <c r="FE80" s="13">
        <f>IF('Données projet'!$A$218&gt;35,FE79+FD80-FM79,IF(A80&lt;'Données projet'!$A$218,$FB$205^A80,IF(A80='Données projet'!$A$218,'Données projet'!$B$218,FE79+FD80-FM79)))</f>
        <v>178.19999999999985</v>
      </c>
      <c r="FF80" s="18">
        <f>FE80*VLOOKUP('Données projet'!$B$16,Paramètres!$A$1:$I$89,3,0)*VLOOKUP('Données projet'!$B$16,Paramètres!$A$1:$I$89,5,0)</f>
        <v>191.81447999999983</v>
      </c>
      <c r="FG80" s="14">
        <f t="shared" si="101"/>
        <v>47.940886441320977</v>
      </c>
      <c r="FH80" s="22">
        <f t="shared" si="76"/>
        <v>417.5739298853004</v>
      </c>
      <c r="FI80" s="62">
        <f t="shared" si="77"/>
        <v>710.90726321863372</v>
      </c>
      <c r="FJ80" s="62">
        <f ca="1">AVERAGE(OFFSET($FI$3,0,0,'Données projet'!$E$16+1,1))-AVERAGE(OFFSET($H$3,0,0,'Données projet'!$E$16+1,1))</f>
        <v>176.21892815766847</v>
      </c>
      <c r="FK80" s="62">
        <f t="shared" si="102"/>
        <v>69.239647548491234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1.6</v>
      </c>
      <c r="FZ80" s="13">
        <f>IF('Données projet'!$A$244&gt;35,FZ79+FY80-GH79,IF(A80&lt;'Données projet'!$A$244,$FW$205^A80,IF(A80='Données projet'!$A$244,'Données projet'!$B$244,FZ79+FY80-GH79)))</f>
        <v>154.1999999999999</v>
      </c>
      <c r="GA80" s="18">
        <f>FZ80*VLOOKUP('Données projet'!$B$17,Paramètres!$A$1:$I$89,3,0)*VLOOKUP('Données projet'!$B$17,Paramètres!$A$1:$I$89,5,0)</f>
        <v>122.68151999999994</v>
      </c>
      <c r="GB80" s="14">
        <f t="shared" si="103"/>
        <v>32.299613100899222</v>
      </c>
      <c r="GC80" s="22">
        <f t="shared" si="79"/>
        <v>269.92547348406606</v>
      </c>
      <c r="GD80" s="62">
        <f t="shared" si="80"/>
        <v>563.25880681739932</v>
      </c>
      <c r="GE80" s="62">
        <f ca="1">AVERAGE(OFFSET($GD$3,0,0,'Données projet'!$E$17+1,1))-AVERAGE(OFFSET($H$3,0,0,'Données projet'!$E$17+1,1))</f>
        <v>70.834027458412379</v>
      </c>
      <c r="GF80" s="62">
        <f t="shared" si="104"/>
        <v>74.346987922112362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1.0484086728233136E-6</v>
      </c>
      <c r="GO80" s="23">
        <f t="shared" si="81"/>
        <v>1.0484086728233136E-6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-1.1368683772161603E-13</v>
      </c>
      <c r="GV80" s="18">
        <f>GU80*VLOOKUP('Données projet'!$B$18,Paramètres!$A$1:$I$89,3,0)*VLOOKUP('Données projet'!$B$18,Paramètres!$A$1:$I$89,5,0)</f>
        <v>-8.8675733422860506E-14</v>
      </c>
      <c r="GW80" s="14" t="e">
        <f t="shared" si="105"/>
        <v>#NUM!</v>
      </c>
      <c r="GX80" s="22" t="e">
        <f t="shared" si="82"/>
        <v>#NUM!</v>
      </c>
      <c r="GY80" s="62" t="e">
        <f t="shared" si="83"/>
        <v>#NUM!</v>
      </c>
      <c r="GZ80" s="62">
        <f ca="1">AVERAGE(OFFSET($GY$3,0,0,'Données projet'!$E$18+1,1))-AVERAGE(OFFSET($H$3,0,0,'Données projet'!$E$18+1,1))</f>
        <v>99.222094917553648</v>
      </c>
      <c r="HA80" s="62">
        <f t="shared" si="106"/>
        <v>98.371477396766352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2.1813433732016225E-7</v>
      </c>
      <c r="HJ80" s="24">
        <f t="shared" si="84"/>
        <v>2.1813433732016225E-7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15.142857142857142</v>
      </c>
      <c r="N81" s="14">
        <f>IF('Données projet'!$A$36&gt;35,N80+M81-V80,IF(A81&lt;'Données projet'!$A$36,$K$205^A81,IF(A81='Données projet'!$A$36,'Données projet'!$B$36,N80+M81-V80)))</f>
        <v>480.85714285714317</v>
      </c>
      <c r="O81" s="14">
        <f>N81*VLOOKUP('Données projet'!$B$9,Paramètres!$A$1:$I$89,3,0)*VLOOKUP('Données projet'!$B$9,Paramètres!$A$1:$I$89,5,0)</f>
        <v>225.041142857143</v>
      </c>
      <c r="P81" s="14">
        <f t="shared" si="87"/>
        <v>55.209104329514197</v>
      </c>
      <c r="Q81" s="22">
        <f t="shared" si="54"/>
        <v>488.10251385009468</v>
      </c>
      <c r="R81" s="62">
        <f t="shared" si="55"/>
        <v>781.435847183428</v>
      </c>
      <c r="S81" s="62">
        <f ca="1">AVERAGE(OFFSET($R$3,0,0,'Données projet'!$E$9+1,1))-AVERAGE(OFFSET($H$3,0,0,'Données projet'!$E$9+1,1))</f>
        <v>181.48161394994878</v>
      </c>
      <c r="T81" s="62">
        <f t="shared" si="88"/>
        <v>141.1874974464024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960.60386205396253</v>
      </c>
      <c r="AN81" s="62">
        <f ca="1">AVERAGE(OFFSET($AM$3,0,0,'Données projet'!$E$10+1,1))-AVERAGE(OFFSET($H$3,0,0,'Données projet'!$E$10+1,1))</f>
        <v>340.81036749486179</v>
      </c>
      <c r="AO81" s="62">
        <f t="shared" si="90"/>
        <v>208.88199836488013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531.5</v>
      </c>
      <c r="BE81" s="14">
        <f>BD81*VLOOKUP('Données projet'!$B$11,Paramètres!$A$1:$I$89,3,0)*VLOOKUP('Données projet'!$B$11,Paramètres!$A$1:$I$89,5,0)</f>
        <v>317.83700000000005</v>
      </c>
      <c r="BF81" s="14">
        <f t="shared" si="91"/>
        <v>74.903121950927684</v>
      </c>
      <c r="BG81" s="22">
        <f t="shared" si="61"/>
        <v>684.0223790645324</v>
      </c>
      <c r="BH81" s="62">
        <f t="shared" si="62"/>
        <v>977.35571239786577</v>
      </c>
      <c r="BI81" s="62">
        <f ca="1">AVERAGE(OFFSET($BH$3,0,0,'Données projet'!$E$11+1,1))-AVERAGE(OFFSET($H$3,0,0,'Données projet'!$E$11+1,1))</f>
        <v>257.96727373333601</v>
      </c>
      <c r="BJ81" s="62">
        <f t="shared" si="92"/>
        <v>194.52809733694494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1.5973497781030181</v>
      </c>
      <c r="BR81" s="23">
        <f>EXP(-LN(2)/2)*BR80+(1-EXP(-LN(2)/2))/(LN(2)/2)*BL81*BO81*VLOOKUP('Données projet'!$B$11,Paramètres!$A$1:$I$89,3,0)*0.475*44/12</f>
        <v>8.4770301391750077E-7</v>
      </c>
      <c r="BS81" s="24">
        <f t="shared" si="63"/>
        <v>1.5973506258060322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276.50687999999997</v>
      </c>
      <c r="CA81" s="14">
        <f t="shared" si="93"/>
        <v>66.228273722513677</v>
      </c>
      <c r="CB81" s="22">
        <f t="shared" si="64"/>
        <v>596.93039273337797</v>
      </c>
      <c r="CC81" s="62">
        <f t="shared" si="65"/>
        <v>890.26372606671134</v>
      </c>
      <c r="CD81" s="62">
        <f ca="1">AVERAGE(OFFSET($CC$3,0,0,'Données projet'!$E$12+1,1))-AVERAGE(OFFSET($H$3,0,0,'Données projet'!$E$12+1,1))</f>
        <v>292.83612296867898</v>
      </c>
      <c r="CE81" s="62">
        <f t="shared" si="94"/>
        <v>180.48047802041276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1.6861780061361939E-6</v>
      </c>
      <c r="CN81" s="24">
        <f t="shared" si="66"/>
        <v>1.6861780061361939E-6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182.79999999999984</v>
      </c>
      <c r="CU81" s="18">
        <f>CT81*VLOOKUP('Données projet'!$B$13,Paramètres!$A$1:$I$89,3,0)*VLOOKUP('Données projet'!$B$13,Paramètres!$A$1:$I$89,5,0)</f>
        <v>208.1726399999998</v>
      </c>
      <c r="CV81" s="14">
        <f t="shared" si="95"/>
        <v>51.536058671065128</v>
      </c>
      <c r="CW81" s="22">
        <f t="shared" si="67"/>
        <v>452.32598351877147</v>
      </c>
      <c r="CX81" s="62">
        <f t="shared" si="68"/>
        <v>745.65931685210478</v>
      </c>
      <c r="CY81" s="62">
        <f ca="1">AVERAGE(OFFSET($CX$3,0,0,'Données projet'!$E$13+1,1))-AVERAGE(OFFSET($H$3,0,0,'Données projet'!$E$13+1,1))</f>
        <v>192.93829651668403</v>
      </c>
      <c r="CZ81" s="62">
        <f t="shared" si="96"/>
        <v>76.592736352376903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4.5999999999999996</v>
      </c>
      <c r="DO81" s="13">
        <f>IF('Données projet'!$A$166&gt;35,DO80+DN81-DW80,IF(A81&lt;'Données projet'!$A$166,$DL$205^A81,IF(A81='Données projet'!$A$166,'Données projet'!$B$166,DO80+DN81-DW80)))</f>
        <v>182.79999999999984</v>
      </c>
      <c r="DP81" s="18">
        <f>DO81*VLOOKUP('Données projet'!$B$14,Paramètres!$A$1:$I$89,3,0)*VLOOKUP('Données projet'!$B$14,Paramètres!$A$1:$I$89,5,0)</f>
        <v>122.62223999999989</v>
      </c>
      <c r="DQ81" s="14">
        <f t="shared" si="97"/>
        <v>32.285822147542639</v>
      </c>
      <c r="DR81" s="22">
        <f t="shared" si="70"/>
        <v>269.79820824030321</v>
      </c>
      <c r="DS81" s="62">
        <f t="shared" si="71"/>
        <v>563.13154157363647</v>
      </c>
      <c r="DT81" s="62">
        <f ca="1">AVERAGE(OFFSET($DS$3,0,0,'Données projet'!$E$14+1,1))-AVERAGE(OFFSET($H$3,0,0,'Données projet'!$E$14+1,1))</f>
        <v>66.964554307546564</v>
      </c>
      <c r="DU81" s="62">
        <f t="shared" si="98"/>
        <v>21.162700178818568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4.5999999999999996</v>
      </c>
      <c r="EJ81" s="13">
        <f>IF('Données projet'!$A$192&gt;35,EJ80+EI81-ER80,IF(A81&lt;'Données projet'!$A$192,$EG$205^A81,IF(A81='Données projet'!$A$192,'Données projet'!$B$192,EJ80+EI81-ER80)))</f>
        <v>182.79999999999984</v>
      </c>
      <c r="EK81" s="18">
        <f>EJ81*VLOOKUP('Données projet'!$B$15,Paramètres!$A$1:$I$89,3,0)*VLOOKUP('Données projet'!$B$15,Paramètres!$A$1:$I$89,5,0)</f>
        <v>176.80415999999985</v>
      </c>
      <c r="EL81" s="14">
        <f t="shared" si="99"/>
        <v>44.610431038325714</v>
      </c>
      <c r="EM81" s="22">
        <f t="shared" si="73"/>
        <v>385.63041272508372</v>
      </c>
      <c r="EN81" s="62">
        <f t="shared" si="74"/>
        <v>678.96374605841697</v>
      </c>
      <c r="EO81" s="62">
        <f ca="1">AVERAGE(OFFSET($EN$3,0,0,'Données projet'!$E$15+1,1))-AVERAGE(OFFSET($H$3,0,0,'Données projet'!$E$15+1,1))</f>
        <v>146.90952320473599</v>
      </c>
      <c r="EP81" s="62">
        <f t="shared" si="100"/>
        <v>56.347130462109817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4.5999999999999996</v>
      </c>
      <c r="FE81" s="13">
        <f>IF('Données projet'!$A$218&gt;35,FE80+FD81-FM80,IF(A81&lt;'Données projet'!$A$218,$FB$205^A81,IF(A81='Données projet'!$A$218,'Données projet'!$B$218,FE80+FD81-FM80)))</f>
        <v>182.79999999999984</v>
      </c>
      <c r="FF81" s="18">
        <f>FE81*VLOOKUP('Données projet'!$B$16,Paramètres!$A$1:$I$89,3,0)*VLOOKUP('Données projet'!$B$16,Paramètres!$A$1:$I$89,5,0)</f>
        <v>196.76591999999982</v>
      </c>
      <c r="FG81" s="14">
        <f t="shared" si="101"/>
        <v>49.032741865477547</v>
      </c>
      <c r="FH81" s="22">
        <f t="shared" si="76"/>
        <v>428.0993360823731</v>
      </c>
      <c r="FI81" s="62">
        <f t="shared" si="77"/>
        <v>721.43266941570641</v>
      </c>
      <c r="FJ81" s="62">
        <f ca="1">AVERAGE(OFFSET($FI$3,0,0,'Données projet'!$E$16+1,1))-AVERAGE(OFFSET($H$3,0,0,'Données projet'!$E$16+1,1))</f>
        <v>176.21892815766847</v>
      </c>
      <c r="FK81" s="62">
        <f t="shared" si="102"/>
        <v>69.239647548491234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1.6</v>
      </c>
      <c r="FZ81" s="13">
        <f>IF('Données projet'!$A$244&gt;35,FZ80+FY81-GH80,IF(A81&lt;'Données projet'!$A$244,$FW$205^A81,IF(A81='Données projet'!$A$244,'Données projet'!$B$244,FZ80+FY81-GH80)))</f>
        <v>155.7999999999999</v>
      </c>
      <c r="GA81" s="18">
        <f>FZ81*VLOOKUP('Données projet'!$B$17,Paramètres!$A$1:$I$89,3,0)*VLOOKUP('Données projet'!$B$17,Paramètres!$A$1:$I$89,5,0)</f>
        <v>123.95447999999993</v>
      </c>
      <c r="GB81" s="14">
        <f t="shared" si="103"/>
        <v>32.595569202682576</v>
      </c>
      <c r="GC81" s="22">
        <f t="shared" si="79"/>
        <v>272.65800236133873</v>
      </c>
      <c r="GD81" s="62">
        <f t="shared" si="80"/>
        <v>565.99133569467199</v>
      </c>
      <c r="GE81" s="62">
        <f ca="1">AVERAGE(OFFSET($GD$3,0,0,'Données projet'!$E$17+1,1))-AVERAGE(OFFSET($H$3,0,0,'Données projet'!$E$17+1,1))</f>
        <v>70.834027458412379</v>
      </c>
      <c r="GF81" s="62">
        <f t="shared" si="104"/>
        <v>74.346987922112362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7.413368820081535E-7</v>
      </c>
      <c r="GO81" s="23">
        <f t="shared" si="81"/>
        <v>7.413368820081535E-7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-1.1368683772161603E-13</v>
      </c>
      <c r="GV81" s="18">
        <f>GU81*VLOOKUP('Données projet'!$B$18,Paramètres!$A$1:$I$89,3,0)*VLOOKUP('Données projet'!$B$18,Paramètres!$A$1:$I$89,5,0)</f>
        <v>-8.8675733422860506E-14</v>
      </c>
      <c r="GW81" s="14" t="e">
        <f t="shared" si="105"/>
        <v>#NUM!</v>
      </c>
      <c r="GX81" s="22" t="e">
        <f t="shared" si="82"/>
        <v>#NUM!</v>
      </c>
      <c r="GY81" s="62" t="e">
        <f t="shared" si="83"/>
        <v>#NUM!</v>
      </c>
      <c r="GZ81" s="62">
        <f ca="1">AVERAGE(OFFSET($GY$3,0,0,'Données projet'!$E$18+1,1))-AVERAGE(OFFSET($H$3,0,0,'Données projet'!$E$18+1,1))</f>
        <v>99.222094917553648</v>
      </c>
      <c r="HA81" s="62">
        <f t="shared" si="106"/>
        <v>98.371477396766352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1.5424426912872051E-7</v>
      </c>
      <c r="HJ81" s="24">
        <f t="shared" si="84"/>
        <v>1.5424426912872051E-7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496</v>
      </c>
      <c r="L82" s="13">
        <f>VLOOKUP(A82,'Données projet'!$A$35:$I$55,9,0)</f>
        <v>15.142857142857142</v>
      </c>
      <c r="M82" s="13">
        <f t="array" ref="M82">INDEX(L:L,MIN(IF(ISNUMBER(L82:L278),ROW(L82:L278),"")))</f>
        <v>15.142857142857142</v>
      </c>
      <c r="N82" s="14">
        <f>IF('Données projet'!$A$36&gt;35,N81+M82-V81,IF(A82&lt;'Données projet'!$A$36,$K$205^A82,IF(A82='Données projet'!$A$36,'Données projet'!$B$36,N81+M82-V81)))</f>
        <v>496.00000000000034</v>
      </c>
      <c r="O82" s="14">
        <f>N82*VLOOKUP('Données projet'!$B$9,Paramètres!$A$1:$I$89,3,0)*VLOOKUP('Données projet'!$B$9,Paramètres!$A$1:$I$89,5,0)</f>
        <v>232.12800000000016</v>
      </c>
      <c r="P82" s="14">
        <f t="shared" si="87"/>
        <v>56.742557967082448</v>
      </c>
      <c r="Q82" s="22">
        <f t="shared" si="54"/>
        <v>503.11622179266891</v>
      </c>
      <c r="R82" s="62">
        <f t="shared" si="55"/>
        <v>796.44955512600222</v>
      </c>
      <c r="S82" s="62">
        <f ca="1">AVERAGE(OFFSET($R$3,0,0,'Données projet'!$E$9+1,1))-AVERAGE(OFFSET($H$3,0,0,'Données projet'!$E$9+1,1))</f>
        <v>181.48161394994878</v>
      </c>
      <c r="T82" s="62">
        <f t="shared" si="88"/>
        <v>141.1874974464024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88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975.97144846392098</v>
      </c>
      <c r="AN82" s="62">
        <f ca="1">AVERAGE(OFFSET($AM$3,0,0,'Données projet'!$E$10+1,1))-AVERAGE(OFFSET($H$3,0,0,'Données projet'!$E$10+1,1))</f>
        <v>340.81036749486179</v>
      </c>
      <c r="AO82" s="62">
        <f t="shared" si="90"/>
        <v>208.88199836488013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540.375</v>
      </c>
      <c r="BE82" s="14">
        <f>BD82*VLOOKUP('Données projet'!$B$11,Paramètres!$A$1:$I$89,3,0)*VLOOKUP('Données projet'!$B$11,Paramètres!$A$1:$I$89,5,0)</f>
        <v>323.14425000000006</v>
      </c>
      <c r="BF82" s="14">
        <f t="shared" si="91"/>
        <v>76.007203261088534</v>
      </c>
      <c r="BG82" s="22">
        <f t="shared" si="61"/>
        <v>695.18878109639593</v>
      </c>
      <c r="BH82" s="62">
        <f t="shared" si="62"/>
        <v>988.5221144297293</v>
      </c>
      <c r="BI82" s="62">
        <f ca="1">AVERAGE(OFFSET($BH$3,0,0,'Données projet'!$E$11+1,1))-AVERAGE(OFFSET($H$3,0,0,'Données projet'!$E$11+1,1))</f>
        <v>257.96727373333601</v>
      </c>
      <c r="BJ82" s="62">
        <f t="shared" si="92"/>
        <v>194.52809733694494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1.553670164419817</v>
      </c>
      <c r="BR82" s="23">
        <f>EXP(-LN(2)/2)*BR81+(1-EXP(-LN(2)/2))/(LN(2)/2)*BL82*BO82*VLOOKUP('Données projet'!$B$11,Paramètres!$A$1:$I$89,3,0)*0.475*44/12</f>
        <v>5.9941654957333906E-7</v>
      </c>
      <c r="BS82" s="24">
        <f t="shared" si="63"/>
        <v>1.5536707638363665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283.02144000000004</v>
      </c>
      <c r="CA82" s="14">
        <f t="shared" si="93"/>
        <v>67.605126603830598</v>
      </c>
      <c r="CB82" s="22">
        <f t="shared" si="64"/>
        <v>610.67460350167164</v>
      </c>
      <c r="CC82" s="62">
        <f t="shared" si="65"/>
        <v>904.00793683500501</v>
      </c>
      <c r="CD82" s="62">
        <f ca="1">AVERAGE(OFFSET($CC$3,0,0,'Données projet'!$E$12+1,1))-AVERAGE(OFFSET($H$3,0,0,'Données projet'!$E$12+1,1))</f>
        <v>292.83612296867898</v>
      </c>
      <c r="CE82" s="62">
        <f t="shared" si="94"/>
        <v>180.48047802041276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1.1923079024265146E-6</v>
      </c>
      <c r="CN82" s="24">
        <f t="shared" si="66"/>
        <v>1.1923079024265146E-6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187.39999999999984</v>
      </c>
      <c r="CU82" s="18">
        <f>CT82*VLOOKUP('Données projet'!$B$13,Paramètres!$A$1:$I$89,3,0)*VLOOKUP('Données projet'!$B$13,Paramètres!$A$1:$I$89,5,0)</f>
        <v>213.41111999999981</v>
      </c>
      <c r="CV82" s="14">
        <f t="shared" si="95"/>
        <v>52.680300772591735</v>
      </c>
      <c r="CW82" s="22">
        <f t="shared" si="67"/>
        <v>463.44255784559692</v>
      </c>
      <c r="CX82" s="62">
        <f t="shared" si="68"/>
        <v>756.77589117893024</v>
      </c>
      <c r="CY82" s="62">
        <f ca="1">AVERAGE(OFFSET($CX$3,0,0,'Données projet'!$E$13+1,1))-AVERAGE(OFFSET($H$3,0,0,'Données projet'!$E$13+1,1))</f>
        <v>192.93829651668403</v>
      </c>
      <c r="CZ82" s="62">
        <f t="shared" si="96"/>
        <v>76.592736352376903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4.5999999999999996</v>
      </c>
      <c r="DO82" s="13">
        <f>IF('Données projet'!$A$166&gt;35,DO81+DN82-DW81,IF(A82&lt;'Données projet'!$A$166,$DL$205^A82,IF(A82='Données projet'!$A$166,'Données projet'!$B$166,DO81+DN82-DW81)))</f>
        <v>187.39999999999984</v>
      </c>
      <c r="DP82" s="18">
        <f>DO82*VLOOKUP('Données projet'!$B$14,Paramètres!$A$1:$I$89,3,0)*VLOOKUP('Données projet'!$B$14,Paramètres!$A$1:$I$89,5,0)</f>
        <v>125.70791999999989</v>
      </c>
      <c r="DQ82" s="14">
        <f t="shared" si="97"/>
        <v>33.002656106837271</v>
      </c>
      <c r="DR82" s="22">
        <f t="shared" si="70"/>
        <v>276.42092005274134</v>
      </c>
      <c r="DS82" s="62">
        <f t="shared" si="71"/>
        <v>569.75425338607465</v>
      </c>
      <c r="DT82" s="62">
        <f ca="1">AVERAGE(OFFSET($DS$3,0,0,'Données projet'!$E$14+1,1))-AVERAGE(OFFSET($H$3,0,0,'Données projet'!$E$14+1,1))</f>
        <v>66.964554307546564</v>
      </c>
      <c r="DU82" s="62">
        <f t="shared" si="98"/>
        <v>21.162700178818568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4.5999999999999996</v>
      </c>
      <c r="EJ82" s="13">
        <f>IF('Données projet'!$A$192&gt;35,EJ81+EI82-ER81,IF(A82&lt;'Données projet'!$A$192,$EG$205^A82,IF(A82='Données projet'!$A$192,'Données projet'!$B$192,EJ81+EI82-ER81)))</f>
        <v>187.39999999999984</v>
      </c>
      <c r="EK82" s="18">
        <f>EJ82*VLOOKUP('Données projet'!$B$15,Paramètres!$A$1:$I$89,3,0)*VLOOKUP('Données projet'!$B$15,Paramètres!$A$1:$I$89,5,0)</f>
        <v>181.25327999999985</v>
      </c>
      <c r="EL82" s="14">
        <f t="shared" si="99"/>
        <v>45.600905177745368</v>
      </c>
      <c r="EM82" s="22">
        <f t="shared" si="73"/>
        <v>395.10437251790626</v>
      </c>
      <c r="EN82" s="62">
        <f t="shared" si="74"/>
        <v>688.43770585123957</v>
      </c>
      <c r="EO82" s="62">
        <f ca="1">AVERAGE(OFFSET($EN$3,0,0,'Données projet'!$E$15+1,1))-AVERAGE(OFFSET($H$3,0,0,'Données projet'!$E$15+1,1))</f>
        <v>146.90952320473599</v>
      </c>
      <c r="EP82" s="62">
        <f t="shared" si="100"/>
        <v>56.347130462109817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4.5999999999999996</v>
      </c>
      <c r="FE82" s="13">
        <f>IF('Données projet'!$A$218&gt;35,FE81+FD82-FM81,IF(A82&lt;'Données projet'!$A$218,$FB$205^A82,IF(A82='Données projet'!$A$218,'Données projet'!$B$218,FE81+FD82-FM81)))</f>
        <v>187.39999999999984</v>
      </c>
      <c r="FF82" s="18">
        <f>FE82*VLOOKUP('Données projet'!$B$16,Paramètres!$A$1:$I$89,3,0)*VLOOKUP('Données projet'!$B$16,Paramètres!$A$1:$I$89,5,0)</f>
        <v>201.71735999999981</v>
      </c>
      <c r="FG82" s="14">
        <f t="shared" si="101"/>
        <v>50.121403455877093</v>
      </c>
      <c r="FH82" s="22">
        <f t="shared" si="76"/>
        <v>438.61917968565234</v>
      </c>
      <c r="FI82" s="62">
        <f t="shared" si="77"/>
        <v>731.95251301898566</v>
      </c>
      <c r="FJ82" s="62">
        <f ca="1">AVERAGE(OFFSET($FI$3,0,0,'Données projet'!$E$16+1,1))-AVERAGE(OFFSET($H$3,0,0,'Données projet'!$E$16+1,1))</f>
        <v>176.21892815766847</v>
      </c>
      <c r="FK82" s="62">
        <f t="shared" si="102"/>
        <v>69.239647548491234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1.6</v>
      </c>
      <c r="FZ82" s="13">
        <f>IF('Données projet'!$A$244&gt;35,FZ81+FY82-GH81,IF(A82&lt;'Données projet'!$A$244,$FW$205^A82,IF(A82='Données projet'!$A$244,'Données projet'!$B$244,FZ81+FY82-GH81)))</f>
        <v>157.39999999999989</v>
      </c>
      <c r="GA82" s="18">
        <f>FZ82*VLOOKUP('Données projet'!$B$17,Paramètres!$A$1:$I$89,3,0)*VLOOKUP('Données projet'!$B$17,Paramètres!$A$1:$I$89,5,0)</f>
        <v>125.22743999999992</v>
      </c>
      <c r="GB82" s="14">
        <f t="shared" si="103"/>
        <v>32.891171729641719</v>
      </c>
      <c r="GC82" s="22">
        <f t="shared" si="79"/>
        <v>275.38991542912578</v>
      </c>
      <c r="GD82" s="62">
        <f t="shared" si="80"/>
        <v>568.72324876245909</v>
      </c>
      <c r="GE82" s="62">
        <f ca="1">AVERAGE(OFFSET($GD$3,0,0,'Données projet'!$E$17+1,1))-AVERAGE(OFFSET($H$3,0,0,'Données projet'!$E$17+1,1))</f>
        <v>70.834027458412379</v>
      </c>
      <c r="GF82" s="62">
        <f t="shared" si="104"/>
        <v>74.346987922112362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5.242043364116568E-7</v>
      </c>
      <c r="GO82" s="23">
        <f t="shared" si="81"/>
        <v>5.242043364116568E-7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-1.1368683772161603E-13</v>
      </c>
      <c r="GV82" s="18">
        <f>GU82*VLOOKUP('Données projet'!$B$18,Paramètres!$A$1:$I$89,3,0)*VLOOKUP('Données projet'!$B$18,Paramètres!$A$1:$I$89,5,0)</f>
        <v>-8.8675733422860506E-14</v>
      </c>
      <c r="GW82" s="14" t="e">
        <f t="shared" si="105"/>
        <v>#NUM!</v>
      </c>
      <c r="GX82" s="22" t="e">
        <f t="shared" si="82"/>
        <v>#NUM!</v>
      </c>
      <c r="GY82" s="62" t="e">
        <f t="shared" si="83"/>
        <v>#NUM!</v>
      </c>
      <c r="GZ82" s="62">
        <f ca="1">AVERAGE(OFFSET($GY$3,0,0,'Données projet'!$E$18+1,1))-AVERAGE(OFFSET($H$3,0,0,'Données projet'!$E$18+1,1))</f>
        <v>99.222094917553648</v>
      </c>
      <c r="HA82" s="62">
        <f t="shared" si="106"/>
        <v>98.371477396766352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1.0906716866008112E-7</v>
      </c>
      <c r="HJ82" s="24">
        <f t="shared" si="84"/>
        <v>1.0906716866008112E-7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423</v>
      </c>
      <c r="L83" s="13">
        <f>VLOOKUP(A83,'Données projet'!$A$35:$I$55,9,0)</f>
        <v>15</v>
      </c>
      <c r="M83" s="13">
        <f t="array" ref="M83">INDEX(L:L,MIN(IF(ISNUMBER(L83:L279),ROW(L83:L279),"")))</f>
        <v>15</v>
      </c>
      <c r="N83" s="14">
        <f>IF('Données projet'!$A$36&gt;35,N82+M83-V82,IF(A83&lt;'Données projet'!$A$36,$K$205^A83,IF(A83='Données projet'!$A$36,'Données projet'!$B$36,N82+M83-V82)))</f>
        <v>423.00000000000034</v>
      </c>
      <c r="O83" s="14">
        <f>N83*VLOOKUP('Données projet'!$B$9,Paramètres!$A$1:$I$89,3,0)*VLOOKUP('Données projet'!$B$9,Paramètres!$A$1:$I$89,5,0)</f>
        <v>197.96400000000017</v>
      </c>
      <c r="P83" s="14">
        <f t="shared" si="87"/>
        <v>49.296450435147804</v>
      </c>
      <c r="Q83" s="22">
        <f t="shared" si="54"/>
        <v>430.64528450788265</v>
      </c>
      <c r="R83" s="62">
        <f t="shared" si="55"/>
        <v>723.97861784121596</v>
      </c>
      <c r="S83" s="62">
        <f ca="1">AVERAGE(OFFSET($R$3,0,0,'Données projet'!$E$9+1,1))-AVERAGE(OFFSET($H$3,0,0,'Données projet'!$E$9+1,1))</f>
        <v>181.48161394994878</v>
      </c>
      <c r="T83" s="62">
        <f t="shared" si="88"/>
        <v>141.1874974464024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991.33193819028838</v>
      </c>
      <c r="AN83" s="62">
        <f ca="1">AVERAGE(OFFSET($AM$3,0,0,'Données projet'!$E$10+1,1))-AVERAGE(OFFSET($H$3,0,0,'Données projet'!$E$10+1,1))</f>
        <v>340.81036749486179</v>
      </c>
      <c r="AO83" s="62">
        <f t="shared" si="90"/>
        <v>208.88199836488013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549.25</v>
      </c>
      <c r="BE83" s="14">
        <f>BD83*VLOOKUP('Données projet'!$B$11,Paramètres!$A$1:$I$89,3,0)*VLOOKUP('Données projet'!$B$11,Paramètres!$A$1:$I$89,5,0)</f>
        <v>328.45150000000001</v>
      </c>
      <c r="BF83" s="14">
        <f t="shared" si="91"/>
        <v>77.109175784158708</v>
      </c>
      <c r="BG83" s="22">
        <f t="shared" si="61"/>
        <v>706.35151032407646</v>
      </c>
      <c r="BH83" s="62">
        <f t="shared" si="62"/>
        <v>999.68484365740983</v>
      </c>
      <c r="BI83" s="62">
        <f ca="1">AVERAGE(OFFSET($BH$3,0,0,'Données projet'!$E$11+1,1))-AVERAGE(OFFSET($H$3,0,0,'Données projet'!$E$11+1,1))</f>
        <v>257.96727373333601</v>
      </c>
      <c r="BJ83" s="62">
        <f t="shared" si="92"/>
        <v>194.52809733694494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1.5111849720697941</v>
      </c>
      <c r="BR83" s="23">
        <f>EXP(-LN(2)/2)*BR82+(1-EXP(-LN(2)/2))/(LN(2)/2)*BL83*BO83*VLOOKUP('Données projet'!$B$11,Paramètres!$A$1:$I$89,3,0)*0.475*44/12</f>
        <v>4.2385150695875038E-7</v>
      </c>
      <c r="BS83" s="24">
        <f t="shared" si="63"/>
        <v>1.5111853959213011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289.536</v>
      </c>
      <c r="CA83" s="14">
        <f t="shared" si="93"/>
        <v>68.97829509904436</v>
      </c>
      <c r="CB83" s="22">
        <f t="shared" si="64"/>
        <v>624.41239729750225</v>
      </c>
      <c r="CC83" s="62">
        <f t="shared" si="65"/>
        <v>917.74573063083562</v>
      </c>
      <c r="CD83" s="62">
        <f ca="1">AVERAGE(OFFSET($CC$3,0,0,'Données projet'!$E$12+1,1))-AVERAGE(OFFSET($H$3,0,0,'Données projet'!$E$12+1,1))</f>
        <v>292.83612296867898</v>
      </c>
      <c r="CE83" s="62">
        <f t="shared" si="94"/>
        <v>180.48047802041276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8.4308900306809695E-7</v>
      </c>
      <c r="CN83" s="24">
        <f t="shared" si="66"/>
        <v>8.4308900306809695E-7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191.99999999999983</v>
      </c>
      <c r="CU83" s="18">
        <f>CT83*VLOOKUP('Données projet'!$B$13,Paramètres!$A$1:$I$89,3,0)*VLOOKUP('Données projet'!$B$13,Paramètres!$A$1:$I$89,5,0)</f>
        <v>218.64959999999982</v>
      </c>
      <c r="CV83" s="14">
        <f t="shared" si="95"/>
        <v>53.821277860805843</v>
      </c>
      <c r="CW83" s="22">
        <f t="shared" si="67"/>
        <v>474.55344560756993</v>
      </c>
      <c r="CX83" s="62">
        <f t="shared" si="68"/>
        <v>767.88677894090324</v>
      </c>
      <c r="CY83" s="62">
        <f ca="1">AVERAGE(OFFSET($CX$3,0,0,'Données projet'!$E$13+1,1))-AVERAGE(OFFSET($H$3,0,0,'Données projet'!$E$13+1,1))</f>
        <v>192.93829651668403</v>
      </c>
      <c r="CZ83" s="62">
        <f t="shared" si="96"/>
        <v>76.592736352376903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14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192</v>
      </c>
      <c r="DM83" s="13">
        <f>VLOOKUP(A83,'Données projet'!$A$165:$I$185,9,0)</f>
        <v>4.5999999999999996</v>
      </c>
      <c r="DN83" s="13">
        <f t="array" ref="DN83">INDEX(DM:DM,MIN(IF(ISNUMBER(DM83:DM279),ROW(DM83:DM279),"")))</f>
        <v>4.5999999999999996</v>
      </c>
      <c r="DO83" s="13">
        <f>IF('Données projet'!$A$166&gt;35,DO82+DN83-DW82,IF(A83&lt;'Données projet'!$A$166,$DL$205^A83,IF(A83='Données projet'!$A$166,'Données projet'!$B$166,DO82+DN83-DW82)))</f>
        <v>191.99999999999983</v>
      </c>
      <c r="DP83" s="18">
        <f>DO83*VLOOKUP('Données projet'!$B$14,Paramètres!$A$1:$I$89,3,0)*VLOOKUP('Données projet'!$B$14,Paramètres!$A$1:$I$89,5,0)</f>
        <v>128.79359999999988</v>
      </c>
      <c r="DQ83" s="14">
        <f t="shared" si="97"/>
        <v>33.717444631501536</v>
      </c>
      <c r="DR83" s="22">
        <f t="shared" si="70"/>
        <v>283.04006939986493</v>
      </c>
      <c r="DS83" s="62">
        <f t="shared" si="71"/>
        <v>576.37340273319819</v>
      </c>
      <c r="DT83" s="62">
        <f ca="1">AVERAGE(OFFSET($DS$3,0,0,'Données projet'!$E$14+1,1))-AVERAGE(OFFSET($H$3,0,0,'Données projet'!$E$14+1,1))</f>
        <v>66.964554307546564</v>
      </c>
      <c r="DU83" s="62">
        <f t="shared" si="98"/>
        <v>21.162700178818568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14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192</v>
      </c>
      <c r="EH83" s="13">
        <f>VLOOKUP(A83,'Données projet'!$A$191:$I$211,9,0)</f>
        <v>4.5999999999999996</v>
      </c>
      <c r="EI83" s="13">
        <f t="array" ref="EI83">INDEX(EH:EH,MIN(IF(ISNUMBER(EH83:EH279),ROW(EH83:EH279),"")))</f>
        <v>4.5999999999999996</v>
      </c>
      <c r="EJ83" s="13">
        <f>IF('Données projet'!$A$192&gt;35,EJ82+EI83-ER82,IF(A83&lt;'Données projet'!$A$192,$EG$205^A83,IF(A83='Données projet'!$A$192,'Données projet'!$B$192,EJ82+EI83-ER82)))</f>
        <v>191.99999999999983</v>
      </c>
      <c r="EK83" s="18">
        <f>EJ83*VLOOKUP('Données projet'!$B$15,Paramètres!$A$1:$I$89,3,0)*VLOOKUP('Données projet'!$B$15,Paramètres!$A$1:$I$89,5,0)</f>
        <v>185.70239999999984</v>
      </c>
      <c r="EL83" s="14">
        <f t="shared" si="99"/>
        <v>46.588553069776786</v>
      </c>
      <c r="EM83" s="22">
        <f t="shared" si="73"/>
        <v>404.57340992986093</v>
      </c>
      <c r="EN83" s="62">
        <f t="shared" si="74"/>
        <v>697.90674326319424</v>
      </c>
      <c r="EO83" s="62">
        <f ca="1">AVERAGE(OFFSET($EN$3,0,0,'Données projet'!$E$15+1,1))-AVERAGE(OFFSET($H$3,0,0,'Données projet'!$E$15+1,1))</f>
        <v>146.90952320473599</v>
      </c>
      <c r="EP83" s="62">
        <f t="shared" si="100"/>
        <v>56.347130462109817</v>
      </c>
      <c r="EQ83" s="16">
        <f>IF(ISNA(VLOOKUP(A83,'Données projet'!$A$191:$I$211,3,0)),0,VLOOKUP(A83,'Données projet'!$A$191:$I$211,3,0))</f>
        <v>12</v>
      </c>
      <c r="ER83" s="16">
        <f>IF(ISNA(VLOOKUP(A83,'Données projet'!$A$191:$I$211,4,0)),0,VLOOKUP(A83,'Données projet'!$A$191:$I$211,4,0))</f>
        <v>14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192</v>
      </c>
      <c r="FC83" s="13">
        <f>VLOOKUP(A83,'Données projet'!$A$217:$I$237,9,0)</f>
        <v>4.5999999999999996</v>
      </c>
      <c r="FD83" s="13">
        <f t="array" ref="FD83">INDEX(FC:FC,MIN(IF(ISNUMBER(FC83:FC279),ROW(FC83:FC279),"")))</f>
        <v>4.5999999999999996</v>
      </c>
      <c r="FE83" s="13">
        <f>IF('Données projet'!$A$218&gt;35,FE82+FD83-FM82,IF(A83&lt;'Données projet'!$A$218,$FB$205^A83,IF(A83='Données projet'!$A$218,'Données projet'!$B$218,FE82+FD83-FM82)))</f>
        <v>191.99999999999983</v>
      </c>
      <c r="FF83" s="18">
        <f>FE83*VLOOKUP('Données projet'!$B$16,Paramètres!$A$1:$I$89,3,0)*VLOOKUP('Données projet'!$B$16,Paramètres!$A$1:$I$89,5,0)</f>
        <v>206.66879999999981</v>
      </c>
      <c r="FG83" s="14">
        <f t="shared" si="101"/>
        <v>51.206958627992705</v>
      </c>
      <c r="FH83" s="22">
        <f t="shared" si="76"/>
        <v>449.13361294375363</v>
      </c>
      <c r="FI83" s="62">
        <f t="shared" si="77"/>
        <v>742.46694627708689</v>
      </c>
      <c r="FJ83" s="62">
        <f ca="1">AVERAGE(OFFSET($FI$3,0,0,'Données projet'!$E$16+1,1))-AVERAGE(OFFSET($H$3,0,0,'Données projet'!$E$16+1,1))</f>
        <v>176.21892815766847</v>
      </c>
      <c r="FK83" s="62">
        <f t="shared" si="102"/>
        <v>69.239647548491234</v>
      </c>
      <c r="FL83" s="16">
        <f>IF(ISNA(VLOOKUP(A83,'Données projet'!$A$217:$I$237,3,0)),0,VLOOKUP(A83,'Données projet'!$A$217:$I$237,3,0))</f>
        <v>12</v>
      </c>
      <c r="FM83" s="16">
        <f>IF(ISNA(VLOOKUP(A83,'Données projet'!$A$217:$I$237,4,0)),0,VLOOKUP(A83,'Données projet'!$A$217:$I$237,4,0))</f>
        <v>14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159</v>
      </c>
      <c r="FX83" s="13">
        <f>VLOOKUP(A83,'Données projet'!$A$243:$I$263,9,0)</f>
        <v>1.6</v>
      </c>
      <c r="FY83" s="13">
        <f t="array" ref="FY83">INDEX(FX:FX,MIN(IF(ISNUMBER(FX83:FX279),ROW(FX83:FX279),"")))</f>
        <v>1.6</v>
      </c>
      <c r="FZ83" s="13">
        <f>IF('Données projet'!$A$244&gt;35,FZ82+FY83-GH82,IF(A83&lt;'Données projet'!$A$244,$FW$205^A83,IF(A83='Données projet'!$A$244,'Données projet'!$B$244,FZ82+FY83-GH82)))</f>
        <v>158.99999999999989</v>
      </c>
      <c r="GA83" s="18">
        <f>FZ83*VLOOKUP('Données projet'!$B$17,Paramètres!$A$1:$I$89,3,0)*VLOOKUP('Données projet'!$B$17,Paramètres!$A$1:$I$89,5,0)</f>
        <v>126.50039999999993</v>
      </c>
      <c r="GB83" s="14">
        <f t="shared" si="103"/>
        <v>33.186424692055162</v>
      </c>
      <c r="GC83" s="22">
        <f t="shared" si="79"/>
        <v>278.12121967199596</v>
      </c>
      <c r="GD83" s="62">
        <f t="shared" si="80"/>
        <v>571.45455300532922</v>
      </c>
      <c r="GE83" s="62">
        <f ca="1">AVERAGE(OFFSET($GD$3,0,0,'Données projet'!$E$17+1,1))-AVERAGE(OFFSET($H$3,0,0,'Données projet'!$E$17+1,1))</f>
        <v>70.834027458412379</v>
      </c>
      <c r="GF83" s="62">
        <f t="shared" si="104"/>
        <v>74.346987922112362</v>
      </c>
      <c r="GG83" s="16">
        <f>IF(ISNA(VLOOKUP(A83,'Données projet'!$A$243:$I$263,3,0)),0,VLOOKUP(A83,'Données projet'!$A$243:$I$263,3,0))</f>
        <v>13</v>
      </c>
      <c r="GH83" s="16">
        <f>IF(ISNA(VLOOKUP(A83,'Données projet'!$A$243:$I$263,4,0)),0,VLOOKUP(A83,'Données projet'!$A$243:$I$263,4,0))</f>
        <v>159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3.7066844100407675E-7</v>
      </c>
      <c r="GO83" s="23">
        <f t="shared" si="81"/>
        <v>3.7066844100407675E-7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-1.1368683772161603E-13</v>
      </c>
      <c r="GV83" s="18">
        <f>GU83*VLOOKUP('Données projet'!$B$18,Paramètres!$A$1:$I$89,3,0)*VLOOKUP('Données projet'!$B$18,Paramètres!$A$1:$I$89,5,0)</f>
        <v>-8.8675733422860506E-14</v>
      </c>
      <c r="GW83" s="14" t="e">
        <f t="shared" si="105"/>
        <v>#NUM!</v>
      </c>
      <c r="GX83" s="22" t="e">
        <f t="shared" si="82"/>
        <v>#NUM!</v>
      </c>
      <c r="GY83" s="62" t="e">
        <f t="shared" si="83"/>
        <v>#NUM!</v>
      </c>
      <c r="GZ83" s="62">
        <f ca="1">AVERAGE(OFFSET($GY$3,0,0,'Données projet'!$E$18+1,1))-AVERAGE(OFFSET($H$3,0,0,'Données projet'!$E$18+1,1))</f>
        <v>99.222094917553648</v>
      </c>
      <c r="HA83" s="62">
        <f t="shared" si="106"/>
        <v>98.371477396766352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7.7122134564360255E-8</v>
      </c>
      <c r="HJ83" s="24">
        <f t="shared" si="84"/>
        <v>7.7122134564360255E-8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14.142857142857142</v>
      </c>
      <c r="N84" s="14">
        <f>IF('Données projet'!$A$36&gt;35,N83+M84-V83,IF(A84&lt;'Données projet'!$A$36,$K$205^A84,IF(A84='Données projet'!$A$36,'Données projet'!$B$36,N83+M84-V83)))</f>
        <v>437.14285714285751</v>
      </c>
      <c r="O84" s="14">
        <f>N84*VLOOKUP('Données projet'!$B$9,Paramètres!$A$1:$I$89,3,0)*VLOOKUP('Données projet'!$B$9,Paramètres!$A$1:$I$89,5,0)</f>
        <v>204.58285714285734</v>
      </c>
      <c r="P84" s="14">
        <f t="shared" si="87"/>
        <v>50.750009154879976</v>
      </c>
      <c r="Q84" s="22">
        <f t="shared" si="54"/>
        <v>444.70474213522584</v>
      </c>
      <c r="R84" s="62">
        <f t="shared" si="55"/>
        <v>738.0380754685591</v>
      </c>
      <c r="S84" s="62">
        <f ca="1">AVERAGE(OFFSET($R$3,0,0,'Données projet'!$E$9+1,1))-AVERAGE(OFFSET($H$3,0,0,'Données projet'!$E$9+1,1))</f>
        <v>181.48161394994878</v>
      </c>
      <c r="T84" s="62">
        <f t="shared" si="88"/>
        <v>141.1874974464024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302.98320000000007</v>
      </c>
      <c r="AK84" s="14">
        <f t="shared" si="89"/>
        <v>71.801496173397709</v>
      </c>
      <c r="AL84" s="22">
        <f t="shared" si="58"/>
        <v>652.75001250200114</v>
      </c>
      <c r="AM84" s="62">
        <f t="shared" si="59"/>
        <v>946.08334583533451</v>
      </c>
      <c r="AN84" s="62">
        <f ca="1">AVERAGE(OFFSET($AM$3,0,0,'Données projet'!$E$10+1,1))-AVERAGE(OFFSET($H$3,0,0,'Données projet'!$E$10+1,1))</f>
        <v>340.81036749486179</v>
      </c>
      <c r="AO84" s="62">
        <f t="shared" si="90"/>
        <v>208.88199836488013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558.125</v>
      </c>
      <c r="BE84" s="14">
        <f>BD84*VLOOKUP('Données projet'!$B$11,Paramètres!$A$1:$I$89,3,0)*VLOOKUP('Données projet'!$B$11,Paramètres!$A$1:$I$89,5,0)</f>
        <v>333.75875000000002</v>
      </c>
      <c r="BF84" s="14">
        <f t="shared" si="91"/>
        <v>78.209077528625059</v>
      </c>
      <c r="BG84" s="22">
        <f t="shared" si="61"/>
        <v>717.5106329456886</v>
      </c>
      <c r="BH84" s="62">
        <f t="shared" si="62"/>
        <v>1010.843966279022</v>
      </c>
      <c r="BI84" s="62">
        <f ca="1">AVERAGE(OFFSET($BH$3,0,0,'Données projet'!$E$11+1,1))-AVERAGE(OFFSET($H$3,0,0,'Données projet'!$E$11+1,1))</f>
        <v>257.96727373333601</v>
      </c>
      <c r="BJ84" s="62">
        <f t="shared" si="92"/>
        <v>194.52809733694494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1.4698615395387817</v>
      </c>
      <c r="BR84" s="23">
        <f>EXP(-LN(2)/2)*BR83+(1-EXP(-LN(2)/2))/(LN(2)/2)*BL84*BO84*VLOOKUP('Données projet'!$B$11,Paramètres!$A$1:$I$89,3,0)*0.475*44/12</f>
        <v>2.9970827478666953E-7</v>
      </c>
      <c r="BS84" s="24">
        <f t="shared" si="63"/>
        <v>1.4698618392470566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270.35424</v>
      </c>
      <c r="CA84" s="14">
        <f t="shared" si="93"/>
        <v>64.924442218534367</v>
      </c>
      <c r="CB84" s="22">
        <f t="shared" si="64"/>
        <v>583.94370486394735</v>
      </c>
      <c r="CC84" s="62">
        <f t="shared" si="65"/>
        <v>877.27703819728072</v>
      </c>
      <c r="CD84" s="62">
        <f ca="1">AVERAGE(OFFSET($CC$3,0,0,'Données projet'!$E$12+1,1))-AVERAGE(OFFSET($H$3,0,0,'Données projet'!$E$12+1,1))</f>
        <v>292.83612296867898</v>
      </c>
      <c r="CE84" s="62">
        <f t="shared" si="94"/>
        <v>180.48047802041276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5.9615395121325731E-7</v>
      </c>
      <c r="CN84" s="24">
        <f t="shared" si="66"/>
        <v>5.9615395121325731E-7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182.39999999999984</v>
      </c>
      <c r="CU84" s="18">
        <f>CT84*VLOOKUP('Données projet'!$B$13,Paramètres!$A$1:$I$89,3,0)*VLOOKUP('Données projet'!$B$13,Paramètres!$A$1:$I$89,5,0)</f>
        <v>207.7171199999998</v>
      </c>
      <c r="CV84" s="14">
        <f t="shared" si="95"/>
        <v>51.436402072718458</v>
      </c>
      <c r="CW84" s="22">
        <f t="shared" si="67"/>
        <v>451.35905094331764</v>
      </c>
      <c r="CX84" s="62">
        <f t="shared" si="68"/>
        <v>744.69238427665096</v>
      </c>
      <c r="CY84" s="62">
        <f ca="1">AVERAGE(OFFSET($CX$3,0,0,'Données projet'!$E$13+1,1))-AVERAGE(OFFSET($H$3,0,0,'Données projet'!$E$13+1,1))</f>
        <v>192.93829651668403</v>
      </c>
      <c r="CZ84" s="62">
        <f t="shared" si="96"/>
        <v>76.592736352376903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4.4000000000000004</v>
      </c>
      <c r="DO84" s="13">
        <f>IF('Données projet'!$A$166&gt;35,DO83+DN84-DW83,IF(A84&lt;'Données projet'!$A$166,$DL$205^A84,IF(A84='Données projet'!$A$166,'Données projet'!$B$166,DO83+DN84-DW83)))</f>
        <v>182.39999999999984</v>
      </c>
      <c r="DP84" s="18">
        <f>DO84*VLOOKUP('Données projet'!$B$14,Paramètres!$A$1:$I$89,3,0)*VLOOKUP('Données projet'!$B$14,Paramètres!$A$1:$I$89,5,0)</f>
        <v>122.3539199999999</v>
      </c>
      <c r="DQ84" s="14">
        <f t="shared" si="97"/>
        <v>32.223390225253326</v>
      </c>
      <c r="DR84" s="22">
        <f t="shared" si="70"/>
        <v>269.22214864231609</v>
      </c>
      <c r="DS84" s="62">
        <f t="shared" si="71"/>
        <v>562.5554819756494</v>
      </c>
      <c r="DT84" s="62">
        <f ca="1">AVERAGE(OFFSET($DS$3,0,0,'Données projet'!$E$14+1,1))-AVERAGE(OFFSET($H$3,0,0,'Données projet'!$E$14+1,1))</f>
        <v>66.964554307546564</v>
      </c>
      <c r="DU84" s="62">
        <f t="shared" si="98"/>
        <v>21.162700178818568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4.4000000000000004</v>
      </c>
      <c r="EJ84" s="13">
        <f>IF('Données projet'!$A$192&gt;35,EJ83+EI84-ER83,IF(A84&lt;'Données projet'!$A$192,$EG$205^A84,IF(A84='Données projet'!$A$192,'Données projet'!$B$192,EJ83+EI84-ER83)))</f>
        <v>182.39999999999984</v>
      </c>
      <c r="EK84" s="18">
        <f>EJ84*VLOOKUP('Données projet'!$B$15,Paramètres!$A$1:$I$89,3,0)*VLOOKUP('Données projet'!$B$15,Paramètres!$A$1:$I$89,5,0)</f>
        <v>176.41727999999983</v>
      </c>
      <c r="EL84" s="14">
        <f t="shared" si="99"/>
        <v>44.524166703747213</v>
      </c>
      <c r="EM84" s="22">
        <f t="shared" si="73"/>
        <v>384.80635300902605</v>
      </c>
      <c r="EN84" s="62">
        <f t="shared" si="74"/>
        <v>678.13968634235937</v>
      </c>
      <c r="EO84" s="62">
        <f ca="1">AVERAGE(OFFSET($EN$3,0,0,'Données projet'!$E$15+1,1))-AVERAGE(OFFSET($H$3,0,0,'Données projet'!$E$15+1,1))</f>
        <v>146.90952320473599</v>
      </c>
      <c r="EP84" s="62">
        <f t="shared" si="100"/>
        <v>56.347130462109817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4.4000000000000004</v>
      </c>
      <c r="FE84" s="13">
        <f>IF('Données projet'!$A$218&gt;35,FE83+FD84-FM83,IF(A84&lt;'Données projet'!$A$218,$FB$205^A84,IF(A84='Données projet'!$A$218,'Données projet'!$B$218,FE83+FD84-FM83)))</f>
        <v>182.39999999999984</v>
      </c>
      <c r="FF84" s="18">
        <f>FE84*VLOOKUP('Données projet'!$B$16,Paramètres!$A$1:$I$89,3,0)*VLOOKUP('Données projet'!$B$16,Paramètres!$A$1:$I$89,5,0)</f>
        <v>196.33535999999981</v>
      </c>
      <c r="FG84" s="14">
        <f t="shared" si="101"/>
        <v>48.937925995037943</v>
      </c>
      <c r="FH84" s="22">
        <f t="shared" si="76"/>
        <v>427.18430644135742</v>
      </c>
      <c r="FI84" s="62">
        <f t="shared" si="77"/>
        <v>720.51763977469068</v>
      </c>
      <c r="FJ84" s="62">
        <f ca="1">AVERAGE(OFFSET($FI$3,0,0,'Données projet'!$E$16+1,1))-AVERAGE(OFFSET($H$3,0,0,'Données projet'!$E$16+1,1))</f>
        <v>176.21892815766847</v>
      </c>
      <c r="FK84" s="62">
        <f t="shared" si="102"/>
        <v>69.239647548491234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-1.1368683772161603E-13</v>
      </c>
      <c r="GA84" s="18">
        <f>FZ84*VLOOKUP('Données projet'!$B$17,Paramètres!$A$1:$I$89,3,0)*VLOOKUP('Données projet'!$B$17,Paramètres!$A$1:$I$89,5,0)</f>
        <v>-9.0449248091317723E-14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70.834027458412379</v>
      </c>
      <c r="GF84" s="62">
        <f t="shared" si="104"/>
        <v>74.346987922112362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2.621021682058284E-7</v>
      </c>
      <c r="GO84" s="23">
        <f t="shared" si="81"/>
        <v>2.621021682058284E-7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-1.1368683772161603E-13</v>
      </c>
      <c r="GV84" s="18">
        <f>GU84*VLOOKUP('Données projet'!$B$18,Paramètres!$A$1:$I$89,3,0)*VLOOKUP('Données projet'!$B$18,Paramètres!$A$1:$I$89,5,0)</f>
        <v>-8.8675733422860506E-14</v>
      </c>
      <c r="GW84" s="14" t="e">
        <f t="shared" si="105"/>
        <v>#NUM!</v>
      </c>
      <c r="GX84" s="22" t="e">
        <f t="shared" si="82"/>
        <v>#NUM!</v>
      </c>
      <c r="GY84" s="62" t="e">
        <f t="shared" si="83"/>
        <v>#NUM!</v>
      </c>
      <c r="GZ84" s="62">
        <f ca="1">AVERAGE(OFFSET($GY$3,0,0,'Données projet'!$E$18+1,1))-AVERAGE(OFFSET($H$3,0,0,'Données projet'!$E$18+1,1))</f>
        <v>99.222094917553648</v>
      </c>
      <c r="HA84" s="62">
        <f t="shared" si="106"/>
        <v>98.371477396766352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5.4533584330040561E-8</v>
      </c>
      <c r="HJ84" s="24">
        <f t="shared" si="84"/>
        <v>5.4533584330040561E-8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14.142857142857142</v>
      </c>
      <c r="N85" s="14">
        <f>IF('Données projet'!$A$36&gt;35,N84+M85-V84,IF(A85&lt;'Données projet'!$A$36,$K$205^A85,IF(A85='Données projet'!$A$36,'Données projet'!$B$36,N84+M85-V84)))</f>
        <v>451.28571428571468</v>
      </c>
      <c r="O85" s="14">
        <f>N85*VLOOKUP('Données projet'!$B$9,Paramètres!$A$1:$I$89,3,0)*VLOOKUP('Données projet'!$B$9,Paramètres!$A$1:$I$89,5,0)</f>
        <v>211.20171428571447</v>
      </c>
      <c r="P85" s="14">
        <f t="shared" si="87"/>
        <v>52.198103230485451</v>
      </c>
      <c r="Q85" s="22">
        <f t="shared" si="54"/>
        <v>458.75468217404813</v>
      </c>
      <c r="R85" s="62">
        <f t="shared" si="55"/>
        <v>752.08801550738144</v>
      </c>
      <c r="S85" s="62">
        <f ca="1">AVERAGE(OFFSET($R$3,0,0,'Données projet'!$E$9+1,1))-AVERAGE(OFFSET($H$3,0,0,'Données projet'!$E$9+1,1))</f>
        <v>181.48161394994878</v>
      </c>
      <c r="T85" s="62">
        <f t="shared" si="88"/>
        <v>141.1874974464024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309.87840000000006</v>
      </c>
      <c r="AK85" s="14">
        <f t="shared" si="89"/>
        <v>73.243434672131556</v>
      </c>
      <c r="AL85" s="22">
        <f t="shared" si="58"/>
        <v>667.27052872062916</v>
      </c>
      <c r="AM85" s="62">
        <f t="shared" si="59"/>
        <v>960.60386205396253</v>
      </c>
      <c r="AN85" s="62">
        <f ca="1">AVERAGE(OFFSET($AM$3,0,0,'Données projet'!$E$10+1,1))-AVERAGE(OFFSET($H$3,0,0,'Données projet'!$E$10+1,1))</f>
        <v>340.81036749486179</v>
      </c>
      <c r="AO85" s="62">
        <f t="shared" si="90"/>
        <v>208.88199836488013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567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567</v>
      </c>
      <c r="BE85" s="14">
        <f>BD85*VLOOKUP('Données projet'!$B$11,Paramètres!$A$1:$I$89,3,0)*VLOOKUP('Données projet'!$B$11,Paramètres!$A$1:$I$89,5,0)</f>
        <v>339.06600000000003</v>
      </c>
      <c r="BF85" s="14">
        <f t="shared" si="91"/>
        <v>79.30694522486489</v>
      </c>
      <c r="BG85" s="22">
        <f t="shared" si="61"/>
        <v>728.66621293330627</v>
      </c>
      <c r="BH85" s="62">
        <f t="shared" si="62"/>
        <v>1021.9995462666395</v>
      </c>
      <c r="BI85" s="62">
        <f ca="1">AVERAGE(OFFSET($BH$3,0,0,'Données projet'!$E$11+1,1))-AVERAGE(OFFSET($H$3,0,0,'Données projet'!$E$11+1,1))</f>
        <v>257.96727373333601</v>
      </c>
      <c r="BJ85" s="62">
        <f t="shared" si="92"/>
        <v>194.52809733694494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567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1.4296680984434349</v>
      </c>
      <c r="BR85" s="23">
        <f>EXP(-LN(2)/2)*BR84+(1-EXP(-LN(2)/2))/(LN(2)/2)*BL85*BO85*VLOOKUP('Données projet'!$B$11,Paramètres!$A$1:$I$89,3,0)*0.475*44/12</f>
        <v>2.1192575347937519E-7</v>
      </c>
      <c r="BS85" s="24">
        <f t="shared" si="63"/>
        <v>1.4296683103691883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276.50687999999997</v>
      </c>
      <c r="CA85" s="14">
        <f t="shared" si="93"/>
        <v>66.228273722513677</v>
      </c>
      <c r="CB85" s="22">
        <f t="shared" si="64"/>
        <v>596.93039273337797</v>
      </c>
      <c r="CC85" s="62">
        <f t="shared" si="65"/>
        <v>890.26372606671134</v>
      </c>
      <c r="CD85" s="62">
        <f ca="1">AVERAGE(OFFSET($CC$3,0,0,'Données projet'!$E$12+1,1))-AVERAGE(OFFSET($H$3,0,0,'Données projet'!$E$12+1,1))</f>
        <v>292.83612296867898</v>
      </c>
      <c r="CE85" s="62">
        <f t="shared" si="94"/>
        <v>180.48047802041276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4.2154450153404847E-7</v>
      </c>
      <c r="CN85" s="24">
        <f t="shared" si="66"/>
        <v>4.2154450153404847E-7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186.79999999999984</v>
      </c>
      <c r="CU85" s="18">
        <f>CT85*VLOOKUP('Données projet'!$B$13,Paramètres!$A$1:$I$89,3,0)*VLOOKUP('Données projet'!$B$13,Paramètres!$A$1:$I$89,5,0)</f>
        <v>212.72783999999984</v>
      </c>
      <c r="CV85" s="14">
        <f t="shared" si="95"/>
        <v>52.53123887963978</v>
      </c>
      <c r="CW85" s="22">
        <f t="shared" si="67"/>
        <v>461.9928957153723</v>
      </c>
      <c r="CX85" s="62">
        <f t="shared" si="68"/>
        <v>755.32622904870561</v>
      </c>
      <c r="CY85" s="62">
        <f ca="1">AVERAGE(OFFSET($CX$3,0,0,'Données projet'!$E$13+1,1))-AVERAGE(OFFSET($H$3,0,0,'Données projet'!$E$13+1,1))</f>
        <v>192.93829651668403</v>
      </c>
      <c r="CZ85" s="62">
        <f t="shared" si="96"/>
        <v>76.592736352376903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4.4000000000000004</v>
      </c>
      <c r="DO85" s="13">
        <f>IF('Données projet'!$A$166&gt;35,DO84+DN85-DW84,IF(A85&lt;'Données projet'!$A$166,$DL$205^A85,IF(A85='Données projet'!$A$166,'Données projet'!$B$166,DO84+DN85-DW84)))</f>
        <v>186.79999999999984</v>
      </c>
      <c r="DP85" s="18">
        <f>DO85*VLOOKUP('Données projet'!$B$14,Paramètres!$A$1:$I$89,3,0)*VLOOKUP('Données projet'!$B$14,Paramètres!$A$1:$I$89,5,0)</f>
        <v>125.30543999999989</v>
      </c>
      <c r="DQ85" s="14">
        <f t="shared" si="97"/>
        <v>32.909273223300495</v>
      </c>
      <c r="DR85" s="22">
        <f t="shared" si="70"/>
        <v>275.55729219724816</v>
      </c>
      <c r="DS85" s="62">
        <f t="shared" si="71"/>
        <v>568.89062553058147</v>
      </c>
      <c r="DT85" s="62">
        <f ca="1">AVERAGE(OFFSET($DS$3,0,0,'Données projet'!$E$14+1,1))-AVERAGE(OFFSET($H$3,0,0,'Données projet'!$E$14+1,1))</f>
        <v>66.964554307546564</v>
      </c>
      <c r="DU85" s="62">
        <f t="shared" si="98"/>
        <v>21.162700178818568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4.4000000000000004</v>
      </c>
      <c r="EJ85" s="13">
        <f>IF('Données projet'!$A$192&gt;35,EJ84+EI85-ER84,IF(A85&lt;'Données projet'!$A$192,$EG$205^A85,IF(A85='Données projet'!$A$192,'Données projet'!$B$192,EJ84+EI85-ER84)))</f>
        <v>186.79999999999984</v>
      </c>
      <c r="EK85" s="18">
        <f>EJ85*VLOOKUP('Données projet'!$B$15,Paramètres!$A$1:$I$89,3,0)*VLOOKUP('Données projet'!$B$15,Paramètres!$A$1:$I$89,5,0)</f>
        <v>180.67295999999985</v>
      </c>
      <c r="EL85" s="14">
        <f t="shared" si="99"/>
        <v>45.471874835351159</v>
      </c>
      <c r="EM85" s="22">
        <f t="shared" si="73"/>
        <v>393.86892067156964</v>
      </c>
      <c r="EN85" s="62">
        <f t="shared" si="74"/>
        <v>687.2022540049029</v>
      </c>
      <c r="EO85" s="62">
        <f ca="1">AVERAGE(OFFSET($EN$3,0,0,'Données projet'!$E$15+1,1))-AVERAGE(OFFSET($H$3,0,0,'Données projet'!$E$15+1,1))</f>
        <v>146.90952320473599</v>
      </c>
      <c r="EP85" s="62">
        <f t="shared" si="100"/>
        <v>56.347130462109817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4.4000000000000004</v>
      </c>
      <c r="FE85" s="13">
        <f>IF('Données projet'!$A$218&gt;35,FE84+FD85-FM84,IF(A85&lt;'Données projet'!$A$218,$FB$205^A85,IF(A85='Données projet'!$A$218,'Données projet'!$B$218,FE84+FD85-FM84)))</f>
        <v>186.79999999999984</v>
      </c>
      <c r="FF85" s="18">
        <f>FE85*VLOOKUP('Données projet'!$B$16,Paramètres!$A$1:$I$89,3,0)*VLOOKUP('Données projet'!$B$16,Paramètres!$A$1:$I$89,5,0)</f>
        <v>201.07151999999982</v>
      </c>
      <c r="FG85" s="14">
        <f t="shared" si="101"/>
        <v>49.979582107726607</v>
      </c>
      <c r="FH85" s="22">
        <f t="shared" si="76"/>
        <v>437.24733617095688</v>
      </c>
      <c r="FI85" s="62">
        <f t="shared" si="77"/>
        <v>730.5806695042902</v>
      </c>
      <c r="FJ85" s="62">
        <f ca="1">AVERAGE(OFFSET($FI$3,0,0,'Données projet'!$E$16+1,1))-AVERAGE(OFFSET($H$3,0,0,'Données projet'!$E$16+1,1))</f>
        <v>176.21892815766847</v>
      </c>
      <c r="FK85" s="62">
        <f t="shared" si="102"/>
        <v>69.239647548491234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-1.1368683772161603E-13</v>
      </c>
      <c r="GA85" s="18">
        <f>FZ85*VLOOKUP('Données projet'!$B$17,Paramètres!$A$1:$I$89,3,0)*VLOOKUP('Données projet'!$B$17,Paramètres!$A$1:$I$89,5,0)</f>
        <v>-9.0449248091317723E-14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70.834027458412379</v>
      </c>
      <c r="GF85" s="62">
        <f t="shared" si="104"/>
        <v>74.346987922112362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1.8533422050203837E-7</v>
      </c>
      <c r="GO85" s="23">
        <f t="shared" si="81"/>
        <v>1.8533422050203837E-7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-1.1368683772161603E-13</v>
      </c>
      <c r="GV85" s="18">
        <f>GU85*VLOOKUP('Données projet'!$B$18,Paramètres!$A$1:$I$89,3,0)*VLOOKUP('Données projet'!$B$18,Paramètres!$A$1:$I$89,5,0)</f>
        <v>-8.8675733422860506E-14</v>
      </c>
      <c r="GW85" s="14" t="e">
        <f t="shared" si="105"/>
        <v>#NUM!</v>
      </c>
      <c r="GX85" s="22" t="e">
        <f t="shared" si="82"/>
        <v>#NUM!</v>
      </c>
      <c r="GY85" s="62" t="e">
        <f t="shared" si="83"/>
        <v>#NUM!</v>
      </c>
      <c r="GZ85" s="62">
        <f ca="1">AVERAGE(OFFSET($GY$3,0,0,'Données projet'!$E$18+1,1))-AVERAGE(OFFSET($H$3,0,0,'Données projet'!$E$18+1,1))</f>
        <v>99.222094917553648</v>
      </c>
      <c r="HA85" s="62">
        <f t="shared" si="106"/>
        <v>98.371477396766352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3.8561067282180128E-8</v>
      </c>
      <c r="HJ85" s="24">
        <f t="shared" si="84"/>
        <v>3.8561067282180128E-8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14.142857142857142</v>
      </c>
      <c r="N86" s="14">
        <f>IF('Données projet'!$A$36&gt;35,N85+M86-V85,IF(A86&lt;'Données projet'!$A$36,$K$205^A86,IF(A86='Données projet'!$A$36,'Données projet'!$B$36,N85+M86-V85)))</f>
        <v>465.42857142857184</v>
      </c>
      <c r="O86" s="14">
        <f>N86*VLOOKUP('Données projet'!$B$9,Paramètres!$A$1:$I$89,3,0)*VLOOKUP('Données projet'!$B$9,Paramètres!$A$1:$I$89,5,0)</f>
        <v>217.82057142857164</v>
      </c>
      <c r="P86" s="14">
        <f t="shared" si="87"/>
        <v>53.640923568007189</v>
      </c>
      <c r="Q86" s="22">
        <f t="shared" si="54"/>
        <v>472.79543711904148</v>
      </c>
      <c r="R86" s="62">
        <f t="shared" si="55"/>
        <v>766.12877045237474</v>
      </c>
      <c r="S86" s="62">
        <f ca="1">AVERAGE(OFFSET($R$3,0,0,'Données projet'!$E$9+1,1))-AVERAGE(OFFSET($H$3,0,0,'Données projet'!$E$9+1,1))</f>
        <v>181.48161394994878</v>
      </c>
      <c r="T86" s="62">
        <f t="shared" si="88"/>
        <v>141.1874974464024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316.77360000000004</v>
      </c>
      <c r="AK86" s="14">
        <f t="shared" si="89"/>
        <v>74.681642981668006</v>
      </c>
      <c r="AL86" s="22">
        <f t="shared" si="58"/>
        <v>681.78454819307183</v>
      </c>
      <c r="AM86" s="62">
        <f t="shared" si="59"/>
        <v>975.1178815264052</v>
      </c>
      <c r="AN86" s="62">
        <f ca="1">AVERAGE(OFFSET($AM$3,0,0,'Données projet'!$E$10+1,1))-AVERAGE(OFFSET($H$3,0,0,'Données projet'!$E$10+1,1))</f>
        <v>340.81036749486179</v>
      </c>
      <c r="AO86" s="62">
        <f t="shared" si="90"/>
        <v>208.88199836488013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257.96727373333601</v>
      </c>
      <c r="BJ86" s="62">
        <f t="shared" si="92"/>
        <v>194.52809733694494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1.3905737491085215</v>
      </c>
      <c r="BR86" s="23">
        <f>EXP(-LN(2)/2)*BR85+(1-EXP(-LN(2)/2))/(LN(2)/2)*BL86*BO86*VLOOKUP('Données projet'!$B$11,Paramètres!$A$1:$I$89,3,0)*0.475*44/12</f>
        <v>1.4985413739333476E-7</v>
      </c>
      <c r="BS86" s="24">
        <f t="shared" si="63"/>
        <v>1.3905738989626588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282.65952000000004</v>
      </c>
      <c r="CA86" s="14">
        <f t="shared" si="93"/>
        <v>67.528732309967324</v>
      </c>
      <c r="CB86" s="22">
        <f t="shared" si="64"/>
        <v>609.91120610652649</v>
      </c>
      <c r="CC86" s="62">
        <f t="shared" si="65"/>
        <v>903.24453943985986</v>
      </c>
      <c r="CD86" s="62">
        <f ca="1">AVERAGE(OFFSET($CC$3,0,0,'Données projet'!$E$12+1,1))-AVERAGE(OFFSET($H$3,0,0,'Données projet'!$E$12+1,1))</f>
        <v>292.83612296867898</v>
      </c>
      <c r="CE86" s="62">
        <f t="shared" si="94"/>
        <v>180.48047802041276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2.9807697560662866E-7</v>
      </c>
      <c r="CN86" s="24">
        <f t="shared" si="66"/>
        <v>2.9807697560662866E-7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191.19999999999985</v>
      </c>
      <c r="CU86" s="18">
        <f>CT86*VLOOKUP('Données projet'!$B$13,Paramètres!$A$1:$I$89,3,0)*VLOOKUP('Données projet'!$B$13,Paramètres!$A$1:$I$89,5,0)</f>
        <v>217.73855999999981</v>
      </c>
      <c r="CV86" s="14">
        <f t="shared" si="95"/>
        <v>53.623077729615453</v>
      </c>
      <c r="CW86" s="22">
        <f t="shared" si="67"/>
        <v>472.62151904574654</v>
      </c>
      <c r="CX86" s="62">
        <f t="shared" si="68"/>
        <v>765.95485237907985</v>
      </c>
      <c r="CY86" s="62">
        <f ca="1">AVERAGE(OFFSET($CX$3,0,0,'Données projet'!$E$13+1,1))-AVERAGE(OFFSET($H$3,0,0,'Données projet'!$E$13+1,1))</f>
        <v>192.93829651668403</v>
      </c>
      <c r="CZ86" s="62">
        <f t="shared" si="96"/>
        <v>76.592736352376903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4.4000000000000004</v>
      </c>
      <c r="DO86" s="13">
        <f>IF('Données projet'!$A$166&gt;35,DO85+DN86-DW85,IF(A86&lt;'Données projet'!$A$166,$DL$205^A86,IF(A86='Données projet'!$A$166,'Données projet'!$B$166,DO85+DN86-DW85)))</f>
        <v>191.19999999999985</v>
      </c>
      <c r="DP86" s="18">
        <f>DO86*VLOOKUP('Données projet'!$B$14,Paramètres!$A$1:$I$89,3,0)*VLOOKUP('Données projet'!$B$14,Paramètres!$A$1:$I$89,5,0)</f>
        <v>128.25695999999991</v>
      </c>
      <c r="DQ86" s="14">
        <f t="shared" si="97"/>
        <v>33.593278089661837</v>
      </c>
      <c r="DR86" s="22">
        <f t="shared" si="70"/>
        <v>281.88916467282746</v>
      </c>
      <c r="DS86" s="62">
        <f t="shared" si="71"/>
        <v>575.22249800616078</v>
      </c>
      <c r="DT86" s="62">
        <f ca="1">AVERAGE(OFFSET($DS$3,0,0,'Données projet'!$E$14+1,1))-AVERAGE(OFFSET($H$3,0,0,'Données projet'!$E$14+1,1))</f>
        <v>66.964554307546564</v>
      </c>
      <c r="DU86" s="62">
        <f t="shared" si="98"/>
        <v>21.162700178818568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4.4000000000000004</v>
      </c>
      <c r="EJ86" s="13">
        <f>IF('Données projet'!$A$192&gt;35,EJ85+EI86-ER85,IF(A86&lt;'Données projet'!$A$192,$EG$205^A86,IF(A86='Données projet'!$A$192,'Données projet'!$B$192,EJ85+EI86-ER85)))</f>
        <v>191.19999999999985</v>
      </c>
      <c r="EK86" s="18">
        <f>EJ86*VLOOKUP('Données projet'!$B$15,Paramètres!$A$1:$I$89,3,0)*VLOOKUP('Données projet'!$B$15,Paramètres!$A$1:$I$89,5,0)</f>
        <v>184.92863999999986</v>
      </c>
      <c r="EL86" s="14">
        <f t="shared" si="99"/>
        <v>46.416987887800182</v>
      </c>
      <c r="EM86" s="22">
        <f t="shared" si="73"/>
        <v>402.92696857125173</v>
      </c>
      <c r="EN86" s="62">
        <f t="shared" si="74"/>
        <v>696.26030190458505</v>
      </c>
      <c r="EO86" s="62">
        <f ca="1">AVERAGE(OFFSET($EN$3,0,0,'Données projet'!$E$15+1,1))-AVERAGE(OFFSET($H$3,0,0,'Données projet'!$E$15+1,1))</f>
        <v>146.90952320473599</v>
      </c>
      <c r="EP86" s="62">
        <f t="shared" si="100"/>
        <v>56.347130462109817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4.4000000000000004</v>
      </c>
      <c r="FE86" s="13">
        <f>IF('Données projet'!$A$218&gt;35,FE85+FD86-FM85,IF(A86&lt;'Données projet'!$A$218,$FB$205^A86,IF(A86='Données projet'!$A$218,'Données projet'!$B$218,FE85+FD86-FM85)))</f>
        <v>191.19999999999985</v>
      </c>
      <c r="FF86" s="18">
        <f>FE86*VLOOKUP('Données projet'!$B$16,Paramètres!$A$1:$I$89,3,0)*VLOOKUP('Données projet'!$B$16,Paramètres!$A$1:$I$89,5,0)</f>
        <v>205.80767999999983</v>
      </c>
      <c r="FG86" s="14">
        <f t="shared" si="101"/>
        <v>51.018385886479962</v>
      </c>
      <c r="FH86" s="22">
        <f t="shared" si="76"/>
        <v>447.30539808561895</v>
      </c>
      <c r="FI86" s="62">
        <f t="shared" si="77"/>
        <v>740.63873141895226</v>
      </c>
      <c r="FJ86" s="62">
        <f ca="1">AVERAGE(OFFSET($FI$3,0,0,'Données projet'!$E$16+1,1))-AVERAGE(OFFSET($H$3,0,0,'Données projet'!$E$16+1,1))</f>
        <v>176.21892815766847</v>
      </c>
      <c r="FK86" s="62">
        <f t="shared" si="102"/>
        <v>69.239647548491234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-1.1368683772161603E-13</v>
      </c>
      <c r="GA86" s="18">
        <f>FZ86*VLOOKUP('Données projet'!$B$17,Paramètres!$A$1:$I$89,3,0)*VLOOKUP('Données projet'!$B$17,Paramètres!$A$1:$I$89,5,0)</f>
        <v>-9.0449248091317723E-14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70.834027458412379</v>
      </c>
      <c r="GF86" s="62">
        <f t="shared" si="104"/>
        <v>74.346987922112362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1.310510841029142E-7</v>
      </c>
      <c r="GO86" s="23">
        <f t="shared" si="81"/>
        <v>1.310510841029142E-7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-1.1368683772161603E-13</v>
      </c>
      <c r="GV86" s="18">
        <f>GU86*VLOOKUP('Données projet'!$B$18,Paramètres!$A$1:$I$89,3,0)*VLOOKUP('Données projet'!$B$18,Paramètres!$A$1:$I$89,5,0)</f>
        <v>-8.8675733422860506E-14</v>
      </c>
      <c r="GW86" s="14" t="e">
        <f t="shared" si="105"/>
        <v>#NUM!</v>
      </c>
      <c r="GX86" s="22" t="e">
        <f t="shared" si="82"/>
        <v>#NUM!</v>
      </c>
      <c r="GY86" s="62" t="e">
        <f t="shared" si="83"/>
        <v>#NUM!</v>
      </c>
      <c r="GZ86" s="62">
        <f ca="1">AVERAGE(OFFSET($GY$3,0,0,'Données projet'!$E$18+1,1))-AVERAGE(OFFSET($H$3,0,0,'Données projet'!$E$18+1,1))</f>
        <v>99.222094917553648</v>
      </c>
      <c r="HA86" s="62">
        <f t="shared" si="106"/>
        <v>98.371477396766352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2.7266792165020281E-8</v>
      </c>
      <c r="HJ86" s="24">
        <f t="shared" si="84"/>
        <v>2.7266792165020281E-8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14.142857142857142</v>
      </c>
      <c r="N87" s="14">
        <f>IF('Données projet'!$A$36&gt;35,N86+M87-V86,IF(A87&lt;'Données projet'!$A$36,$K$205^A87,IF(A87='Données projet'!$A$36,'Données projet'!$B$36,N86+M87-V86)))</f>
        <v>479.57142857142901</v>
      </c>
      <c r="O87" s="14">
        <f>N87*VLOOKUP('Données projet'!$B$9,Paramètres!$A$1:$I$89,3,0)*VLOOKUP('Données projet'!$B$9,Paramètres!$A$1:$I$89,5,0)</f>
        <v>224.43942857142878</v>
      </c>
      <c r="P87" s="14">
        <f t="shared" si="87"/>
        <v>55.078648812192505</v>
      </c>
      <c r="Q87" s="22">
        <f t="shared" si="54"/>
        <v>486.82731810980704</v>
      </c>
      <c r="R87" s="62">
        <f t="shared" si="55"/>
        <v>780.1606514431403</v>
      </c>
      <c r="S87" s="62">
        <f ca="1">AVERAGE(OFFSET($R$3,0,0,'Données projet'!$E$9+1,1))-AVERAGE(OFFSET($H$3,0,0,'Données projet'!$E$9+1,1))</f>
        <v>181.48161394994878</v>
      </c>
      <c r="T87" s="62">
        <f t="shared" si="88"/>
        <v>141.1874974464024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323.66880000000009</v>
      </c>
      <c r="AK87" s="14">
        <f t="shared" si="89"/>
        <v>76.11621164769852</v>
      </c>
      <c r="AL87" s="22">
        <f t="shared" si="58"/>
        <v>696.29222861974176</v>
      </c>
      <c r="AM87" s="62">
        <f t="shared" si="59"/>
        <v>989.62556195307502</v>
      </c>
      <c r="AN87" s="62">
        <f ca="1">AVERAGE(OFFSET($AM$3,0,0,'Données projet'!$E$10+1,1))-AVERAGE(OFFSET($H$3,0,0,'Données projet'!$E$10+1,1))</f>
        <v>340.81036749486179</v>
      </c>
      <c r="AO87" s="62">
        <f t="shared" si="90"/>
        <v>208.88199836488013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257.96727373333601</v>
      </c>
      <c r="BJ87" s="62">
        <f t="shared" si="92"/>
        <v>194.52809733694494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1.3525484368120537</v>
      </c>
      <c r="BR87" s="23">
        <f>EXP(-LN(2)/2)*BR86+(1-EXP(-LN(2)/2))/(LN(2)/2)*BL87*BO87*VLOOKUP('Données projet'!$B$11,Paramètres!$A$1:$I$89,3,0)*0.475*44/12</f>
        <v>1.059628767396876E-7</v>
      </c>
      <c r="BS87" s="24">
        <f t="shared" si="63"/>
        <v>1.3525485427749304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288.81216000000006</v>
      </c>
      <c r="CA87" s="14">
        <f t="shared" si="93"/>
        <v>68.825899854238159</v>
      </c>
      <c r="CB87" s="22">
        <f t="shared" si="64"/>
        <v>622.88628757946492</v>
      </c>
      <c r="CC87" s="62">
        <f t="shared" si="65"/>
        <v>916.21962091279829</v>
      </c>
      <c r="CD87" s="62">
        <f ca="1">AVERAGE(OFFSET($CC$3,0,0,'Données projet'!$E$12+1,1))-AVERAGE(OFFSET($H$3,0,0,'Données projet'!$E$12+1,1))</f>
        <v>292.83612296867898</v>
      </c>
      <c r="CE87" s="62">
        <f t="shared" si="94"/>
        <v>180.48047802041276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2.1077225076702424E-7</v>
      </c>
      <c r="CN87" s="24">
        <f t="shared" si="66"/>
        <v>2.1077225076702424E-7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195.59999999999985</v>
      </c>
      <c r="CU87" s="18">
        <f>CT87*VLOOKUP('Données projet'!$B$13,Paramètres!$A$1:$I$89,3,0)*VLOOKUP('Données projet'!$B$13,Paramètres!$A$1:$I$89,5,0)</f>
        <v>222.74927999999986</v>
      </c>
      <c r="CV87" s="14">
        <f t="shared" si="95"/>
        <v>54.711995554456081</v>
      </c>
      <c r="CW87" s="22">
        <f t="shared" si="67"/>
        <v>483.24505492401073</v>
      </c>
      <c r="CX87" s="62">
        <f t="shared" si="68"/>
        <v>776.57838825734405</v>
      </c>
      <c r="CY87" s="62">
        <f ca="1">AVERAGE(OFFSET($CX$3,0,0,'Données projet'!$E$13+1,1))-AVERAGE(OFFSET($H$3,0,0,'Données projet'!$E$13+1,1))</f>
        <v>192.93829651668403</v>
      </c>
      <c r="CZ87" s="62">
        <f t="shared" si="96"/>
        <v>76.592736352376903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4.4000000000000004</v>
      </c>
      <c r="DO87" s="13">
        <f>IF('Données projet'!$A$166&gt;35,DO86+DN87-DW86,IF(A87&lt;'Données projet'!$A$166,$DL$205^A87,IF(A87='Données projet'!$A$166,'Données projet'!$B$166,DO86+DN87-DW86)))</f>
        <v>195.59999999999985</v>
      </c>
      <c r="DP87" s="18">
        <f>DO87*VLOOKUP('Données projet'!$B$14,Paramètres!$A$1:$I$89,3,0)*VLOOKUP('Données projet'!$B$14,Paramètres!$A$1:$I$89,5,0)</f>
        <v>131.20847999999989</v>
      </c>
      <c r="DQ87" s="14">
        <f t="shared" si="97"/>
        <v>34.275453019849742</v>
      </c>
      <c r="DR87" s="22">
        <f t="shared" si="70"/>
        <v>288.21785000957146</v>
      </c>
      <c r="DS87" s="62">
        <f t="shared" si="71"/>
        <v>581.55118334290478</v>
      </c>
      <c r="DT87" s="62">
        <f ca="1">AVERAGE(OFFSET($DS$3,0,0,'Données projet'!$E$14+1,1))-AVERAGE(OFFSET($H$3,0,0,'Données projet'!$E$14+1,1))</f>
        <v>66.964554307546564</v>
      </c>
      <c r="DU87" s="62">
        <f t="shared" si="98"/>
        <v>21.162700178818568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4.4000000000000004</v>
      </c>
      <c r="EJ87" s="13">
        <f>IF('Données projet'!$A$192&gt;35,EJ86+EI87-ER86,IF(A87&lt;'Données projet'!$A$192,$EG$205^A87,IF(A87='Données projet'!$A$192,'Données projet'!$B$192,EJ86+EI87-ER86)))</f>
        <v>195.59999999999985</v>
      </c>
      <c r="EK87" s="18">
        <f>EJ87*VLOOKUP('Données projet'!$B$15,Paramètres!$A$1:$I$89,3,0)*VLOOKUP('Données projet'!$B$15,Paramètres!$A$1:$I$89,5,0)</f>
        <v>189.18431999999987</v>
      </c>
      <c r="EL87" s="14">
        <f t="shared" si="99"/>
        <v>47.359572454491783</v>
      </c>
      <c r="EM87" s="22">
        <f t="shared" si="73"/>
        <v>411.98061269157296</v>
      </c>
      <c r="EN87" s="62">
        <f t="shared" si="74"/>
        <v>705.31394602490627</v>
      </c>
      <c r="EO87" s="62">
        <f ca="1">AVERAGE(OFFSET($EN$3,0,0,'Données projet'!$E$15+1,1))-AVERAGE(OFFSET($H$3,0,0,'Données projet'!$E$15+1,1))</f>
        <v>146.90952320473599</v>
      </c>
      <c r="EP87" s="62">
        <f t="shared" si="100"/>
        <v>56.347130462109817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4.4000000000000004</v>
      </c>
      <c r="FE87" s="13">
        <f>IF('Données projet'!$A$218&gt;35,FE86+FD87-FM86,IF(A87&lt;'Données projet'!$A$218,$FB$205^A87,IF(A87='Données projet'!$A$218,'Données projet'!$B$218,FE86+FD87-FM86)))</f>
        <v>195.59999999999985</v>
      </c>
      <c r="FF87" s="18">
        <f>FE87*VLOOKUP('Données projet'!$B$16,Paramètres!$A$1:$I$89,3,0)*VLOOKUP('Données projet'!$B$16,Paramètres!$A$1:$I$89,5,0)</f>
        <v>210.54383999999982</v>
      </c>
      <c r="FG87" s="14">
        <f t="shared" si="101"/>
        <v>52.054410526216429</v>
      </c>
      <c r="FH87" s="22">
        <f t="shared" si="76"/>
        <v>457.35861966649327</v>
      </c>
      <c r="FI87" s="62">
        <f t="shared" si="77"/>
        <v>750.69195299982653</v>
      </c>
      <c r="FJ87" s="62">
        <f ca="1">AVERAGE(OFFSET($FI$3,0,0,'Données projet'!$E$16+1,1))-AVERAGE(OFFSET($H$3,0,0,'Données projet'!$E$16+1,1))</f>
        <v>176.21892815766847</v>
      </c>
      <c r="FK87" s="62">
        <f t="shared" si="102"/>
        <v>69.239647548491234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-1.1368683772161603E-13</v>
      </c>
      <c r="GA87" s="18">
        <f>FZ87*VLOOKUP('Données projet'!$B$17,Paramètres!$A$1:$I$89,3,0)*VLOOKUP('Données projet'!$B$17,Paramètres!$A$1:$I$89,5,0)</f>
        <v>-9.0449248091317723E-14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70.834027458412379</v>
      </c>
      <c r="GF87" s="62">
        <f t="shared" si="104"/>
        <v>74.346987922112362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9.2667110251019187E-8</v>
      </c>
      <c r="GO87" s="23">
        <f t="shared" si="81"/>
        <v>9.2667110251019187E-8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-1.1368683772161603E-13</v>
      </c>
      <c r="GV87" s="18">
        <f>GU87*VLOOKUP('Données projet'!$B$18,Paramètres!$A$1:$I$89,3,0)*VLOOKUP('Données projet'!$B$18,Paramètres!$A$1:$I$89,5,0)</f>
        <v>-8.8675733422860506E-14</v>
      </c>
      <c r="GW87" s="14" t="e">
        <f t="shared" si="105"/>
        <v>#NUM!</v>
      </c>
      <c r="GX87" s="22" t="e">
        <f t="shared" si="82"/>
        <v>#NUM!</v>
      </c>
      <c r="GY87" s="62" t="e">
        <f t="shared" si="83"/>
        <v>#NUM!</v>
      </c>
      <c r="GZ87" s="62">
        <f ca="1">AVERAGE(OFFSET($GY$3,0,0,'Données projet'!$E$18+1,1))-AVERAGE(OFFSET($H$3,0,0,'Données projet'!$E$18+1,1))</f>
        <v>99.222094917553648</v>
      </c>
      <c r="HA87" s="62">
        <f t="shared" si="106"/>
        <v>98.371477396766352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1.9280533641090064E-8</v>
      </c>
      <c r="HJ87" s="24">
        <f t="shared" si="84"/>
        <v>1.9280533641090064E-8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14.142857142857142</v>
      </c>
      <c r="N88" s="14">
        <f>IF('Données projet'!$A$36&gt;35,N87+M88-V87,IF(A88&lt;'Données projet'!$A$36,$K$205^A88,IF(A88='Données projet'!$A$36,'Données projet'!$B$36,N87+M88-V87)))</f>
        <v>493.71428571428618</v>
      </c>
      <c r="O88" s="14">
        <f>N88*VLOOKUP('Données projet'!$B$9,Paramètres!$A$1:$I$89,3,0)*VLOOKUP('Données projet'!$B$9,Paramètres!$A$1:$I$89,5,0)</f>
        <v>231.05828571428594</v>
      </c>
      <c r="P88" s="14">
        <f t="shared" si="87"/>
        <v>56.511446472092771</v>
      </c>
      <c r="Q88" s="22">
        <f t="shared" si="54"/>
        <v>500.85061689127627</v>
      </c>
      <c r="R88" s="62">
        <f t="shared" si="55"/>
        <v>794.18395022460959</v>
      </c>
      <c r="S88" s="62">
        <f ca="1">AVERAGE(OFFSET($R$3,0,0,'Données projet'!$E$9+1,1))-AVERAGE(OFFSET($H$3,0,0,'Données projet'!$E$9+1,1))</f>
        <v>181.48161394994878</v>
      </c>
      <c r="T88" s="62">
        <f t="shared" si="88"/>
        <v>141.1874974464024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330.56400000000008</v>
      </c>
      <c r="AK88" s="14">
        <f t="shared" si="89"/>
        <v>77.547227137682853</v>
      </c>
      <c r="AL88" s="22">
        <f t="shared" si="58"/>
        <v>710.79372059813113</v>
      </c>
      <c r="AM88" s="62">
        <f t="shared" si="59"/>
        <v>1004.1270539314644</v>
      </c>
      <c r="AN88" s="62">
        <f ca="1">AVERAGE(OFFSET($AM$3,0,0,'Données projet'!$E$10+1,1))-AVERAGE(OFFSET($H$3,0,0,'Données projet'!$E$10+1,1))</f>
        <v>340.81036749486179</v>
      </c>
      <c r="AO88" s="62">
        <f t="shared" si="90"/>
        <v>208.88199836488013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257.96727373333601</v>
      </c>
      <c r="BJ88" s="62">
        <f t="shared" si="92"/>
        <v>194.52809733694494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1.315562928679997</v>
      </c>
      <c r="BR88" s="23">
        <f>EXP(-LN(2)/2)*BR87+(1-EXP(-LN(2)/2))/(LN(2)/2)*BL88*BO88*VLOOKUP('Données projet'!$B$11,Paramètres!$A$1:$I$89,3,0)*0.475*44/12</f>
        <v>7.4927068696667382E-8</v>
      </c>
      <c r="BS88" s="24">
        <f t="shared" si="63"/>
        <v>1.3155630036070658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294.96480000000003</v>
      </c>
      <c r="CA88" s="14">
        <f t="shared" si="93"/>
        <v>70.119854541045001</v>
      </c>
      <c r="CB88" s="22">
        <f t="shared" si="64"/>
        <v>635.85577332565333</v>
      </c>
      <c r="CC88" s="62">
        <f t="shared" si="65"/>
        <v>929.1891066589867</v>
      </c>
      <c r="CD88" s="62">
        <f ca="1">AVERAGE(OFFSET($CC$3,0,0,'Données projet'!$E$12+1,1))-AVERAGE(OFFSET($H$3,0,0,'Données projet'!$E$12+1,1))</f>
        <v>292.83612296867898</v>
      </c>
      <c r="CE88" s="62">
        <f t="shared" si="94"/>
        <v>180.48047802041276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1.4903848780331433E-7</v>
      </c>
      <c r="CN88" s="24">
        <f t="shared" si="66"/>
        <v>1.4903848780331433E-7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200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199.99999999999986</v>
      </c>
      <c r="CU88" s="18">
        <f>CT88*VLOOKUP('Données projet'!$B$13,Paramètres!$A$1:$I$89,3,0)*VLOOKUP('Données projet'!$B$13,Paramètres!$A$1:$I$89,5,0)</f>
        <v>227.75999999999982</v>
      </c>
      <c r="CV88" s="14">
        <f t="shared" si="95"/>
        <v>55.798065627251972</v>
      </c>
      <c r="CW88" s="22">
        <f t="shared" si="67"/>
        <v>493.86363096746345</v>
      </c>
      <c r="CX88" s="62">
        <f t="shared" si="68"/>
        <v>787.19696430079671</v>
      </c>
      <c r="CY88" s="62">
        <f ca="1">AVERAGE(OFFSET($CX$3,0,0,'Données projet'!$E$13+1,1))-AVERAGE(OFFSET($H$3,0,0,'Données projet'!$E$13+1,1))</f>
        <v>192.93829651668403</v>
      </c>
      <c r="CZ88" s="62">
        <f t="shared" si="96"/>
        <v>76.592736352376903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200</v>
      </c>
      <c r="DM88" s="13">
        <f>VLOOKUP(A88,'Données projet'!$A$165:$I$185,9,0)</f>
        <v>4.4000000000000004</v>
      </c>
      <c r="DN88" s="13">
        <f t="array" ref="DN88">INDEX(DM:DM,MIN(IF(ISNUMBER(DM88:DM284),ROW(DM88:DM284),"")))</f>
        <v>4.4000000000000004</v>
      </c>
      <c r="DO88" s="13">
        <f>IF('Données projet'!$A$166&gt;35,DO87+DN88-DW87,IF(A88&lt;'Données projet'!$A$166,$DL$205^A88,IF(A88='Données projet'!$A$166,'Données projet'!$B$166,DO87+DN88-DW87)))</f>
        <v>199.99999999999986</v>
      </c>
      <c r="DP88" s="18">
        <f>DO88*VLOOKUP('Données projet'!$B$14,Paramètres!$A$1:$I$89,3,0)*VLOOKUP('Données projet'!$B$14,Paramètres!$A$1:$I$89,5,0)</f>
        <v>134.15999999999991</v>
      </c>
      <c r="DQ88" s="14">
        <f t="shared" si="97"/>
        <v>34.95584391729615</v>
      </c>
      <c r="DR88" s="22">
        <f t="shared" si="70"/>
        <v>294.54342815595732</v>
      </c>
      <c r="DS88" s="62">
        <f t="shared" si="71"/>
        <v>587.87676148929063</v>
      </c>
      <c r="DT88" s="62">
        <f ca="1">AVERAGE(OFFSET($DS$3,0,0,'Données projet'!$E$14+1,1))-AVERAGE(OFFSET($H$3,0,0,'Données projet'!$E$14+1,1))</f>
        <v>66.964554307546564</v>
      </c>
      <c r="DU88" s="62">
        <f t="shared" si="98"/>
        <v>21.162700178818568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14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200</v>
      </c>
      <c r="EH88" s="13">
        <f>VLOOKUP(A88,'Données projet'!$A$191:$I$211,9,0)</f>
        <v>4.4000000000000004</v>
      </c>
      <c r="EI88" s="13">
        <f t="array" ref="EI88">INDEX(EH:EH,MIN(IF(ISNUMBER(EH88:EH284),ROW(EH88:EH284),"")))</f>
        <v>4.4000000000000004</v>
      </c>
      <c r="EJ88" s="13">
        <f>IF('Données projet'!$A$192&gt;35,EJ87+EI88-ER87,IF(A88&lt;'Données projet'!$A$192,$EG$205^A88,IF(A88='Données projet'!$A$192,'Données projet'!$B$192,EJ87+EI88-ER87)))</f>
        <v>199.99999999999986</v>
      </c>
      <c r="EK88" s="18">
        <f>EJ88*VLOOKUP('Données projet'!$B$15,Paramètres!$A$1:$I$89,3,0)*VLOOKUP('Données projet'!$B$15,Paramètres!$A$1:$I$89,5,0)</f>
        <v>193.43999999999988</v>
      </c>
      <c r="EL88" s="14">
        <f t="shared" si="99"/>
        <v>48.299691961776745</v>
      </c>
      <c r="EM88" s="22">
        <f t="shared" si="73"/>
        <v>421.02996350009425</v>
      </c>
      <c r="EN88" s="62">
        <f t="shared" si="74"/>
        <v>714.36329683342751</v>
      </c>
      <c r="EO88" s="62">
        <f ca="1">AVERAGE(OFFSET($EN$3,0,0,'Données projet'!$E$15+1,1))-AVERAGE(OFFSET($H$3,0,0,'Données projet'!$E$15+1,1))</f>
        <v>146.90952320473599</v>
      </c>
      <c r="EP88" s="62">
        <f t="shared" si="100"/>
        <v>56.347130462109817</v>
      </c>
      <c r="EQ88" s="16">
        <f>IF(ISNA(VLOOKUP(A88,'Données projet'!$A$191:$I$211,3,0)),0,VLOOKUP(A88,'Données projet'!$A$191:$I$211,3,0))</f>
        <v>13</v>
      </c>
      <c r="ER88" s="16">
        <f>IF(ISNA(VLOOKUP(A88,'Données projet'!$A$191:$I$211,4,0)),0,VLOOKUP(A88,'Données projet'!$A$191:$I$211,4,0))</f>
        <v>14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200</v>
      </c>
      <c r="FC88" s="13">
        <f>VLOOKUP(A88,'Données projet'!$A$217:$I$237,9,0)</f>
        <v>4.4000000000000004</v>
      </c>
      <c r="FD88" s="13">
        <f t="array" ref="FD88">INDEX(FC:FC,MIN(IF(ISNUMBER(FC88:FC284),ROW(FC88:FC284),"")))</f>
        <v>4.4000000000000004</v>
      </c>
      <c r="FE88" s="13">
        <f>IF('Données projet'!$A$218&gt;35,FE87+FD88-FM87,IF(A88&lt;'Données projet'!$A$218,$FB$205^A88,IF(A88='Données projet'!$A$218,'Données projet'!$B$218,FE87+FD88-FM87)))</f>
        <v>199.99999999999986</v>
      </c>
      <c r="FF88" s="18">
        <f>FE88*VLOOKUP('Données projet'!$B$16,Paramètres!$A$1:$I$89,3,0)*VLOOKUP('Données projet'!$B$16,Paramètres!$A$1:$I$89,5,0)</f>
        <v>215.27999999999983</v>
      </c>
      <c r="FG88" s="14">
        <f t="shared" si="101"/>
        <v>53.087725740853138</v>
      </c>
      <c r="FH88" s="22">
        <f t="shared" si="76"/>
        <v>467.40712233198559</v>
      </c>
      <c r="FI88" s="62">
        <f t="shared" si="77"/>
        <v>760.7404556653189</v>
      </c>
      <c r="FJ88" s="62">
        <f ca="1">AVERAGE(OFFSET($FI$3,0,0,'Données projet'!$E$16+1,1))-AVERAGE(OFFSET($H$3,0,0,'Données projet'!$E$16+1,1))</f>
        <v>176.21892815766847</v>
      </c>
      <c r="FK88" s="62">
        <f t="shared" si="102"/>
        <v>69.239647548491234</v>
      </c>
      <c r="FL88" s="16">
        <f>IF(ISNA(VLOOKUP(A88,'Données projet'!$A$217:$I$237,3,0)),0,VLOOKUP(A88,'Données projet'!$A$217:$I$237,3,0))</f>
        <v>13</v>
      </c>
      <c r="FM88" s="16">
        <f>IF(ISNA(VLOOKUP(A88,'Données projet'!$A$217:$I$237,4,0)),0,VLOOKUP(A88,'Données projet'!$A$217:$I$237,4,0))</f>
        <v>14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-1.1368683772161603E-13</v>
      </c>
      <c r="GA88" s="18">
        <f>FZ88*VLOOKUP('Données projet'!$B$17,Paramètres!$A$1:$I$89,3,0)*VLOOKUP('Données projet'!$B$17,Paramètres!$A$1:$I$89,5,0)</f>
        <v>-9.0449248091317723E-14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70.834027458412379</v>
      </c>
      <c r="GF88" s="62">
        <f t="shared" si="104"/>
        <v>74.346987922112362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6.55255420514571E-8</v>
      </c>
      <c r="GO88" s="23">
        <f t="shared" si="81"/>
        <v>6.55255420514571E-8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-1.1368683772161603E-13</v>
      </c>
      <c r="GV88" s="18">
        <f>GU88*VLOOKUP('Données projet'!$B$18,Paramètres!$A$1:$I$89,3,0)*VLOOKUP('Données projet'!$B$18,Paramètres!$A$1:$I$89,5,0)</f>
        <v>-8.8675733422860506E-14</v>
      </c>
      <c r="GW88" s="14" t="e">
        <f t="shared" si="105"/>
        <v>#NUM!</v>
      </c>
      <c r="GX88" s="22" t="e">
        <f t="shared" si="82"/>
        <v>#NUM!</v>
      </c>
      <c r="GY88" s="62" t="e">
        <f t="shared" si="83"/>
        <v>#NUM!</v>
      </c>
      <c r="GZ88" s="62">
        <f ca="1">AVERAGE(OFFSET($GY$3,0,0,'Données projet'!$E$18+1,1))-AVERAGE(OFFSET($H$3,0,0,'Données projet'!$E$18+1,1))</f>
        <v>99.222094917553648</v>
      </c>
      <c r="HA88" s="62">
        <f t="shared" si="106"/>
        <v>98.371477396766352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1.363339608251014E-8</v>
      </c>
      <c r="HJ88" s="24">
        <f t="shared" si="84"/>
        <v>1.363339608251014E-8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14.142857142857142</v>
      </c>
      <c r="N89" s="14">
        <f>IF('Données projet'!$A$36&gt;35,N88+M89-V88,IF(A89&lt;'Données projet'!$A$36,$K$205^A89,IF(A89='Données projet'!$A$36,'Données projet'!$B$36,N88+M89-V88)))</f>
        <v>507.85714285714334</v>
      </c>
      <c r="O89" s="14">
        <f>N89*VLOOKUP('Données projet'!$B$9,Paramètres!$A$1:$I$89,3,0)*VLOOKUP('Données projet'!$B$9,Paramètres!$A$1:$I$89,5,0)</f>
        <v>237.67714285714308</v>
      </c>
      <c r="P89" s="14">
        <f t="shared" si="87"/>
        <v>57.939473914063178</v>
      </c>
      <c r="Q89" s="22">
        <f t="shared" si="54"/>
        <v>514.86560754318418</v>
      </c>
      <c r="R89" s="62">
        <f t="shared" si="55"/>
        <v>808.19894087651755</v>
      </c>
      <c r="S89" s="62">
        <f ca="1">AVERAGE(OFFSET($R$3,0,0,'Données projet'!$E$9+1,1))-AVERAGE(OFFSET($H$3,0,0,'Données projet'!$E$9+1,1))</f>
        <v>181.48161394994878</v>
      </c>
      <c r="T89" s="62">
        <f t="shared" si="88"/>
        <v>141.1874974464024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308.66160000000008</v>
      </c>
      <c r="AK89" s="14">
        <f t="shared" si="89"/>
        <v>72.98924863505313</v>
      </c>
      <c r="AL89" s="22">
        <f t="shared" si="58"/>
        <v>664.70856137271755</v>
      </c>
      <c r="AM89" s="62">
        <f t="shared" si="59"/>
        <v>958.04189470605093</v>
      </c>
      <c r="AN89" s="62">
        <f ca="1">AVERAGE(OFFSET($AM$3,0,0,'Données projet'!$E$10+1,1))-AVERAGE(OFFSET($H$3,0,0,'Données projet'!$E$10+1,1))</f>
        <v>340.81036749486179</v>
      </c>
      <c r="AO89" s="62">
        <f t="shared" si="90"/>
        <v>208.88199836488013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257.96727373333601</v>
      </c>
      <c r="BJ89" s="62">
        <f t="shared" si="92"/>
        <v>194.52809733694494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1.2795887912127948</v>
      </c>
      <c r="BR89" s="23">
        <f>EXP(-LN(2)/2)*BR88+(1-EXP(-LN(2)/2))/(LN(2)/2)*BL89*BO89*VLOOKUP('Données projet'!$B$11,Paramètres!$A$1:$I$89,3,0)*0.475*44/12</f>
        <v>5.2981438369843798E-8</v>
      </c>
      <c r="BS89" s="24">
        <f t="shared" si="63"/>
        <v>1.2795888441942331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275.42112000000003</v>
      </c>
      <c r="CA89" s="14">
        <f t="shared" si="93"/>
        <v>65.998433293601067</v>
      </c>
      <c r="CB89" s="22">
        <f t="shared" si="64"/>
        <v>594.63905531968851</v>
      </c>
      <c r="CC89" s="62">
        <f t="shared" si="65"/>
        <v>887.97238865302188</v>
      </c>
      <c r="CD89" s="62">
        <f ca="1">AVERAGE(OFFSET($CC$3,0,0,'Données projet'!$E$12+1,1))-AVERAGE(OFFSET($H$3,0,0,'Données projet'!$E$12+1,1))</f>
        <v>292.83612296867898</v>
      </c>
      <c r="CE89" s="62">
        <f t="shared" si="94"/>
        <v>180.48047802041276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1.0538612538351212E-7</v>
      </c>
      <c r="CN89" s="24">
        <f t="shared" si="66"/>
        <v>1.0538612538351212E-7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4.2</v>
      </c>
      <c r="CT89" s="13">
        <f>IF('Données projet'!$A$140&gt;35,CT88+CS89-DB88,IF(A89&lt;'Données projet'!$A$140,$CQ$205^A89,IF(A89='Données projet'!$A$140,'Données projet'!$B$140,CT88+CS89-DB88)))</f>
        <v>190.19999999999985</v>
      </c>
      <c r="CU89" s="18">
        <f>CT89*VLOOKUP('Données projet'!$B$13,Paramètres!$A$1:$I$89,3,0)*VLOOKUP('Données projet'!$B$13,Paramètres!$A$1:$I$89,5,0)</f>
        <v>216.59975999999983</v>
      </c>
      <c r="CV89" s="14">
        <f t="shared" si="95"/>
        <v>53.375191734862717</v>
      </c>
      <c r="CW89" s="22">
        <f t="shared" si="67"/>
        <v>470.20637427155225</v>
      </c>
      <c r="CX89" s="62">
        <f t="shared" si="68"/>
        <v>763.53970760488551</v>
      </c>
      <c r="CY89" s="62">
        <f ca="1">AVERAGE(OFFSET($CX$3,0,0,'Données projet'!$E$13+1,1))-AVERAGE(OFFSET($H$3,0,0,'Données projet'!$E$13+1,1))</f>
        <v>192.93829651668403</v>
      </c>
      <c r="CZ89" s="62">
        <f t="shared" si="96"/>
        <v>76.592736352376903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4.2</v>
      </c>
      <c r="DO89" s="13">
        <f>IF('Données projet'!$A$166&gt;35,DO88+DN89-DW88,IF(A89&lt;'Données projet'!$A$166,$DL$205^A89,IF(A89='Données projet'!$A$166,'Données projet'!$B$166,DO88+DN89-DW88)))</f>
        <v>190.19999999999985</v>
      </c>
      <c r="DP89" s="18">
        <f>DO89*VLOOKUP('Données projet'!$B$14,Paramètres!$A$1:$I$89,3,0)*VLOOKUP('Données projet'!$B$14,Paramètres!$A$1:$I$89,5,0)</f>
        <v>127.58615999999989</v>
      </c>
      <c r="DQ89" s="14">
        <f t="shared" si="97"/>
        <v>33.437984818390682</v>
      </c>
      <c r="DR89" s="22">
        <f t="shared" si="70"/>
        <v>280.45038555869695</v>
      </c>
      <c r="DS89" s="62">
        <f t="shared" si="71"/>
        <v>573.78371889203027</v>
      </c>
      <c r="DT89" s="62">
        <f ca="1">AVERAGE(OFFSET($DS$3,0,0,'Données projet'!$E$14+1,1))-AVERAGE(OFFSET($H$3,0,0,'Données projet'!$E$14+1,1))</f>
        <v>66.964554307546564</v>
      </c>
      <c r="DU89" s="62">
        <f t="shared" si="98"/>
        <v>21.162700178818568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4.2</v>
      </c>
      <c r="EJ89" s="13">
        <f>IF('Données projet'!$A$192&gt;35,EJ88+EI89-ER88,IF(A89&lt;'Données projet'!$A$192,$EG$205^A89,IF(A89='Données projet'!$A$192,'Données projet'!$B$192,EJ88+EI89-ER88)))</f>
        <v>190.19999999999985</v>
      </c>
      <c r="EK89" s="18">
        <f>EJ89*VLOOKUP('Données projet'!$B$15,Paramètres!$A$1:$I$89,3,0)*VLOOKUP('Données projet'!$B$15,Paramètres!$A$1:$I$89,5,0)</f>
        <v>183.96143999999987</v>
      </c>
      <c r="EL89" s="14">
        <f t="shared" si="99"/>
        <v>46.202413833061883</v>
      </c>
      <c r="EM89" s="22">
        <f t="shared" si="73"/>
        <v>400.86871209258248</v>
      </c>
      <c r="EN89" s="62">
        <f t="shared" si="74"/>
        <v>694.2020454259158</v>
      </c>
      <c r="EO89" s="62">
        <f ca="1">AVERAGE(OFFSET($EN$3,0,0,'Données projet'!$E$15+1,1))-AVERAGE(OFFSET($H$3,0,0,'Données projet'!$E$15+1,1))</f>
        <v>146.90952320473599</v>
      </c>
      <c r="EP89" s="62">
        <f t="shared" si="100"/>
        <v>56.347130462109817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4.2</v>
      </c>
      <c r="FE89" s="13">
        <f>IF('Données projet'!$A$218&gt;35,FE88+FD89-FM88,IF(A89&lt;'Données projet'!$A$218,$FB$205^A89,IF(A89='Données projet'!$A$218,'Données projet'!$B$218,FE88+FD89-FM88)))</f>
        <v>190.19999999999985</v>
      </c>
      <c r="FF89" s="18">
        <f>FE89*VLOOKUP('Données projet'!$B$16,Paramètres!$A$1:$I$89,3,0)*VLOOKUP('Données projet'!$B$16,Paramètres!$A$1:$I$89,5,0)</f>
        <v>204.73127999999983</v>
      </c>
      <c r="FG89" s="14">
        <f t="shared" si="101"/>
        <v>50.782540726679265</v>
      </c>
      <c r="FH89" s="22">
        <f t="shared" si="76"/>
        <v>445.01990443229937</v>
      </c>
      <c r="FI89" s="62">
        <f t="shared" si="77"/>
        <v>738.35323776563268</v>
      </c>
      <c r="FJ89" s="62">
        <f ca="1">AVERAGE(OFFSET($FI$3,0,0,'Données projet'!$E$16+1,1))-AVERAGE(OFFSET($H$3,0,0,'Données projet'!$E$16+1,1))</f>
        <v>176.21892815766847</v>
      </c>
      <c r="FK89" s="62">
        <f t="shared" si="102"/>
        <v>69.239647548491234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-1.1368683772161603E-13</v>
      </c>
      <c r="GA89" s="18">
        <f>FZ89*VLOOKUP('Données projet'!$B$17,Paramètres!$A$1:$I$89,3,0)*VLOOKUP('Données projet'!$B$17,Paramètres!$A$1:$I$89,5,0)</f>
        <v>-9.0449248091317723E-14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70.834027458412379</v>
      </c>
      <c r="GF89" s="62">
        <f t="shared" si="104"/>
        <v>74.346987922112362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4.6333555125509594E-8</v>
      </c>
      <c r="GO89" s="23">
        <f t="shared" si="81"/>
        <v>4.6333555125509594E-8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-1.1368683772161603E-13</v>
      </c>
      <c r="GV89" s="18">
        <f>GU89*VLOOKUP('Données projet'!$B$18,Paramètres!$A$1:$I$89,3,0)*VLOOKUP('Données projet'!$B$18,Paramètres!$A$1:$I$89,5,0)</f>
        <v>-8.8675733422860506E-14</v>
      </c>
      <c r="GW89" s="14" t="e">
        <f t="shared" si="105"/>
        <v>#NUM!</v>
      </c>
      <c r="GX89" s="22" t="e">
        <f t="shared" si="82"/>
        <v>#NUM!</v>
      </c>
      <c r="GY89" s="62" t="e">
        <f t="shared" si="83"/>
        <v>#NUM!</v>
      </c>
      <c r="GZ89" s="62">
        <f ca="1">AVERAGE(OFFSET($GY$3,0,0,'Données projet'!$E$18+1,1))-AVERAGE(OFFSET($H$3,0,0,'Données projet'!$E$18+1,1))</f>
        <v>99.222094917553648</v>
      </c>
      <c r="HA89" s="62">
        <f t="shared" si="106"/>
        <v>98.371477396766352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9.6402668205450319E-9</v>
      </c>
      <c r="HJ89" s="24">
        <f t="shared" si="84"/>
        <v>9.6402668205450319E-9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522</v>
      </c>
      <c r="L90" s="13">
        <f>VLOOKUP(A90,'Données projet'!$A$35:$I$55,9,0)</f>
        <v>14.142857142857142</v>
      </c>
      <c r="M90" s="13">
        <f t="array" ref="M90">INDEX(L:L,MIN(IF(ISNUMBER(L90:L286),ROW(L90:L286),"")))</f>
        <v>14.142857142857142</v>
      </c>
      <c r="N90" s="14">
        <f>IF('Données projet'!$A$36&gt;35,N89+M90-V89,IF(A90&lt;'Données projet'!$A$36,$K$205^A90,IF(A90='Données projet'!$A$36,'Données projet'!$B$36,N89+M90-V89)))</f>
        <v>522.00000000000045</v>
      </c>
      <c r="O90" s="14">
        <f>N90*VLOOKUP('Données projet'!$B$9,Paramètres!$A$1:$I$89,3,0)*VLOOKUP('Données projet'!$B$9,Paramètres!$A$1:$I$89,5,0)</f>
        <v>244.29600000000022</v>
      </c>
      <c r="P90" s="14">
        <f t="shared" si="87"/>
        <v>59.362879241040417</v>
      </c>
      <c r="Q90" s="22">
        <f t="shared" si="54"/>
        <v>528.87254801147901</v>
      </c>
      <c r="R90" s="62">
        <f t="shared" si="55"/>
        <v>822.20588134481227</v>
      </c>
      <c r="S90" s="62">
        <f ca="1">AVERAGE(OFFSET($R$3,0,0,'Données projet'!$E$9+1,1))-AVERAGE(OFFSET($H$3,0,0,'Données projet'!$E$9+1,1))</f>
        <v>181.48161394994878</v>
      </c>
      <c r="T90" s="62">
        <f t="shared" si="88"/>
        <v>141.1874974464024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89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315.15120000000002</v>
      </c>
      <c r="AK90" s="14">
        <f t="shared" si="89"/>
        <v>74.343571754005879</v>
      </c>
      <c r="AL90" s="22">
        <f t="shared" si="58"/>
        <v>678.37006080489357</v>
      </c>
      <c r="AM90" s="62">
        <f t="shared" si="59"/>
        <v>971.70339413822694</v>
      </c>
      <c r="AN90" s="62">
        <f ca="1">AVERAGE(OFFSET($AM$3,0,0,'Données projet'!$E$10+1,1))-AVERAGE(OFFSET($H$3,0,0,'Données projet'!$E$10+1,1))</f>
        <v>340.81036749486179</v>
      </c>
      <c r="AO90" s="62">
        <f t="shared" si="90"/>
        <v>208.88199836488013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257.96727373333601</v>
      </c>
      <c r="BJ90" s="62">
        <f t="shared" si="92"/>
        <v>194.52809733694494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1.244598368426431</v>
      </c>
      <c r="BR90" s="23">
        <f>EXP(-LN(2)/2)*BR89+(1-EXP(-LN(2)/2))/(LN(2)/2)*BL90*BO90*VLOOKUP('Données projet'!$B$11,Paramètres!$A$1:$I$89,3,0)*0.475*44/12</f>
        <v>3.7463534348333691E-8</v>
      </c>
      <c r="BS90" s="24">
        <f t="shared" si="63"/>
        <v>1.2445984058899653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281.21184</v>
      </c>
      <c r="CA90" s="14">
        <f t="shared" si="93"/>
        <v>67.22304110496664</v>
      </c>
      <c r="CB90" s="22">
        <f t="shared" si="64"/>
        <v>606.85741792448357</v>
      </c>
      <c r="CC90" s="62">
        <f t="shared" si="65"/>
        <v>900.19075125781683</v>
      </c>
      <c r="CD90" s="62">
        <f ca="1">AVERAGE(OFFSET($CC$3,0,0,'Données projet'!$E$12+1,1))-AVERAGE(OFFSET($H$3,0,0,'Données projet'!$E$12+1,1))</f>
        <v>292.83612296867898</v>
      </c>
      <c r="CE90" s="62">
        <f t="shared" si="94"/>
        <v>180.48047802041276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7.4519243901657164E-8</v>
      </c>
      <c r="CN90" s="24">
        <f t="shared" si="66"/>
        <v>7.4519243901657164E-8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4.2</v>
      </c>
      <c r="CT90" s="13">
        <f>IF('Données projet'!$A$140&gt;35,CT89+CS90-DB89,IF(A90&lt;'Données projet'!$A$140,$CQ$205^A90,IF(A90='Données projet'!$A$140,'Données projet'!$B$140,CT89+CS90-DB89)))</f>
        <v>194.39999999999984</v>
      </c>
      <c r="CU90" s="18">
        <f>CT90*VLOOKUP('Données projet'!$B$13,Paramètres!$A$1:$I$89,3,0)*VLOOKUP('Données projet'!$B$13,Paramètres!$A$1:$I$89,5,0)</f>
        <v>221.38271999999981</v>
      </c>
      <c r="CV90" s="14">
        <f t="shared" si="95"/>
        <v>54.415303406517403</v>
      </c>
      <c r="CW90" s="22">
        <f t="shared" si="67"/>
        <v>480.34822409968405</v>
      </c>
      <c r="CX90" s="62">
        <f t="shared" si="68"/>
        <v>773.68155743301736</v>
      </c>
      <c r="CY90" s="62">
        <f ca="1">AVERAGE(OFFSET($CX$3,0,0,'Données projet'!$E$13+1,1))-AVERAGE(OFFSET($H$3,0,0,'Données projet'!$E$13+1,1))</f>
        <v>192.93829651668403</v>
      </c>
      <c r="CZ90" s="62">
        <f t="shared" si="96"/>
        <v>76.592736352376903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4.2</v>
      </c>
      <c r="DO90" s="13">
        <f>IF('Données projet'!$A$166&gt;35,DO89+DN90-DW89,IF(A90&lt;'Données projet'!$A$166,$DL$205^A90,IF(A90='Données projet'!$A$166,'Données projet'!$B$166,DO89+DN90-DW89)))</f>
        <v>194.39999999999984</v>
      </c>
      <c r="DP90" s="18">
        <f>DO90*VLOOKUP('Données projet'!$B$14,Paramètres!$A$1:$I$89,3,0)*VLOOKUP('Données projet'!$B$14,Paramètres!$A$1:$I$89,5,0)</f>
        <v>130.4035199999999</v>
      </c>
      <c r="DQ90" s="14">
        <f t="shared" si="97"/>
        <v>34.089584131775517</v>
      </c>
      <c r="DR90" s="22">
        <f t="shared" si="70"/>
        <v>286.49215636284219</v>
      </c>
      <c r="DS90" s="62">
        <f t="shared" si="71"/>
        <v>579.82548969617551</v>
      </c>
      <c r="DT90" s="62">
        <f ca="1">AVERAGE(OFFSET($DS$3,0,0,'Données projet'!$E$14+1,1))-AVERAGE(OFFSET($H$3,0,0,'Données projet'!$E$14+1,1))</f>
        <v>66.964554307546564</v>
      </c>
      <c r="DU90" s="62">
        <f t="shared" si="98"/>
        <v>21.162700178818568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4.2</v>
      </c>
      <c r="EJ90" s="13">
        <f>IF('Données projet'!$A$192&gt;35,EJ89+EI90-ER89,IF(A90&lt;'Données projet'!$A$192,$EG$205^A90,IF(A90='Données projet'!$A$192,'Données projet'!$B$192,EJ89+EI90-ER89)))</f>
        <v>194.39999999999984</v>
      </c>
      <c r="EK90" s="18">
        <f>EJ90*VLOOKUP('Données projet'!$B$15,Paramètres!$A$1:$I$89,3,0)*VLOOKUP('Données projet'!$B$15,Paramètres!$A$1:$I$89,5,0)</f>
        <v>188.02367999999984</v>
      </c>
      <c r="EL90" s="14">
        <f t="shared" si="99"/>
        <v>47.10275101826771</v>
      </c>
      <c r="EM90" s="22">
        <f t="shared" si="73"/>
        <v>409.51186735681603</v>
      </c>
      <c r="EN90" s="62">
        <f t="shared" si="74"/>
        <v>702.84520069014934</v>
      </c>
      <c r="EO90" s="62">
        <f ca="1">AVERAGE(OFFSET($EN$3,0,0,'Données projet'!$E$15+1,1))-AVERAGE(OFFSET($H$3,0,0,'Données projet'!$E$15+1,1))</f>
        <v>146.90952320473599</v>
      </c>
      <c r="EP90" s="62">
        <f t="shared" si="100"/>
        <v>56.347130462109817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4.2</v>
      </c>
      <c r="FE90" s="13">
        <f>IF('Données projet'!$A$218&gt;35,FE89+FD90-FM89,IF(A90&lt;'Données projet'!$A$218,$FB$205^A90,IF(A90='Données projet'!$A$218,'Données projet'!$B$218,FE89+FD90-FM89)))</f>
        <v>194.39999999999984</v>
      </c>
      <c r="FF90" s="18">
        <f>FE90*VLOOKUP('Données projet'!$B$16,Paramètres!$A$1:$I$89,3,0)*VLOOKUP('Données projet'!$B$16,Paramètres!$A$1:$I$89,5,0)</f>
        <v>209.25215999999983</v>
      </c>
      <c r="FG90" s="14">
        <f t="shared" si="101"/>
        <v>51.772129927379012</v>
      </c>
      <c r="FH90" s="22">
        <f t="shared" si="76"/>
        <v>454.61730495685151</v>
      </c>
      <c r="FI90" s="62">
        <f t="shared" si="77"/>
        <v>747.95063829018477</v>
      </c>
      <c r="FJ90" s="62">
        <f ca="1">AVERAGE(OFFSET($FI$3,0,0,'Données projet'!$E$16+1,1))-AVERAGE(OFFSET($H$3,0,0,'Données projet'!$E$16+1,1))</f>
        <v>176.21892815766847</v>
      </c>
      <c r="FK90" s="62">
        <f t="shared" si="102"/>
        <v>69.239647548491234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-1.1368683772161603E-13</v>
      </c>
      <c r="GA90" s="18">
        <f>FZ90*VLOOKUP('Données projet'!$B$17,Paramètres!$A$1:$I$89,3,0)*VLOOKUP('Données projet'!$B$17,Paramètres!$A$1:$I$89,5,0)</f>
        <v>-9.0449248091317723E-14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70.834027458412379</v>
      </c>
      <c r="GF90" s="62">
        <f t="shared" si="104"/>
        <v>74.346987922112362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3.276277102572855E-8</v>
      </c>
      <c r="GO90" s="23">
        <f t="shared" si="81"/>
        <v>3.276277102572855E-8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-1.1368683772161603E-13</v>
      </c>
      <c r="GV90" s="18">
        <f>GU90*VLOOKUP('Données projet'!$B$18,Paramètres!$A$1:$I$89,3,0)*VLOOKUP('Données projet'!$B$18,Paramètres!$A$1:$I$89,5,0)</f>
        <v>-8.8675733422860506E-14</v>
      </c>
      <c r="GW90" s="14" t="e">
        <f t="shared" si="105"/>
        <v>#NUM!</v>
      </c>
      <c r="GX90" s="22" t="e">
        <f t="shared" si="82"/>
        <v>#NUM!</v>
      </c>
      <c r="GY90" s="62" t="e">
        <f t="shared" si="83"/>
        <v>#NUM!</v>
      </c>
      <c r="GZ90" s="62">
        <f ca="1">AVERAGE(OFFSET($GY$3,0,0,'Données projet'!$E$18+1,1))-AVERAGE(OFFSET($H$3,0,0,'Données projet'!$E$18+1,1))</f>
        <v>99.222094917553648</v>
      </c>
      <c r="HA90" s="62">
        <f t="shared" si="106"/>
        <v>98.371477396766352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6.8166980412550702E-9</v>
      </c>
      <c r="HJ90" s="24">
        <f t="shared" si="84"/>
        <v>6.8166980412550702E-9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447</v>
      </c>
      <c r="L91" s="13">
        <f>VLOOKUP(A91,'Données projet'!$A$35:$I$55,9,0)</f>
        <v>14</v>
      </c>
      <c r="M91" s="13">
        <f t="array" ref="M91">INDEX(L:L,MIN(IF(ISNUMBER(L91:L287),ROW(L91:L287),"")))</f>
        <v>14</v>
      </c>
      <c r="N91" s="14">
        <f>IF('Données projet'!$A$36&gt;35,N90+M91-V90,IF(A91&lt;'Données projet'!$A$36,$K$205^A91,IF(A91='Données projet'!$A$36,'Données projet'!$B$36,N90+M91-V90)))</f>
        <v>447.00000000000045</v>
      </c>
      <c r="O91" s="14">
        <f>N91*VLOOKUP('Données projet'!$B$9,Paramètres!$A$1:$I$89,3,0)*VLOOKUP('Données projet'!$B$9,Paramètres!$A$1:$I$89,5,0)</f>
        <v>209.19600000000023</v>
      </c>
      <c r="P91" s="14">
        <f t="shared" si="87"/>
        <v>51.759852265375834</v>
      </c>
      <c r="Q91" s="22">
        <f t="shared" si="54"/>
        <v>454.4981093621966</v>
      </c>
      <c r="R91" s="62">
        <f t="shared" si="55"/>
        <v>747.83144269552986</v>
      </c>
      <c r="S91" s="62">
        <f ca="1">AVERAGE(OFFSET($R$3,0,0,'Données projet'!$E$9+1,1))-AVERAGE(OFFSET($H$3,0,0,'Données projet'!$E$9+1,1))</f>
        <v>181.48161394994878</v>
      </c>
      <c r="T91" s="62">
        <f t="shared" si="88"/>
        <v>141.1874974464024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321.64080000000001</v>
      </c>
      <c r="AK91" s="14">
        <f t="shared" si="89"/>
        <v>75.694652325793228</v>
      </c>
      <c r="AL91" s="22">
        <f t="shared" si="58"/>
        <v>692.0259128007566</v>
      </c>
      <c r="AM91" s="62">
        <f t="shared" si="59"/>
        <v>985.35924613408997</v>
      </c>
      <c r="AN91" s="62">
        <f ca="1">AVERAGE(OFFSET($AM$3,0,0,'Données projet'!$E$10+1,1))-AVERAGE(OFFSET($H$3,0,0,'Données projet'!$E$10+1,1))</f>
        <v>340.81036749486179</v>
      </c>
      <c r="AO91" s="62">
        <f t="shared" si="90"/>
        <v>208.88199836488013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257.96727373333601</v>
      </c>
      <c r="BJ91" s="62">
        <f t="shared" si="92"/>
        <v>194.52809733694494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1.2105647605912266</v>
      </c>
      <c r="BR91" s="23">
        <f>EXP(-LN(2)/2)*BR90+(1-EXP(-LN(2)/2))/(LN(2)/2)*BL91*BO91*VLOOKUP('Données projet'!$B$11,Paramètres!$A$1:$I$89,3,0)*0.475*44/12</f>
        <v>2.6490719184921899E-8</v>
      </c>
      <c r="BS91" s="24">
        <f t="shared" si="63"/>
        <v>1.2105647870819458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287.00255999999996</v>
      </c>
      <c r="CA91" s="14">
        <f t="shared" si="93"/>
        <v>68.444716936118553</v>
      </c>
      <c r="CB91" s="22">
        <f t="shared" si="64"/>
        <v>619.07067399707296</v>
      </c>
      <c r="CC91" s="62">
        <f t="shared" si="65"/>
        <v>912.40400733040633</v>
      </c>
      <c r="CD91" s="62">
        <f ca="1">AVERAGE(OFFSET($CC$3,0,0,'Données projet'!$E$12+1,1))-AVERAGE(OFFSET($H$3,0,0,'Données projet'!$E$12+1,1))</f>
        <v>292.83612296867898</v>
      </c>
      <c r="CE91" s="62">
        <f t="shared" si="94"/>
        <v>180.48047802041276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5.2693062691756059E-8</v>
      </c>
      <c r="CN91" s="24">
        <f t="shared" si="66"/>
        <v>5.2693062691756059E-8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4.2</v>
      </c>
      <c r="CT91" s="13">
        <f>IF('Données projet'!$A$140&gt;35,CT90+CS91-DB90,IF(A91&lt;'Données projet'!$A$140,$CQ$205^A91,IF(A91='Données projet'!$A$140,'Données projet'!$B$140,CT90+CS91-DB90)))</f>
        <v>198.59999999999982</v>
      </c>
      <c r="CU91" s="18">
        <f>CT91*VLOOKUP('Données projet'!$B$13,Paramètres!$A$1:$I$89,3,0)*VLOOKUP('Données projet'!$B$13,Paramètres!$A$1:$I$89,5,0)</f>
        <v>226.16567999999981</v>
      </c>
      <c r="CV91" s="14">
        <f t="shared" si="95"/>
        <v>55.452802461328488</v>
      </c>
      <c r="CW91" s="22">
        <f t="shared" si="67"/>
        <v>490.48552362014675</v>
      </c>
      <c r="CX91" s="62">
        <f t="shared" si="68"/>
        <v>783.81885695348001</v>
      </c>
      <c r="CY91" s="62">
        <f ca="1">AVERAGE(OFFSET($CX$3,0,0,'Données projet'!$E$13+1,1))-AVERAGE(OFFSET($H$3,0,0,'Données projet'!$E$13+1,1))</f>
        <v>192.93829651668403</v>
      </c>
      <c r="CZ91" s="62">
        <f t="shared" si="96"/>
        <v>76.592736352376903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4.2</v>
      </c>
      <c r="DO91" s="13">
        <f>IF('Données projet'!$A$166&gt;35,DO90+DN91-DW90,IF(A91&lt;'Données projet'!$A$166,$DL$205^A91,IF(A91='Données projet'!$A$166,'Données projet'!$B$166,DO90+DN91-DW90)))</f>
        <v>198.59999999999982</v>
      </c>
      <c r="DP91" s="18">
        <f>DO91*VLOOKUP('Données projet'!$B$14,Paramètres!$A$1:$I$89,3,0)*VLOOKUP('Données projet'!$B$14,Paramètres!$A$1:$I$89,5,0)</f>
        <v>133.22087999999988</v>
      </c>
      <c r="DQ91" s="14">
        <f t="shared" si="97"/>
        <v>34.739546717693621</v>
      </c>
      <c r="DR91" s="22">
        <f t="shared" si="70"/>
        <v>292.53107653331614</v>
      </c>
      <c r="DS91" s="62">
        <f t="shared" si="71"/>
        <v>585.86440986664945</v>
      </c>
      <c r="DT91" s="62">
        <f ca="1">AVERAGE(OFFSET($DS$3,0,0,'Données projet'!$E$14+1,1))-AVERAGE(OFFSET($H$3,0,0,'Données projet'!$E$14+1,1))</f>
        <v>66.964554307546564</v>
      </c>
      <c r="DU91" s="62">
        <f t="shared" si="98"/>
        <v>21.162700178818568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4.2</v>
      </c>
      <c r="EJ91" s="13">
        <f>IF('Données projet'!$A$192&gt;35,EJ90+EI91-ER90,IF(A91&lt;'Données projet'!$A$192,$EG$205^A91,IF(A91='Données projet'!$A$192,'Données projet'!$B$192,EJ90+EI91-ER90)))</f>
        <v>198.59999999999982</v>
      </c>
      <c r="EK91" s="18">
        <f>EJ91*VLOOKUP('Données projet'!$B$15,Paramètres!$A$1:$I$89,3,0)*VLOOKUP('Données projet'!$B$15,Paramètres!$A$1:$I$89,5,0)</f>
        <v>192.08591999999985</v>
      </c>
      <c r="EL91" s="14">
        <f t="shared" si="99"/>
        <v>48.000826680832176</v>
      </c>
      <c r="EM91" s="22">
        <f t="shared" si="73"/>
        <v>418.15108380244902</v>
      </c>
      <c r="EN91" s="62">
        <f t="shared" si="74"/>
        <v>711.48441713578234</v>
      </c>
      <c r="EO91" s="62">
        <f ca="1">AVERAGE(OFFSET($EN$3,0,0,'Données projet'!$E$15+1,1))-AVERAGE(OFFSET($H$3,0,0,'Données projet'!$E$15+1,1))</f>
        <v>146.90952320473599</v>
      </c>
      <c r="EP91" s="62">
        <f t="shared" si="100"/>
        <v>56.347130462109817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4.2</v>
      </c>
      <c r="FE91" s="13">
        <f>IF('Données projet'!$A$218&gt;35,FE90+FD91-FM90,IF(A91&lt;'Données projet'!$A$218,$FB$205^A91,IF(A91='Données projet'!$A$218,'Données projet'!$B$218,FE90+FD91-FM90)))</f>
        <v>198.59999999999982</v>
      </c>
      <c r="FF91" s="18">
        <f>FE91*VLOOKUP('Données projet'!$B$16,Paramètres!$A$1:$I$89,3,0)*VLOOKUP('Données projet'!$B$16,Paramètres!$A$1:$I$89,5,0)</f>
        <v>213.77303999999981</v>
      </c>
      <c r="FG91" s="14">
        <f t="shared" si="101"/>
        <v>52.759233416703189</v>
      </c>
      <c r="FH91" s="22">
        <f t="shared" si="76"/>
        <v>464.21037620075771</v>
      </c>
      <c r="FI91" s="62">
        <f t="shared" si="77"/>
        <v>757.54370953409102</v>
      </c>
      <c r="FJ91" s="62">
        <f ca="1">AVERAGE(OFFSET($FI$3,0,0,'Données projet'!$E$16+1,1))-AVERAGE(OFFSET($H$3,0,0,'Données projet'!$E$16+1,1))</f>
        <v>176.21892815766847</v>
      </c>
      <c r="FK91" s="62">
        <f t="shared" si="102"/>
        <v>69.239647548491234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-1.1368683772161603E-13</v>
      </c>
      <c r="GA91" s="18">
        <f>FZ91*VLOOKUP('Données projet'!$B$17,Paramètres!$A$1:$I$89,3,0)*VLOOKUP('Données projet'!$B$17,Paramètres!$A$1:$I$89,5,0)</f>
        <v>-9.0449248091317723E-14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70.834027458412379</v>
      </c>
      <c r="GF91" s="62">
        <f t="shared" si="104"/>
        <v>74.346987922112362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2.3166777562754797E-8</v>
      </c>
      <c r="GO91" s="23">
        <f t="shared" si="81"/>
        <v>2.3166777562754797E-8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-1.1368683772161603E-13</v>
      </c>
      <c r="GV91" s="18">
        <f>GU91*VLOOKUP('Données projet'!$B$18,Paramètres!$A$1:$I$89,3,0)*VLOOKUP('Données projet'!$B$18,Paramètres!$A$1:$I$89,5,0)</f>
        <v>-8.8675733422860506E-14</v>
      </c>
      <c r="GW91" s="14" t="e">
        <f t="shared" si="105"/>
        <v>#NUM!</v>
      </c>
      <c r="GX91" s="22" t="e">
        <f t="shared" si="82"/>
        <v>#NUM!</v>
      </c>
      <c r="GY91" s="62" t="e">
        <f t="shared" si="83"/>
        <v>#NUM!</v>
      </c>
      <c r="GZ91" s="62">
        <f ca="1">AVERAGE(OFFSET($GY$3,0,0,'Données projet'!$E$18+1,1))-AVERAGE(OFFSET($H$3,0,0,'Données projet'!$E$18+1,1))</f>
        <v>99.222094917553648</v>
      </c>
      <c r="HA91" s="62">
        <f t="shared" si="106"/>
        <v>98.371477396766352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4.820133410272516E-9</v>
      </c>
      <c r="HJ91" s="24">
        <f t="shared" si="84"/>
        <v>4.820133410272516E-9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</v>
      </c>
      <c r="N92" s="14">
        <f>IF('Données projet'!$A$36&gt;35,N91+M92-V91,IF(A92&lt;'Données projet'!$A$36,$K$205^A92,IF(A92='Données projet'!$A$36,'Données projet'!$B$36,N91+M92-V91)))</f>
        <v>460.00000000000045</v>
      </c>
      <c r="O92" s="14">
        <f>N92*VLOOKUP('Données projet'!$B$9,Paramètres!$A$1:$I$89,3,0)*VLOOKUP('Données projet'!$B$9,Paramètres!$A$1:$I$89,5,0)</f>
        <v>215.28000000000023</v>
      </c>
      <c r="P92" s="14">
        <f t="shared" si="87"/>
        <v>53.08772574085318</v>
      </c>
      <c r="Q92" s="22">
        <f t="shared" si="54"/>
        <v>467.40712233198633</v>
      </c>
      <c r="R92" s="62">
        <f t="shared" si="55"/>
        <v>760.74045566531959</v>
      </c>
      <c r="S92" s="62">
        <f ca="1">AVERAGE(OFFSET($R$3,0,0,'Données projet'!$E$9+1,1))-AVERAGE(OFFSET($H$3,0,0,'Données projet'!$E$9+1,1))</f>
        <v>181.48161394994878</v>
      </c>
      <c r="T92" s="62">
        <f t="shared" si="88"/>
        <v>141.1874974464024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328.13039999999995</v>
      </c>
      <c r="AK92" s="14">
        <f t="shared" si="89"/>
        <v>77.042563313388285</v>
      </c>
      <c r="AL92" s="22">
        <f t="shared" si="58"/>
        <v>705.67624443748446</v>
      </c>
      <c r="AM92" s="62">
        <f t="shared" si="59"/>
        <v>999.00957777081771</v>
      </c>
      <c r="AN92" s="62">
        <f ca="1">AVERAGE(OFFSET($AM$3,0,0,'Données projet'!$E$10+1,1))-AVERAGE(OFFSET($H$3,0,0,'Données projet'!$E$10+1,1))</f>
        <v>340.81036749486179</v>
      </c>
      <c r="AO92" s="62">
        <f t="shared" si="90"/>
        <v>208.88199836488013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257.96727373333601</v>
      </c>
      <c r="BJ92" s="62">
        <f t="shared" si="92"/>
        <v>194.52809733694494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1.1774618035520257</v>
      </c>
      <c r="BR92" s="23">
        <f>EXP(-LN(2)/2)*BR91+(1-EXP(-LN(2)/2))/(LN(2)/2)*BL92*BO92*VLOOKUP('Données projet'!$B$11,Paramètres!$A$1:$I$89,3,0)*0.475*44/12</f>
        <v>1.8731767174166846E-8</v>
      </c>
      <c r="BS92" s="24">
        <f t="shared" si="63"/>
        <v>1.1774618222837929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292.79327999999992</v>
      </c>
      <c r="CA92" s="14">
        <f t="shared" si="93"/>
        <v>69.663526761731433</v>
      </c>
      <c r="CB92" s="22">
        <f t="shared" si="64"/>
        <v>631.27893844334869</v>
      </c>
      <c r="CC92" s="62">
        <f t="shared" si="65"/>
        <v>924.61227177668206</v>
      </c>
      <c r="CD92" s="62">
        <f ca="1">AVERAGE(OFFSET($CC$3,0,0,'Données projet'!$E$12+1,1))-AVERAGE(OFFSET($H$3,0,0,'Données projet'!$E$12+1,1))</f>
        <v>292.83612296867898</v>
      </c>
      <c r="CE92" s="62">
        <f t="shared" si="94"/>
        <v>180.48047802041276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3.7259621950828582E-8</v>
      </c>
      <c r="CN92" s="24">
        <f t="shared" si="66"/>
        <v>3.7259621950828582E-8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4.2</v>
      </c>
      <c r="CT92" s="13">
        <f>IF('Données projet'!$A$140&gt;35,CT91+CS92-DB91,IF(A92&lt;'Données projet'!$A$140,$CQ$205^A92,IF(A92='Données projet'!$A$140,'Données projet'!$B$140,CT91+CS92-DB91)))</f>
        <v>202.79999999999981</v>
      </c>
      <c r="CU92" s="18">
        <f>CT92*VLOOKUP('Données projet'!$B$13,Paramètres!$A$1:$I$89,3,0)*VLOOKUP('Données projet'!$B$13,Paramètres!$A$1:$I$89,5,0)</f>
        <v>230.94863999999981</v>
      </c>
      <c r="CV92" s="14">
        <f t="shared" si="95"/>
        <v>56.48775051572774</v>
      </c>
      <c r="CW92" s="22">
        <f t="shared" si="67"/>
        <v>500.61838014822547</v>
      </c>
      <c r="CX92" s="62">
        <f t="shared" si="68"/>
        <v>793.95171348155873</v>
      </c>
      <c r="CY92" s="62">
        <f ca="1">AVERAGE(OFFSET($CX$3,0,0,'Données projet'!$E$13+1,1))-AVERAGE(OFFSET($H$3,0,0,'Données projet'!$E$13+1,1))</f>
        <v>192.93829651668403</v>
      </c>
      <c r="CZ92" s="62">
        <f t="shared" si="96"/>
        <v>76.592736352376903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4.2</v>
      </c>
      <c r="DO92" s="13">
        <f>IF('Données projet'!$A$166&gt;35,DO91+DN92-DW91,IF(A92&lt;'Données projet'!$A$166,$DL$205^A92,IF(A92='Données projet'!$A$166,'Données projet'!$B$166,DO91+DN92-DW91)))</f>
        <v>202.79999999999981</v>
      </c>
      <c r="DP92" s="18">
        <f>DO92*VLOOKUP('Données projet'!$B$14,Paramètres!$A$1:$I$89,3,0)*VLOOKUP('Données projet'!$B$14,Paramètres!$A$1:$I$89,5,0)</f>
        <v>136.03823999999989</v>
      </c>
      <c r="DQ92" s="14">
        <f t="shared" si="97"/>
        <v>35.387911177023916</v>
      </c>
      <c r="DR92" s="22">
        <f t="shared" si="70"/>
        <v>298.56721329998305</v>
      </c>
      <c r="DS92" s="62">
        <f t="shared" si="71"/>
        <v>591.90054663331637</v>
      </c>
      <c r="DT92" s="62">
        <f ca="1">AVERAGE(OFFSET($DS$3,0,0,'Données projet'!$E$14+1,1))-AVERAGE(OFFSET($H$3,0,0,'Données projet'!$E$14+1,1))</f>
        <v>66.964554307546564</v>
      </c>
      <c r="DU92" s="62">
        <f t="shared" si="98"/>
        <v>21.162700178818568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4.2</v>
      </c>
      <c r="EJ92" s="13">
        <f>IF('Données projet'!$A$192&gt;35,EJ91+EI92-ER91,IF(A92&lt;'Données projet'!$A$192,$EG$205^A92,IF(A92='Données projet'!$A$192,'Données projet'!$B$192,EJ91+EI92-ER91)))</f>
        <v>202.79999999999981</v>
      </c>
      <c r="EK92" s="18">
        <f>EJ92*VLOOKUP('Données projet'!$B$15,Paramètres!$A$1:$I$89,3,0)*VLOOKUP('Données projet'!$B$15,Paramètres!$A$1:$I$89,5,0)</f>
        <v>196.14815999999982</v>
      </c>
      <c r="EL92" s="14">
        <f t="shared" si="99"/>
        <v>48.896694156917398</v>
      </c>
      <c r="EM92" s="22">
        <f t="shared" si="73"/>
        <v>426.78645432329745</v>
      </c>
      <c r="EN92" s="62">
        <f t="shared" si="74"/>
        <v>720.11978765663071</v>
      </c>
      <c r="EO92" s="62">
        <f ca="1">AVERAGE(OFFSET($EN$3,0,0,'Données projet'!$E$15+1,1))-AVERAGE(OFFSET($H$3,0,0,'Données projet'!$E$15+1,1))</f>
        <v>146.90952320473599</v>
      </c>
      <c r="EP92" s="62">
        <f t="shared" si="100"/>
        <v>56.347130462109817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4.2</v>
      </c>
      <c r="FE92" s="13">
        <f>IF('Données projet'!$A$218&gt;35,FE91+FD92-FM91,IF(A92&lt;'Données projet'!$A$218,$FB$205^A92,IF(A92='Données projet'!$A$218,'Données projet'!$B$218,FE91+FD92-FM91)))</f>
        <v>202.79999999999981</v>
      </c>
      <c r="FF92" s="18">
        <f>FE92*VLOOKUP('Données projet'!$B$16,Paramètres!$A$1:$I$89,3,0)*VLOOKUP('Données projet'!$B$16,Paramètres!$A$1:$I$89,5,0)</f>
        <v>218.29391999999976</v>
      </c>
      <c r="FG92" s="14">
        <f t="shared" si="101"/>
        <v>53.743909818122113</v>
      </c>
      <c r="FH92" s="22">
        <f t="shared" si="76"/>
        <v>473.79922026656226</v>
      </c>
      <c r="FI92" s="62">
        <f t="shared" si="77"/>
        <v>767.13255359989557</v>
      </c>
      <c r="FJ92" s="62">
        <f ca="1">AVERAGE(OFFSET($FI$3,0,0,'Données projet'!$E$16+1,1))-AVERAGE(OFFSET($H$3,0,0,'Données projet'!$E$16+1,1))</f>
        <v>176.21892815766847</v>
      </c>
      <c r="FK92" s="62">
        <f t="shared" si="102"/>
        <v>69.239647548491234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-1.1368683772161603E-13</v>
      </c>
      <c r="GA92" s="18">
        <f>FZ92*VLOOKUP('Données projet'!$B$17,Paramètres!$A$1:$I$89,3,0)*VLOOKUP('Données projet'!$B$17,Paramètres!$A$1:$I$89,5,0)</f>
        <v>-9.0449248091317723E-14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70.834027458412379</v>
      </c>
      <c r="GF92" s="62">
        <f t="shared" si="104"/>
        <v>74.346987922112362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1.6381385512864275E-8</v>
      </c>
      <c r="GO92" s="23">
        <f t="shared" si="81"/>
        <v>1.6381385512864275E-8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-1.1368683772161603E-13</v>
      </c>
      <c r="GV92" s="18">
        <f>GU92*VLOOKUP('Données projet'!$B$18,Paramètres!$A$1:$I$89,3,0)*VLOOKUP('Données projet'!$B$18,Paramètres!$A$1:$I$89,5,0)</f>
        <v>-8.8675733422860506E-14</v>
      </c>
      <c r="GW92" s="14" t="e">
        <f t="shared" si="105"/>
        <v>#NUM!</v>
      </c>
      <c r="GX92" s="22" t="e">
        <f t="shared" si="82"/>
        <v>#NUM!</v>
      </c>
      <c r="GY92" s="62" t="e">
        <f t="shared" si="83"/>
        <v>#NUM!</v>
      </c>
      <c r="GZ92" s="62">
        <f ca="1">AVERAGE(OFFSET($GY$3,0,0,'Données projet'!$E$18+1,1))-AVERAGE(OFFSET($H$3,0,0,'Données projet'!$E$18+1,1))</f>
        <v>99.222094917553648</v>
      </c>
      <c r="HA92" s="62">
        <f t="shared" si="106"/>
        <v>98.371477396766352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3.4083490206275351E-9</v>
      </c>
      <c r="HJ92" s="24">
        <f t="shared" si="84"/>
        <v>3.4083490206275351E-9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</v>
      </c>
      <c r="N93" s="14">
        <f>IF('Données projet'!$A$36&gt;35,N92+M93-V92,IF(A93&lt;'Données projet'!$A$36,$K$205^A93,IF(A93='Données projet'!$A$36,'Données projet'!$B$36,N92+M93-V92)))</f>
        <v>473.00000000000045</v>
      </c>
      <c r="O93" s="14">
        <f>N93*VLOOKUP('Données projet'!$B$9,Paramètres!$A$1:$I$89,3,0)*VLOOKUP('Données projet'!$B$9,Paramètres!$A$1:$I$89,5,0)</f>
        <v>221.3640000000002</v>
      </c>
      <c r="P93" s="14">
        <f t="shared" si="87"/>
        <v>54.411237653200843</v>
      </c>
      <c r="Q93" s="22">
        <f t="shared" si="54"/>
        <v>480.30853891265838</v>
      </c>
      <c r="R93" s="62">
        <f t="shared" si="55"/>
        <v>773.64187224599164</v>
      </c>
      <c r="S93" s="62">
        <f ca="1">AVERAGE(OFFSET($R$3,0,0,'Données projet'!$E$9+1,1))-AVERAGE(OFFSET($H$3,0,0,'Données projet'!$E$9+1,1))</f>
        <v>181.48161394994878</v>
      </c>
      <c r="T93" s="62">
        <f t="shared" si="88"/>
        <v>141.1874974464024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334.61999999999995</v>
      </c>
      <c r="AK93" s="14">
        <f t="shared" si="89"/>
        <v>78.387374628661505</v>
      </c>
      <c r="AL93" s="22">
        <f t="shared" si="58"/>
        <v>719.32117747825203</v>
      </c>
      <c r="AM93" s="62">
        <f t="shared" si="59"/>
        <v>1012.6545108115854</v>
      </c>
      <c r="AN93" s="62">
        <f ca="1">AVERAGE(OFFSET($AM$3,0,0,'Données projet'!$E$10+1,1))-AVERAGE(OFFSET($H$3,0,0,'Données projet'!$E$10+1,1))</f>
        <v>340.81036749486179</v>
      </c>
      <c r="AO93" s="62">
        <f t="shared" si="90"/>
        <v>208.88199836488013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257.96727373333601</v>
      </c>
      <c r="BJ93" s="62">
        <f t="shared" si="92"/>
        <v>194.52809733694494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1.1452640486138703</v>
      </c>
      <c r="BR93" s="23">
        <f>EXP(-LN(2)/2)*BR92+(1-EXP(-LN(2)/2))/(LN(2)/2)*BL93*BO93*VLOOKUP('Données projet'!$B$11,Paramètres!$A$1:$I$89,3,0)*0.475*44/12</f>
        <v>1.3245359592460949E-8</v>
      </c>
      <c r="BS93" s="24">
        <f t="shared" si="63"/>
        <v>1.14526406185923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298.58399999999995</v>
      </c>
      <c r="CA93" s="14">
        <f t="shared" si="93"/>
        <v>70.879533797607607</v>
      </c>
      <c r="CB93" s="22">
        <f t="shared" si="64"/>
        <v>643.48232136416652</v>
      </c>
      <c r="CC93" s="62">
        <f t="shared" si="65"/>
        <v>936.81565469749989</v>
      </c>
      <c r="CD93" s="62">
        <f ca="1">AVERAGE(OFFSET($CC$3,0,0,'Données projet'!$E$12+1,1))-AVERAGE(OFFSET($H$3,0,0,'Données projet'!$E$12+1,1))</f>
        <v>292.83612296867898</v>
      </c>
      <c r="CE93" s="62">
        <f t="shared" si="94"/>
        <v>180.48047802041276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2.634653134587803E-8</v>
      </c>
      <c r="CN93" s="24">
        <f t="shared" si="66"/>
        <v>2.634653134587803E-8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207</v>
      </c>
      <c r="CR93" s="13">
        <f>VLOOKUP(A93,'Données projet'!$A$139:$I$159,9,0)</f>
        <v>4.2</v>
      </c>
      <c r="CS93" s="13">
        <f t="array" ref="CS93">INDEX(CR:CR,MIN(IF(ISNUMBER(CR93:CR289),ROW(CR93:CR289),"")))</f>
        <v>4.2</v>
      </c>
      <c r="CT93" s="13">
        <f>IF('Données projet'!$A$140&gt;35,CT92+CS93-DB92,IF(A93&lt;'Données projet'!$A$140,$CQ$205^A93,IF(A93='Données projet'!$A$140,'Données projet'!$B$140,CT92+CS93-DB92)))</f>
        <v>206.9999999999998</v>
      </c>
      <c r="CU93" s="18">
        <f>CT93*VLOOKUP('Données projet'!$B$13,Paramètres!$A$1:$I$89,3,0)*VLOOKUP('Données projet'!$B$13,Paramètres!$A$1:$I$89,5,0)</f>
        <v>235.73159999999976</v>
      </c>
      <c r="CV93" s="14">
        <f t="shared" si="95"/>
        <v>57.520206488125169</v>
      </c>
      <c r="CW93" s="22">
        <f t="shared" si="67"/>
        <v>510.74689630015092</v>
      </c>
      <c r="CX93" s="62">
        <f t="shared" si="68"/>
        <v>804.08022963348424</v>
      </c>
      <c r="CY93" s="62">
        <f ca="1">AVERAGE(OFFSET($CX$3,0,0,'Données projet'!$E$13+1,1))-AVERAGE(OFFSET($H$3,0,0,'Données projet'!$E$13+1,1))</f>
        <v>192.93829651668403</v>
      </c>
      <c r="CZ93" s="62">
        <f t="shared" si="96"/>
        <v>76.592736352376903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14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207</v>
      </c>
      <c r="DM93" s="13">
        <f>VLOOKUP(A93,'Données projet'!$A$165:$I$185,9,0)</f>
        <v>4.2</v>
      </c>
      <c r="DN93" s="13">
        <f t="array" ref="DN93">INDEX(DM:DM,MIN(IF(ISNUMBER(DM93:DM289),ROW(DM93:DM289),"")))</f>
        <v>4.2</v>
      </c>
      <c r="DO93" s="13">
        <f>IF('Données projet'!$A$166&gt;35,DO92+DN93-DW92,IF(A93&lt;'Données projet'!$A$166,$DL$205^A93,IF(A93='Données projet'!$A$166,'Données projet'!$B$166,DO92+DN93-DW92)))</f>
        <v>206.9999999999998</v>
      </c>
      <c r="DP93" s="18">
        <f>DO93*VLOOKUP('Données projet'!$B$14,Paramètres!$A$1:$I$89,3,0)*VLOOKUP('Données projet'!$B$14,Paramètres!$A$1:$I$89,5,0)</f>
        <v>138.85559999999987</v>
      </c>
      <c r="DQ93" s="14">
        <f t="shared" si="97"/>
        <v>36.034714420414126</v>
      </c>
      <c r="DR93" s="22">
        <f t="shared" si="70"/>
        <v>304.60063094888767</v>
      </c>
      <c r="DS93" s="62">
        <f t="shared" si="71"/>
        <v>597.93396428222104</v>
      </c>
      <c r="DT93" s="62">
        <f ca="1">AVERAGE(OFFSET($DS$3,0,0,'Données projet'!$E$14+1,1))-AVERAGE(OFFSET($H$3,0,0,'Données projet'!$E$14+1,1))</f>
        <v>66.964554307546564</v>
      </c>
      <c r="DU93" s="62">
        <f t="shared" si="98"/>
        <v>21.162700178818568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14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207</v>
      </c>
      <c r="EH93" s="13">
        <f>VLOOKUP(A93,'Données projet'!$A$191:$I$211,9,0)</f>
        <v>4.2</v>
      </c>
      <c r="EI93" s="13">
        <f t="array" ref="EI93">INDEX(EH:EH,MIN(IF(ISNUMBER(EH93:EH289),ROW(EH93:EH289),"")))</f>
        <v>4.2</v>
      </c>
      <c r="EJ93" s="13">
        <f>IF('Données projet'!$A$192&gt;35,EJ92+EI93-ER92,IF(A93&lt;'Données projet'!$A$192,$EG$205^A93,IF(A93='Données projet'!$A$192,'Données projet'!$B$192,EJ92+EI93-ER92)))</f>
        <v>206.9999999999998</v>
      </c>
      <c r="EK93" s="18">
        <f>EJ93*VLOOKUP('Données projet'!$B$15,Paramètres!$A$1:$I$89,3,0)*VLOOKUP('Données projet'!$B$15,Paramètres!$A$1:$I$89,5,0)</f>
        <v>200.21039999999982</v>
      </c>
      <c r="EL93" s="14">
        <f t="shared" si="99"/>
        <v>49.790404447235005</v>
      </c>
      <c r="EM93" s="22">
        <f t="shared" si="73"/>
        <v>435.41806774560064</v>
      </c>
      <c r="EN93" s="62">
        <f t="shared" si="74"/>
        <v>728.7514010789339</v>
      </c>
      <c r="EO93" s="62">
        <f ca="1">AVERAGE(OFFSET($EN$3,0,0,'Données projet'!$E$15+1,1))-AVERAGE(OFFSET($H$3,0,0,'Données projet'!$E$15+1,1))</f>
        <v>146.90952320473599</v>
      </c>
      <c r="EP93" s="62">
        <f t="shared" si="100"/>
        <v>56.347130462109817</v>
      </c>
      <c r="EQ93" s="16">
        <f>IF(ISNA(VLOOKUP(A93,'Données projet'!$A$191:$I$211,3,0)),0,VLOOKUP(A93,'Données projet'!$A$191:$I$211,3,0))</f>
        <v>14</v>
      </c>
      <c r="ER93" s="16">
        <f>IF(ISNA(VLOOKUP(A93,'Données projet'!$A$191:$I$211,4,0)),0,VLOOKUP(A93,'Données projet'!$A$191:$I$211,4,0))</f>
        <v>14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207</v>
      </c>
      <c r="FC93" s="13">
        <f>VLOOKUP(A93,'Données projet'!$A$217:$I$237,9,0)</f>
        <v>4.2</v>
      </c>
      <c r="FD93" s="13">
        <f t="array" ref="FD93">INDEX(FC:FC,MIN(IF(ISNUMBER(FC93:FC289),ROW(FC93:FC289),"")))</f>
        <v>4.2</v>
      </c>
      <c r="FE93" s="13">
        <f>IF('Données projet'!$A$218&gt;35,FE92+FD93-FM92,IF(A93&lt;'Données projet'!$A$218,$FB$205^A93,IF(A93='Données projet'!$A$218,'Données projet'!$B$218,FE92+FD93-FM92)))</f>
        <v>206.9999999999998</v>
      </c>
      <c r="FF93" s="18">
        <f>FE93*VLOOKUP('Données projet'!$B$16,Paramètres!$A$1:$I$89,3,0)*VLOOKUP('Données projet'!$B$16,Paramètres!$A$1:$I$89,5,0)</f>
        <v>222.81479999999976</v>
      </c>
      <c r="FG93" s="14">
        <f t="shared" si="101"/>
        <v>54.726215188137857</v>
      </c>
      <c r="FH93" s="22">
        <f t="shared" si="76"/>
        <v>483.38393478600642</v>
      </c>
      <c r="FI93" s="62">
        <f t="shared" si="77"/>
        <v>776.71726811933968</v>
      </c>
      <c r="FJ93" s="62">
        <f ca="1">AVERAGE(OFFSET($FI$3,0,0,'Données projet'!$E$16+1,1))-AVERAGE(OFFSET($H$3,0,0,'Données projet'!$E$16+1,1))</f>
        <v>176.21892815766847</v>
      </c>
      <c r="FK93" s="62">
        <f t="shared" si="102"/>
        <v>69.239647548491234</v>
      </c>
      <c r="FL93" s="16">
        <f>IF(ISNA(VLOOKUP(A93,'Données projet'!$A$217:$I$237,3,0)),0,VLOOKUP(A93,'Données projet'!$A$217:$I$237,3,0))</f>
        <v>14</v>
      </c>
      <c r="FM93" s="16">
        <f>IF(ISNA(VLOOKUP(A93,'Données projet'!$A$217:$I$237,4,0)),0,VLOOKUP(A93,'Données projet'!$A$217:$I$237,4,0))</f>
        <v>14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-1.1368683772161603E-13</v>
      </c>
      <c r="GA93" s="18">
        <f>FZ93*VLOOKUP('Données projet'!$B$17,Paramètres!$A$1:$I$89,3,0)*VLOOKUP('Données projet'!$B$17,Paramètres!$A$1:$I$89,5,0)</f>
        <v>-9.0449248091317723E-14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70.834027458412379</v>
      </c>
      <c r="GF93" s="62">
        <f t="shared" si="104"/>
        <v>74.346987922112362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1.1583388781377398E-8</v>
      </c>
      <c r="GO93" s="23">
        <f t="shared" si="81"/>
        <v>1.1583388781377398E-8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-1.1368683772161603E-13</v>
      </c>
      <c r="GV93" s="18">
        <f>GU93*VLOOKUP('Données projet'!$B$18,Paramètres!$A$1:$I$89,3,0)*VLOOKUP('Données projet'!$B$18,Paramètres!$A$1:$I$89,5,0)</f>
        <v>-8.8675733422860506E-14</v>
      </c>
      <c r="GW93" s="14" t="e">
        <f t="shared" si="105"/>
        <v>#NUM!</v>
      </c>
      <c r="GX93" s="22" t="e">
        <f t="shared" si="82"/>
        <v>#NUM!</v>
      </c>
      <c r="GY93" s="62" t="e">
        <f t="shared" si="83"/>
        <v>#NUM!</v>
      </c>
      <c r="GZ93" s="62">
        <f ca="1">AVERAGE(OFFSET($GY$3,0,0,'Données projet'!$E$18+1,1))-AVERAGE(OFFSET($H$3,0,0,'Données projet'!$E$18+1,1))</f>
        <v>99.222094917553648</v>
      </c>
      <c r="HA93" s="62">
        <f t="shared" si="106"/>
        <v>98.371477396766352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2.410066705136258E-9</v>
      </c>
      <c r="HJ93" s="24">
        <f t="shared" si="84"/>
        <v>2.410066705136258E-9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</v>
      </c>
      <c r="N94" s="14">
        <f>IF('Données projet'!$A$36&gt;35,N93+M94-V93,IF(A94&lt;'Données projet'!$A$36,$K$205^A94,IF(A94='Données projet'!$A$36,'Données projet'!$B$36,N93+M94-V93)))</f>
        <v>486.00000000000045</v>
      </c>
      <c r="O94" s="14">
        <f>N94*VLOOKUP('Données projet'!$B$9,Paramètres!$A$1:$I$89,3,0)*VLOOKUP('Données projet'!$B$9,Paramètres!$A$1:$I$89,5,0)</f>
        <v>227.44800000000021</v>
      </c>
      <c r="P94" s="14">
        <f t="shared" si="87"/>
        <v>55.730521649800735</v>
      </c>
      <c r="Q94" s="22">
        <f t="shared" si="54"/>
        <v>493.20259187340326</v>
      </c>
      <c r="R94" s="62">
        <f t="shared" si="55"/>
        <v>786.53592520673658</v>
      </c>
      <c r="S94" s="62">
        <f ca="1">AVERAGE(OFFSET($R$3,0,0,'Données projet'!$E$9+1,1))-AVERAGE(OFFSET($H$3,0,0,'Données projet'!$E$9+1,1))</f>
        <v>181.48161394994878</v>
      </c>
      <c r="T94" s="62">
        <f t="shared" si="88"/>
        <v>141.1874974464024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312.31199999999995</v>
      </c>
      <c r="AK94" s="14">
        <f t="shared" si="89"/>
        <v>73.751458791112015</v>
      </c>
      <c r="AL94" s="22">
        <f t="shared" si="58"/>
        <v>672.39385739452007</v>
      </c>
      <c r="AM94" s="62">
        <f t="shared" si="59"/>
        <v>965.72719072785344</v>
      </c>
      <c r="AN94" s="62">
        <f ca="1">AVERAGE(OFFSET($AM$3,0,0,'Données projet'!$E$10+1,1))-AVERAGE(OFFSET($H$3,0,0,'Données projet'!$E$10+1,1))</f>
        <v>340.81036749486179</v>
      </c>
      <c r="AO94" s="62">
        <f t="shared" si="90"/>
        <v>208.88199836488013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257.96727373333601</v>
      </c>
      <c r="BJ94" s="62">
        <f t="shared" si="92"/>
        <v>194.52809733694494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1.1139467429777052</v>
      </c>
      <c r="BR94" s="23">
        <f>EXP(-LN(2)/2)*BR93+(1-EXP(-LN(2)/2))/(LN(2)/2)*BL94*BO94*VLOOKUP('Données projet'!$B$11,Paramètres!$A$1:$I$89,3,0)*0.475*44/12</f>
        <v>9.3658835870834228E-9</v>
      </c>
      <c r="BS94" s="24">
        <f t="shared" si="63"/>
        <v>1.1139467523435889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278.67839999999995</v>
      </c>
      <c r="CA94" s="14">
        <f t="shared" si="93"/>
        <v>66.687639951856809</v>
      </c>
      <c r="CB94" s="22">
        <f t="shared" si="64"/>
        <v>601.51251958281716</v>
      </c>
      <c r="CC94" s="62">
        <f t="shared" si="65"/>
        <v>894.84585291615053</v>
      </c>
      <c r="CD94" s="62">
        <f ca="1">AVERAGE(OFFSET($CC$3,0,0,'Données projet'!$E$12+1,1))-AVERAGE(OFFSET($H$3,0,0,'Données projet'!$E$12+1,1))</f>
        <v>292.83612296867898</v>
      </c>
      <c r="CE94" s="62">
        <f t="shared" si="94"/>
        <v>180.48047802041276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1.8629810975414291E-8</v>
      </c>
      <c r="CN94" s="24">
        <f t="shared" si="66"/>
        <v>1.8629810975414291E-8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3.8</v>
      </c>
      <c r="CT94" s="13">
        <f>IF('Données projet'!$A$140&gt;35,CT93+CS94-DB93,IF(A94&lt;'Données projet'!$A$140,$CQ$205^A94,IF(A94='Données projet'!$A$140,'Données projet'!$B$140,CT93+CS94-DB93)))</f>
        <v>196.79999999999981</v>
      </c>
      <c r="CU94" s="18">
        <f>CT94*VLOOKUP('Données projet'!$B$13,Paramètres!$A$1:$I$89,3,0)*VLOOKUP('Données projet'!$B$13,Paramètres!$A$1:$I$89,5,0)</f>
        <v>224.11583999999982</v>
      </c>
      <c r="CV94" s="14">
        <f t="shared" si="95"/>
        <v>55.008475905663786</v>
      </c>
      <c r="CW94" s="22">
        <f t="shared" si="67"/>
        <v>486.14151686903074</v>
      </c>
      <c r="CX94" s="62">
        <f t="shared" si="68"/>
        <v>779.474850202364</v>
      </c>
      <c r="CY94" s="62">
        <f ca="1">AVERAGE(OFFSET($CX$3,0,0,'Données projet'!$E$13+1,1))-AVERAGE(OFFSET($H$3,0,0,'Données projet'!$E$13+1,1))</f>
        <v>192.93829651668403</v>
      </c>
      <c r="CZ94" s="62">
        <f t="shared" si="96"/>
        <v>76.592736352376903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3.8</v>
      </c>
      <c r="DO94" s="13">
        <f>IF('Données projet'!$A$166&gt;35,DO93+DN94-DW93,IF(A94&lt;'Données projet'!$A$166,$DL$205^A94,IF(A94='Données projet'!$A$166,'Données projet'!$B$166,DO93+DN94-DW93)))</f>
        <v>196.79999999999981</v>
      </c>
      <c r="DP94" s="18">
        <f>DO94*VLOOKUP('Données projet'!$B$14,Paramètres!$A$1:$I$89,3,0)*VLOOKUP('Données projet'!$B$14,Paramètres!$A$1:$I$89,5,0)</f>
        <v>132.01343999999989</v>
      </c>
      <c r="DQ94" s="14">
        <f t="shared" si="97"/>
        <v>34.461189223513038</v>
      </c>
      <c r="DR94" s="22">
        <f t="shared" si="70"/>
        <v>289.94331256428501</v>
      </c>
      <c r="DS94" s="62">
        <f t="shared" si="71"/>
        <v>583.27664589761832</v>
      </c>
      <c r="DT94" s="62">
        <f ca="1">AVERAGE(OFFSET($DS$3,0,0,'Données projet'!$E$14+1,1))-AVERAGE(OFFSET($H$3,0,0,'Données projet'!$E$14+1,1))</f>
        <v>66.964554307546564</v>
      </c>
      <c r="DU94" s="62">
        <f t="shared" si="98"/>
        <v>21.162700178818568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3.8</v>
      </c>
      <c r="EJ94" s="13">
        <f>IF('Données projet'!$A$192&gt;35,EJ93+EI94-ER93,IF(A94&lt;'Données projet'!$A$192,$EG$205^A94,IF(A94='Données projet'!$A$192,'Données projet'!$B$192,EJ93+EI94-ER93)))</f>
        <v>196.79999999999981</v>
      </c>
      <c r="EK94" s="18">
        <f>EJ94*VLOOKUP('Données projet'!$B$15,Paramètres!$A$1:$I$89,3,0)*VLOOKUP('Données projet'!$B$15,Paramètres!$A$1:$I$89,5,0)</f>
        <v>190.34495999999982</v>
      </c>
      <c r="EL94" s="14">
        <f t="shared" si="99"/>
        <v>47.61621055610108</v>
      </c>
      <c r="EM94" s="22">
        <f t="shared" si="73"/>
        <v>414.4490387185424</v>
      </c>
      <c r="EN94" s="62">
        <f t="shared" si="74"/>
        <v>707.78237205187565</v>
      </c>
      <c r="EO94" s="62">
        <f ca="1">AVERAGE(OFFSET($EN$3,0,0,'Données projet'!$E$15+1,1))-AVERAGE(OFFSET($H$3,0,0,'Données projet'!$E$15+1,1))</f>
        <v>146.90952320473599</v>
      </c>
      <c r="EP94" s="62">
        <f t="shared" si="100"/>
        <v>56.347130462109817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3.8</v>
      </c>
      <c r="FE94" s="13">
        <f>IF('Données projet'!$A$218&gt;35,FE93+FD94-FM93,IF(A94&lt;'Données projet'!$A$218,$FB$205^A94,IF(A94='Données projet'!$A$218,'Données projet'!$B$218,FE93+FD94-FM93)))</f>
        <v>196.79999999999981</v>
      </c>
      <c r="FF94" s="18">
        <f>FE94*VLOOKUP('Données projet'!$B$16,Paramètres!$A$1:$I$89,3,0)*VLOOKUP('Données projet'!$B$16,Paramètres!$A$1:$I$89,5,0)</f>
        <v>211.83551999999978</v>
      </c>
      <c r="FG94" s="14">
        <f t="shared" si="101"/>
        <v>52.336489616154928</v>
      </c>
      <c r="FH94" s="22">
        <f t="shared" si="76"/>
        <v>460.09958341480274</v>
      </c>
      <c r="FI94" s="62">
        <f t="shared" si="77"/>
        <v>753.43291674813599</v>
      </c>
      <c r="FJ94" s="62">
        <f ca="1">AVERAGE(OFFSET($FI$3,0,0,'Données projet'!$E$16+1,1))-AVERAGE(OFFSET($H$3,0,0,'Données projet'!$E$16+1,1))</f>
        <v>176.21892815766847</v>
      </c>
      <c r="FK94" s="62">
        <f t="shared" si="102"/>
        <v>69.239647548491234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-1.1368683772161603E-13</v>
      </c>
      <c r="GA94" s="18">
        <f>FZ94*VLOOKUP('Données projet'!$B$17,Paramètres!$A$1:$I$89,3,0)*VLOOKUP('Données projet'!$B$17,Paramètres!$A$1:$I$89,5,0)</f>
        <v>-9.0449248091317723E-14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70.834027458412379</v>
      </c>
      <c r="GF94" s="62">
        <f t="shared" si="104"/>
        <v>74.346987922112362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8.1906927564321374E-9</v>
      </c>
      <c r="GO94" s="23">
        <f t="shared" si="81"/>
        <v>8.1906927564321374E-9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-1.1368683772161603E-13</v>
      </c>
      <c r="GV94" s="18">
        <f>GU94*VLOOKUP('Données projet'!$B$18,Paramètres!$A$1:$I$89,3,0)*VLOOKUP('Données projet'!$B$18,Paramètres!$A$1:$I$89,5,0)</f>
        <v>-8.8675733422860506E-14</v>
      </c>
      <c r="GW94" s="14" t="e">
        <f t="shared" si="105"/>
        <v>#NUM!</v>
      </c>
      <c r="GX94" s="22" t="e">
        <f t="shared" si="82"/>
        <v>#NUM!</v>
      </c>
      <c r="GY94" s="62" t="e">
        <f t="shared" si="83"/>
        <v>#NUM!</v>
      </c>
      <c r="GZ94" s="62">
        <f ca="1">AVERAGE(OFFSET($GY$3,0,0,'Données projet'!$E$18+1,1))-AVERAGE(OFFSET($H$3,0,0,'Données projet'!$E$18+1,1))</f>
        <v>99.222094917553648</v>
      </c>
      <c r="HA94" s="62">
        <f t="shared" si="106"/>
        <v>98.371477396766352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1.7041745103137675E-9</v>
      </c>
      <c r="HJ94" s="24">
        <f t="shared" si="84"/>
        <v>1.7041745103137675E-9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</v>
      </c>
      <c r="N95" s="14">
        <f>IF('Données projet'!$A$36&gt;35,N94+M95-V94,IF(A95&lt;'Données projet'!$A$36,$K$205^A95,IF(A95='Données projet'!$A$36,'Données projet'!$B$36,N94+M95-V94)))</f>
        <v>499.00000000000045</v>
      </c>
      <c r="O95" s="14">
        <f>N95*VLOOKUP('Données projet'!$B$9,Paramètres!$A$1:$I$89,3,0)*VLOOKUP('Données projet'!$B$9,Paramètres!$A$1:$I$89,5,0)</f>
        <v>233.53200000000021</v>
      </c>
      <c r="P95" s="14">
        <f t="shared" si="87"/>
        <v>57.04570382109813</v>
      </c>
      <c r="Q95" s="22">
        <f t="shared" si="54"/>
        <v>506.08950082174624</v>
      </c>
      <c r="R95" s="62">
        <f t="shared" si="55"/>
        <v>799.4228341550795</v>
      </c>
      <c r="S95" s="62">
        <f ca="1">AVERAGE(OFFSET($R$3,0,0,'Données projet'!$E$9+1,1))-AVERAGE(OFFSET($H$3,0,0,'Données projet'!$E$9+1,1))</f>
        <v>181.48161394994878</v>
      </c>
      <c r="T95" s="62">
        <f t="shared" si="88"/>
        <v>141.1874974464024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318.39599999999996</v>
      </c>
      <c r="AK95" s="14">
        <f t="shared" si="89"/>
        <v>75.019512724334945</v>
      </c>
      <c r="AL95" s="22">
        <f t="shared" si="58"/>
        <v>685.19868466154992</v>
      </c>
      <c r="AM95" s="62">
        <f t="shared" si="59"/>
        <v>978.53201799488329</v>
      </c>
      <c r="AN95" s="62">
        <f ca="1">AVERAGE(OFFSET($AM$3,0,0,'Données projet'!$E$10+1,1))-AVERAGE(OFFSET($H$3,0,0,'Données projet'!$E$10+1,1))</f>
        <v>340.81036749486179</v>
      </c>
      <c r="AO95" s="62">
        <f t="shared" si="90"/>
        <v>208.88199836488013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257.96727373333601</v>
      </c>
      <c r="BJ95" s="62">
        <f t="shared" si="92"/>
        <v>194.52809733694494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1.0834858107110665</v>
      </c>
      <c r="BR95" s="23">
        <f>EXP(-LN(2)/2)*BR94+(1-EXP(-LN(2)/2))/(LN(2)/2)*BL95*BO95*VLOOKUP('Données projet'!$B$11,Paramètres!$A$1:$I$89,3,0)*0.475*44/12</f>
        <v>6.6226797962304747E-9</v>
      </c>
      <c r="BS95" s="24">
        <f t="shared" si="63"/>
        <v>1.0834858173337463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284.10719999999992</v>
      </c>
      <c r="CA95" s="14">
        <f t="shared" si="93"/>
        <v>67.834241327943715</v>
      </c>
      <c r="CB95" s="22">
        <f t="shared" si="64"/>
        <v>612.96467697950186</v>
      </c>
      <c r="CC95" s="62">
        <f t="shared" si="65"/>
        <v>906.29801031283523</v>
      </c>
      <c r="CD95" s="62">
        <f ca="1">AVERAGE(OFFSET($CC$3,0,0,'Données projet'!$E$12+1,1))-AVERAGE(OFFSET($H$3,0,0,'Données projet'!$E$12+1,1))</f>
        <v>292.83612296867898</v>
      </c>
      <c r="CE95" s="62">
        <f t="shared" si="94"/>
        <v>180.48047802041276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1.3173265672939015E-8</v>
      </c>
      <c r="CN95" s="24">
        <f t="shared" si="66"/>
        <v>1.3173265672939015E-8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3.8</v>
      </c>
      <c r="CT95" s="13">
        <f>IF('Données projet'!$A$140&gt;35,CT94+CS95-DB94,IF(A95&lt;'Données projet'!$A$140,$CQ$205^A95,IF(A95='Données projet'!$A$140,'Données projet'!$B$140,CT94+CS95-DB94)))</f>
        <v>200.59999999999982</v>
      </c>
      <c r="CU95" s="18">
        <f>CT95*VLOOKUP('Données projet'!$B$13,Paramètres!$A$1:$I$89,3,0)*VLOOKUP('Données projet'!$B$13,Paramètres!$A$1:$I$89,5,0)</f>
        <v>228.44327999999982</v>
      </c>
      <c r="CV95" s="14">
        <f t="shared" si="95"/>
        <v>55.945949343401146</v>
      </c>
      <c r="CW95" s="22">
        <f t="shared" si="67"/>
        <v>495.31124110642332</v>
      </c>
      <c r="CX95" s="62">
        <f t="shared" si="68"/>
        <v>788.64457443975664</v>
      </c>
      <c r="CY95" s="62">
        <f ca="1">AVERAGE(OFFSET($CX$3,0,0,'Données projet'!$E$13+1,1))-AVERAGE(OFFSET($H$3,0,0,'Données projet'!$E$13+1,1))</f>
        <v>192.93829651668403</v>
      </c>
      <c r="CZ95" s="62">
        <f t="shared" si="96"/>
        <v>76.592736352376903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3.8</v>
      </c>
      <c r="DO95" s="13">
        <f>IF('Données projet'!$A$166&gt;35,DO94+DN95-DW94,IF(A95&lt;'Données projet'!$A$166,$DL$205^A95,IF(A95='Données projet'!$A$166,'Données projet'!$B$166,DO94+DN95-DW94)))</f>
        <v>200.59999999999982</v>
      </c>
      <c r="DP95" s="18">
        <f>DO95*VLOOKUP('Données projet'!$B$14,Paramètres!$A$1:$I$89,3,0)*VLOOKUP('Données projet'!$B$14,Paramètres!$A$1:$I$89,5,0)</f>
        <v>134.56247999999988</v>
      </c>
      <c r="DQ95" s="14">
        <f t="shared" si="97"/>
        <v>35.048488707783243</v>
      </c>
      <c r="DR95" s="22">
        <f t="shared" si="70"/>
        <v>295.40577049938889</v>
      </c>
      <c r="DS95" s="62">
        <f t="shared" si="71"/>
        <v>588.73910383272221</v>
      </c>
      <c r="DT95" s="62">
        <f ca="1">AVERAGE(OFFSET($DS$3,0,0,'Données projet'!$E$14+1,1))-AVERAGE(OFFSET($H$3,0,0,'Données projet'!$E$14+1,1))</f>
        <v>66.964554307546564</v>
      </c>
      <c r="DU95" s="62">
        <f t="shared" si="98"/>
        <v>21.162700178818568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3.8</v>
      </c>
      <c r="EJ95" s="13">
        <f>IF('Données projet'!$A$192&gt;35,EJ94+EI95-ER94,IF(A95&lt;'Données projet'!$A$192,$EG$205^A95,IF(A95='Données projet'!$A$192,'Données projet'!$B$192,EJ94+EI95-ER94)))</f>
        <v>200.59999999999982</v>
      </c>
      <c r="EK95" s="18">
        <f>EJ95*VLOOKUP('Données projet'!$B$15,Paramètres!$A$1:$I$89,3,0)*VLOOKUP('Données projet'!$B$15,Paramètres!$A$1:$I$89,5,0)</f>
        <v>194.02031999999983</v>
      </c>
      <c r="EL95" s="14">
        <f t="shared" si="99"/>
        <v>48.427702455615062</v>
      </c>
      <c r="EM95" s="22">
        <f t="shared" si="73"/>
        <v>422.26363911019592</v>
      </c>
      <c r="EN95" s="62">
        <f t="shared" si="74"/>
        <v>715.59697244352924</v>
      </c>
      <c r="EO95" s="62">
        <f ca="1">AVERAGE(OFFSET($EN$3,0,0,'Données projet'!$E$15+1,1))-AVERAGE(OFFSET($H$3,0,0,'Données projet'!$E$15+1,1))</f>
        <v>146.90952320473599</v>
      </c>
      <c r="EP95" s="62">
        <f t="shared" si="100"/>
        <v>56.347130462109817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3.8</v>
      </c>
      <c r="FE95" s="13">
        <f>IF('Données projet'!$A$218&gt;35,FE94+FD95-FM94,IF(A95&lt;'Données projet'!$A$218,$FB$205^A95,IF(A95='Données projet'!$A$218,'Données projet'!$B$218,FE94+FD95-FM94)))</f>
        <v>200.59999999999982</v>
      </c>
      <c r="FF95" s="18">
        <f>FE95*VLOOKUP('Données projet'!$B$16,Paramètres!$A$1:$I$89,3,0)*VLOOKUP('Données projet'!$B$16,Paramètres!$A$1:$I$89,5,0)</f>
        <v>215.92583999999982</v>
      </c>
      <c r="FG95" s="14">
        <f t="shared" si="101"/>
        <v>53.228426141058961</v>
      </c>
      <c r="FH95" s="22">
        <f t="shared" si="76"/>
        <v>468.77701352901067</v>
      </c>
      <c r="FI95" s="62">
        <f t="shared" si="77"/>
        <v>762.11034686234393</v>
      </c>
      <c r="FJ95" s="62">
        <f ca="1">AVERAGE(OFFSET($FI$3,0,0,'Données projet'!$E$16+1,1))-AVERAGE(OFFSET($H$3,0,0,'Données projet'!$E$16+1,1))</f>
        <v>176.21892815766847</v>
      </c>
      <c r="FK95" s="62">
        <f t="shared" si="102"/>
        <v>69.239647548491234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-1.1368683772161603E-13</v>
      </c>
      <c r="GA95" s="18">
        <f>FZ95*VLOOKUP('Données projet'!$B$17,Paramètres!$A$1:$I$89,3,0)*VLOOKUP('Données projet'!$B$17,Paramètres!$A$1:$I$89,5,0)</f>
        <v>-9.0449248091317723E-14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70.834027458412379</v>
      </c>
      <c r="GF95" s="62">
        <f t="shared" si="104"/>
        <v>74.346987922112362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5.7916943906886992E-9</v>
      </c>
      <c r="GO95" s="23">
        <f t="shared" si="81"/>
        <v>5.7916943906886992E-9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-1.1368683772161603E-13</v>
      </c>
      <c r="GV95" s="18">
        <f>GU95*VLOOKUP('Données projet'!$B$18,Paramètres!$A$1:$I$89,3,0)*VLOOKUP('Données projet'!$B$18,Paramètres!$A$1:$I$89,5,0)</f>
        <v>-8.8675733422860506E-14</v>
      </c>
      <c r="GW95" s="14" t="e">
        <f t="shared" si="105"/>
        <v>#NUM!</v>
      </c>
      <c r="GX95" s="22" t="e">
        <f t="shared" si="82"/>
        <v>#NUM!</v>
      </c>
      <c r="GY95" s="62" t="e">
        <f t="shared" si="83"/>
        <v>#NUM!</v>
      </c>
      <c r="GZ95" s="62">
        <f ca="1">AVERAGE(OFFSET($GY$3,0,0,'Données projet'!$E$18+1,1))-AVERAGE(OFFSET($H$3,0,0,'Données projet'!$E$18+1,1))</f>
        <v>99.222094917553648</v>
      </c>
      <c r="HA95" s="62">
        <f t="shared" si="106"/>
        <v>98.371477396766352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1.205033352568129E-9</v>
      </c>
      <c r="HJ95" s="24">
        <f t="shared" si="84"/>
        <v>1.205033352568129E-9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</v>
      </c>
      <c r="N96" s="14">
        <f>IF('Données projet'!$A$36&gt;35,N95+M96-V95,IF(A96&lt;'Données projet'!$A$36,$K$205^A96,IF(A96='Données projet'!$A$36,'Données projet'!$B$36,N95+M96-V95)))</f>
        <v>512.00000000000045</v>
      </c>
      <c r="O96" s="14">
        <f>N96*VLOOKUP('Données projet'!$B$9,Paramètres!$A$1:$I$89,3,0)*VLOOKUP('Données projet'!$B$9,Paramètres!$A$1:$I$89,5,0)</f>
        <v>239.61600000000021</v>
      </c>
      <c r="P96" s="14">
        <f t="shared" si="87"/>
        <v>58.356903313490214</v>
      </c>
      <c r="Q96" s="22">
        <f t="shared" si="54"/>
        <v>518.96947327099576</v>
      </c>
      <c r="R96" s="62">
        <f t="shared" si="55"/>
        <v>812.30280660432913</v>
      </c>
      <c r="S96" s="62">
        <f ca="1">AVERAGE(OFFSET($R$3,0,0,'Données projet'!$E$9+1,1))-AVERAGE(OFFSET($H$3,0,0,'Données projet'!$E$9+1,1))</f>
        <v>181.48161394994878</v>
      </c>
      <c r="T96" s="62">
        <f t="shared" si="88"/>
        <v>141.1874974464024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324.47999999999996</v>
      </c>
      <c r="AK96" s="14">
        <f t="shared" si="89"/>
        <v>76.284749200165507</v>
      </c>
      <c r="AL96" s="22">
        <f t="shared" si="58"/>
        <v>697.99860485695478</v>
      </c>
      <c r="AM96" s="62">
        <f t="shared" si="59"/>
        <v>991.33193819028816</v>
      </c>
      <c r="AN96" s="62">
        <f ca="1">AVERAGE(OFFSET($AM$3,0,0,'Données projet'!$E$10+1,1))-AVERAGE(OFFSET($H$3,0,0,'Données projet'!$E$10+1,1))</f>
        <v>340.81036749486179</v>
      </c>
      <c r="AO96" s="62">
        <f t="shared" si="90"/>
        <v>208.88199836488013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257.96727373333601</v>
      </c>
      <c r="BJ96" s="62">
        <f t="shared" si="92"/>
        <v>194.52809733694494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1.05385783423913</v>
      </c>
      <c r="BR96" s="23">
        <f>EXP(-LN(2)/2)*BR95+(1-EXP(-LN(2)/2))/(LN(2)/2)*BL96*BO96*VLOOKUP('Données projet'!$B$11,Paramètres!$A$1:$I$89,3,0)*0.475*44/12</f>
        <v>4.6829417935417114E-9</v>
      </c>
      <c r="BS96" s="24">
        <f t="shared" si="63"/>
        <v>1.0538578389220719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289.53599999999994</v>
      </c>
      <c r="CA96" s="14">
        <f t="shared" si="93"/>
        <v>68.97829509904436</v>
      </c>
      <c r="CB96" s="22">
        <f t="shared" si="64"/>
        <v>624.41239729750214</v>
      </c>
      <c r="CC96" s="62">
        <f t="shared" si="65"/>
        <v>917.7457306308354</v>
      </c>
      <c r="CD96" s="62">
        <f ca="1">AVERAGE(OFFSET($CC$3,0,0,'Données projet'!$E$12+1,1))-AVERAGE(OFFSET($H$3,0,0,'Données projet'!$E$12+1,1))</f>
        <v>292.83612296867898</v>
      </c>
      <c r="CE96" s="62">
        <f t="shared" si="94"/>
        <v>180.48047802041276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9.3149054877071455E-9</v>
      </c>
      <c r="CN96" s="24">
        <f t="shared" si="66"/>
        <v>9.3149054877071455E-9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3.8</v>
      </c>
      <c r="CT96" s="13">
        <f>IF('Données projet'!$A$140&gt;35,CT95+CS96-DB95,IF(A96&lt;'Données projet'!$A$140,$CQ$205^A96,IF(A96='Données projet'!$A$140,'Données projet'!$B$140,CT95+CS96-DB95)))</f>
        <v>204.39999999999984</v>
      </c>
      <c r="CU96" s="18">
        <f>CT96*VLOOKUP('Données projet'!$B$13,Paramètres!$A$1:$I$89,3,0)*VLOOKUP('Données projet'!$B$13,Paramètres!$A$1:$I$89,5,0)</f>
        <v>232.77071999999981</v>
      </c>
      <c r="CV96" s="14">
        <f t="shared" si="95"/>
        <v>56.881357812977832</v>
      </c>
      <c r="CW96" s="22">
        <f t="shared" si="67"/>
        <v>504.47736885760281</v>
      </c>
      <c r="CX96" s="62">
        <f t="shared" si="68"/>
        <v>797.81070219093613</v>
      </c>
      <c r="CY96" s="62">
        <f ca="1">AVERAGE(OFFSET($CX$3,0,0,'Données projet'!$E$13+1,1))-AVERAGE(OFFSET($H$3,0,0,'Données projet'!$E$13+1,1))</f>
        <v>192.93829651668403</v>
      </c>
      <c r="CZ96" s="62">
        <f t="shared" si="96"/>
        <v>76.592736352376903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3.8</v>
      </c>
      <c r="DO96" s="13">
        <f>IF('Données projet'!$A$166&gt;35,DO95+DN96-DW95,IF(A96&lt;'Données projet'!$A$166,$DL$205^A96,IF(A96='Données projet'!$A$166,'Données projet'!$B$166,DO95+DN96-DW95)))</f>
        <v>204.39999999999984</v>
      </c>
      <c r="DP96" s="18">
        <f>DO96*VLOOKUP('Données projet'!$B$14,Paramètres!$A$1:$I$89,3,0)*VLOOKUP('Données projet'!$B$14,Paramètres!$A$1:$I$89,5,0)</f>
        <v>137.1115199999999</v>
      </c>
      <c r="DQ96" s="14">
        <f t="shared" si="97"/>
        <v>35.634494550349046</v>
      </c>
      <c r="DR96" s="22">
        <f t="shared" si="70"/>
        <v>300.86597534185779</v>
      </c>
      <c r="DS96" s="62">
        <f t="shared" si="71"/>
        <v>594.19930867519111</v>
      </c>
      <c r="DT96" s="62">
        <f ca="1">AVERAGE(OFFSET($DS$3,0,0,'Données projet'!$E$14+1,1))-AVERAGE(OFFSET($H$3,0,0,'Données projet'!$E$14+1,1))</f>
        <v>66.964554307546564</v>
      </c>
      <c r="DU96" s="62">
        <f t="shared" si="98"/>
        <v>21.162700178818568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3.8</v>
      </c>
      <c r="EJ96" s="13">
        <f>IF('Données projet'!$A$192&gt;35,EJ95+EI96-ER95,IF(A96&lt;'Données projet'!$A$192,$EG$205^A96,IF(A96='Données projet'!$A$192,'Données projet'!$B$192,EJ95+EI96-ER95)))</f>
        <v>204.39999999999984</v>
      </c>
      <c r="EK96" s="18">
        <f>EJ96*VLOOKUP('Données projet'!$B$15,Paramètres!$A$1:$I$89,3,0)*VLOOKUP('Données projet'!$B$15,Paramètres!$A$1:$I$89,5,0)</f>
        <v>197.69567999999984</v>
      </c>
      <c r="EL96" s="14">
        <f t="shared" si="99"/>
        <v>49.237406885887019</v>
      </c>
      <c r="EM96" s="22">
        <f t="shared" si="73"/>
        <v>430.07512632625293</v>
      </c>
      <c r="EN96" s="62">
        <f t="shared" si="74"/>
        <v>723.40845965958624</v>
      </c>
      <c r="EO96" s="62">
        <f ca="1">AVERAGE(OFFSET($EN$3,0,0,'Données projet'!$E$15+1,1))-AVERAGE(OFFSET($H$3,0,0,'Données projet'!$E$15+1,1))</f>
        <v>146.90952320473599</v>
      </c>
      <c r="EP96" s="62">
        <f t="shared" si="100"/>
        <v>56.347130462109817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3.8</v>
      </c>
      <c r="FE96" s="13">
        <f>IF('Données projet'!$A$218&gt;35,FE95+FD96-FM95,IF(A96&lt;'Données projet'!$A$218,$FB$205^A96,IF(A96='Données projet'!$A$218,'Données projet'!$B$218,FE95+FD96-FM95)))</f>
        <v>204.39999999999984</v>
      </c>
      <c r="FF96" s="18">
        <f>FE96*VLOOKUP('Données projet'!$B$16,Paramètres!$A$1:$I$89,3,0)*VLOOKUP('Données projet'!$B$16,Paramètres!$A$1:$I$89,5,0)</f>
        <v>220.01615999999984</v>
      </c>
      <c r="FG96" s="14">
        <f t="shared" si="101"/>
        <v>54.118398001737724</v>
      </c>
      <c r="FH96" s="22">
        <f t="shared" si="76"/>
        <v>477.45102185302625</v>
      </c>
      <c r="FI96" s="62">
        <f t="shared" si="77"/>
        <v>770.78435518635956</v>
      </c>
      <c r="FJ96" s="62">
        <f ca="1">AVERAGE(OFFSET($FI$3,0,0,'Données projet'!$E$16+1,1))-AVERAGE(OFFSET($H$3,0,0,'Données projet'!$E$16+1,1))</f>
        <v>176.21892815766847</v>
      </c>
      <c r="FK96" s="62">
        <f t="shared" si="102"/>
        <v>69.239647548491234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-1.1368683772161603E-13</v>
      </c>
      <c r="GA96" s="18">
        <f>FZ96*VLOOKUP('Données projet'!$B$17,Paramètres!$A$1:$I$89,3,0)*VLOOKUP('Données projet'!$B$17,Paramètres!$A$1:$I$89,5,0)</f>
        <v>-9.0449248091317723E-14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70.834027458412379</v>
      </c>
      <c r="GF96" s="62">
        <f t="shared" si="104"/>
        <v>74.346987922112362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4.0953463782160687E-9</v>
      </c>
      <c r="GO96" s="23">
        <f t="shared" si="81"/>
        <v>4.0953463782160687E-9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-1.1368683772161603E-13</v>
      </c>
      <c r="GV96" s="18">
        <f>GU96*VLOOKUP('Données projet'!$B$18,Paramètres!$A$1:$I$89,3,0)*VLOOKUP('Données projet'!$B$18,Paramètres!$A$1:$I$89,5,0)</f>
        <v>-8.8675733422860506E-14</v>
      </c>
      <c r="GW96" s="14" t="e">
        <f t="shared" si="105"/>
        <v>#NUM!</v>
      </c>
      <c r="GX96" s="22" t="e">
        <f t="shared" si="82"/>
        <v>#NUM!</v>
      </c>
      <c r="GY96" s="62" t="e">
        <f t="shared" si="83"/>
        <v>#NUM!</v>
      </c>
      <c r="GZ96" s="62">
        <f ca="1">AVERAGE(OFFSET($GY$3,0,0,'Données projet'!$E$18+1,1))-AVERAGE(OFFSET($H$3,0,0,'Données projet'!$E$18+1,1))</f>
        <v>99.222094917553648</v>
      </c>
      <c r="HA96" s="62">
        <f t="shared" si="106"/>
        <v>98.371477396766352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8.5208725515688377E-10</v>
      </c>
      <c r="HJ96" s="24">
        <f t="shared" si="84"/>
        <v>8.5208725515688377E-10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525</v>
      </c>
      <c r="L97" s="13">
        <f>VLOOKUP(A97,'Données projet'!$A$35:$I$55,9,0)</f>
        <v>13</v>
      </c>
      <c r="M97" s="13">
        <f t="array" ref="M97">INDEX(L:L,MIN(IF(ISNUMBER(L97:L293),ROW(L97:L293),"")))</f>
        <v>13</v>
      </c>
      <c r="N97" s="14">
        <f>IF('Données projet'!$A$36&gt;35,N96+M97-V96,IF(A97&lt;'Données projet'!$A$36,$K$205^A97,IF(A97='Données projet'!$A$36,'Données projet'!$B$36,N96+M97-V96)))</f>
        <v>525.00000000000045</v>
      </c>
      <c r="O97" s="14">
        <f>N97*VLOOKUP('Données projet'!$B$9,Paramètres!$A$1:$I$89,3,0)*VLOOKUP('Données projet'!$B$9,Paramètres!$A$1:$I$89,5,0)</f>
        <v>245.70000000000022</v>
      </c>
      <c r="P97" s="14">
        <f t="shared" si="87"/>
        <v>59.66423287821754</v>
      </c>
      <c r="Q97" s="22">
        <f t="shared" si="54"/>
        <v>531.84270559622928</v>
      </c>
      <c r="R97" s="62">
        <f t="shared" si="55"/>
        <v>825.17603892956254</v>
      </c>
      <c r="S97" s="62">
        <f ca="1">AVERAGE(OFFSET($R$3,0,0,'Données projet'!$E$9+1,1))-AVERAGE(OFFSET($H$3,0,0,'Données projet'!$E$9+1,1))</f>
        <v>181.48161394994878</v>
      </c>
      <c r="T97" s="62">
        <f t="shared" si="88"/>
        <v>141.1874974464024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330.56399999999996</v>
      </c>
      <c r="AK97" s="14">
        <f t="shared" si="89"/>
        <v>77.547227137682853</v>
      </c>
      <c r="AL97" s="22">
        <f t="shared" si="58"/>
        <v>710.79372059813079</v>
      </c>
      <c r="AM97" s="62">
        <f t="shared" si="59"/>
        <v>1004.1270539314642</v>
      </c>
      <c r="AN97" s="62">
        <f ca="1">AVERAGE(OFFSET($AM$3,0,0,'Données projet'!$E$10+1,1))-AVERAGE(OFFSET($H$3,0,0,'Données projet'!$E$10+1,1))</f>
        <v>340.81036749486179</v>
      </c>
      <c r="AO97" s="62">
        <f t="shared" si="90"/>
        <v>208.88199836488013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257.96727373333601</v>
      </c>
      <c r="BJ97" s="62">
        <f t="shared" si="92"/>
        <v>194.52809733694494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1.0250400363418861</v>
      </c>
      <c r="BR97" s="23">
        <f>EXP(-LN(2)/2)*BR96+(1-EXP(-LN(2)/2))/(LN(2)/2)*BL97*BO97*VLOOKUP('Données projet'!$B$11,Paramètres!$A$1:$I$89,3,0)*0.475*44/12</f>
        <v>3.3113398981152374E-9</v>
      </c>
      <c r="BS97" s="24">
        <f t="shared" si="63"/>
        <v>1.025040039653226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294.96479999999997</v>
      </c>
      <c r="CA97" s="14">
        <f t="shared" si="93"/>
        <v>70.119854541045001</v>
      </c>
      <c r="CB97" s="22">
        <f t="shared" si="64"/>
        <v>635.85577332565333</v>
      </c>
      <c r="CC97" s="62">
        <f t="shared" si="65"/>
        <v>929.1891066589867</v>
      </c>
      <c r="CD97" s="62">
        <f ca="1">AVERAGE(OFFSET($CC$3,0,0,'Données projet'!$E$12+1,1))-AVERAGE(OFFSET($H$3,0,0,'Données projet'!$E$12+1,1))</f>
        <v>292.83612296867898</v>
      </c>
      <c r="CE97" s="62">
        <f t="shared" si="94"/>
        <v>180.48047802041276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6.5866328364695074E-9</v>
      </c>
      <c r="CN97" s="24">
        <f t="shared" si="66"/>
        <v>6.5866328364695074E-9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3.8</v>
      </c>
      <c r="CT97" s="13">
        <f>IF('Données projet'!$A$140&gt;35,CT96+CS97-DB96,IF(A97&lt;'Données projet'!$A$140,$CQ$205^A97,IF(A97='Données projet'!$A$140,'Données projet'!$B$140,CT96+CS97-DB96)))</f>
        <v>208.19999999999985</v>
      </c>
      <c r="CU97" s="18">
        <f>CT97*VLOOKUP('Données projet'!$B$13,Paramètres!$A$1:$I$89,3,0)*VLOOKUP('Données projet'!$B$13,Paramètres!$A$1:$I$89,5,0)</f>
        <v>237.09815999999981</v>
      </c>
      <c r="CV97" s="14">
        <f t="shared" si="95"/>
        <v>57.814744131423225</v>
      </c>
      <c r="CW97" s="22">
        <f t="shared" si="67"/>
        <v>513.63997469556182</v>
      </c>
      <c r="CX97" s="62">
        <f t="shared" si="68"/>
        <v>806.97330802889519</v>
      </c>
      <c r="CY97" s="62">
        <f ca="1">AVERAGE(OFFSET($CX$3,0,0,'Données projet'!$E$13+1,1))-AVERAGE(OFFSET($H$3,0,0,'Données projet'!$E$13+1,1))</f>
        <v>192.93829651668403</v>
      </c>
      <c r="CZ97" s="62">
        <f t="shared" si="96"/>
        <v>76.592736352376903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3.8</v>
      </c>
      <c r="DO97" s="13">
        <f>IF('Données projet'!$A$166&gt;35,DO96+DN97-DW96,IF(A97&lt;'Données projet'!$A$166,$DL$205^A97,IF(A97='Données projet'!$A$166,'Données projet'!$B$166,DO96+DN97-DW96)))</f>
        <v>208.19999999999985</v>
      </c>
      <c r="DP97" s="18">
        <f>DO97*VLOOKUP('Données projet'!$B$14,Paramètres!$A$1:$I$89,3,0)*VLOOKUP('Données projet'!$B$14,Paramètres!$A$1:$I$89,5,0)</f>
        <v>139.66055999999992</v>
      </c>
      <c r="DQ97" s="14">
        <f t="shared" si="97"/>
        <v>36.219233574817657</v>
      </c>
      <c r="DR97" s="22">
        <f t="shared" si="70"/>
        <v>306.3239738094739</v>
      </c>
      <c r="DS97" s="62">
        <f t="shared" si="71"/>
        <v>599.65730714280721</v>
      </c>
      <c r="DT97" s="62">
        <f ca="1">AVERAGE(OFFSET($DS$3,0,0,'Données projet'!$E$14+1,1))-AVERAGE(OFFSET($H$3,0,0,'Données projet'!$E$14+1,1))</f>
        <v>66.964554307546564</v>
      </c>
      <c r="DU97" s="62">
        <f t="shared" si="98"/>
        <v>21.162700178818568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3.8</v>
      </c>
      <c r="EJ97" s="13">
        <f>IF('Données projet'!$A$192&gt;35,EJ96+EI97-ER96,IF(A97&lt;'Données projet'!$A$192,$EG$205^A97,IF(A97='Données projet'!$A$192,'Données projet'!$B$192,EJ96+EI97-ER96)))</f>
        <v>208.19999999999985</v>
      </c>
      <c r="EK97" s="18">
        <f>EJ97*VLOOKUP('Données projet'!$B$15,Paramètres!$A$1:$I$89,3,0)*VLOOKUP('Données projet'!$B$15,Paramètres!$A$1:$I$89,5,0)</f>
        <v>201.37103999999988</v>
      </c>
      <c r="EL97" s="14">
        <f t="shared" si="99"/>
        <v>50.045360910017756</v>
      </c>
      <c r="EM97" s="22">
        <f t="shared" si="73"/>
        <v>437.88356491828068</v>
      </c>
      <c r="EN97" s="62">
        <f t="shared" si="74"/>
        <v>731.216898251614</v>
      </c>
      <c r="EO97" s="62">
        <f ca="1">AVERAGE(OFFSET($EN$3,0,0,'Données projet'!$E$15+1,1))-AVERAGE(OFFSET($H$3,0,0,'Données projet'!$E$15+1,1))</f>
        <v>146.90952320473599</v>
      </c>
      <c r="EP97" s="62">
        <f t="shared" si="100"/>
        <v>56.347130462109817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3.8</v>
      </c>
      <c r="FE97" s="13">
        <f>IF('Données projet'!$A$218&gt;35,FE96+FD97-FM96,IF(A97&lt;'Données projet'!$A$218,$FB$205^A97,IF(A97='Données projet'!$A$218,'Données projet'!$B$218,FE96+FD97-FM96)))</f>
        <v>208.19999999999985</v>
      </c>
      <c r="FF97" s="18">
        <f>FE97*VLOOKUP('Données projet'!$B$16,Paramètres!$A$1:$I$89,3,0)*VLOOKUP('Données projet'!$B$16,Paramètres!$A$1:$I$89,5,0)</f>
        <v>224.10647999999981</v>
      </c>
      <c r="FG97" s="14">
        <f t="shared" si="101"/>
        <v>55.006445935422491</v>
      </c>
      <c r="FH97" s="22">
        <f t="shared" si="76"/>
        <v>486.12167933752715</v>
      </c>
      <c r="FI97" s="62">
        <f t="shared" si="77"/>
        <v>779.45501267086047</v>
      </c>
      <c r="FJ97" s="62">
        <f ca="1">AVERAGE(OFFSET($FI$3,0,0,'Données projet'!$E$16+1,1))-AVERAGE(OFFSET($H$3,0,0,'Données projet'!$E$16+1,1))</f>
        <v>176.21892815766847</v>
      </c>
      <c r="FK97" s="62">
        <f t="shared" si="102"/>
        <v>69.239647548491234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-1.1368683772161603E-13</v>
      </c>
      <c r="GA97" s="18">
        <f>FZ97*VLOOKUP('Données projet'!$B$17,Paramètres!$A$1:$I$89,3,0)*VLOOKUP('Données projet'!$B$17,Paramètres!$A$1:$I$89,5,0)</f>
        <v>-9.0449248091317723E-14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70.834027458412379</v>
      </c>
      <c r="GF97" s="62">
        <f t="shared" si="104"/>
        <v>74.346987922112362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2.8958471953443496E-9</v>
      </c>
      <c r="GO97" s="23">
        <f t="shared" si="81"/>
        <v>2.8958471953443496E-9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-1.1368683772161603E-13</v>
      </c>
      <c r="GV97" s="18">
        <f>GU97*VLOOKUP('Données projet'!$B$18,Paramètres!$A$1:$I$89,3,0)*VLOOKUP('Données projet'!$B$18,Paramètres!$A$1:$I$89,5,0)</f>
        <v>-8.8675733422860506E-14</v>
      </c>
      <c r="GW97" s="14" t="e">
        <f t="shared" si="105"/>
        <v>#NUM!</v>
      </c>
      <c r="GX97" s="22" t="e">
        <f t="shared" si="82"/>
        <v>#NUM!</v>
      </c>
      <c r="GY97" s="62" t="e">
        <f t="shared" si="83"/>
        <v>#NUM!</v>
      </c>
      <c r="GZ97" s="62">
        <f ca="1">AVERAGE(OFFSET($GY$3,0,0,'Données projet'!$E$18+1,1))-AVERAGE(OFFSET($H$3,0,0,'Données projet'!$E$18+1,1))</f>
        <v>99.222094917553648</v>
      </c>
      <c r="HA97" s="62">
        <f t="shared" si="106"/>
        <v>98.371477396766352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6.025166762840645E-10</v>
      </c>
      <c r="HJ97" s="24">
        <f t="shared" si="84"/>
        <v>6.025166762840645E-10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</v>
      </c>
      <c r="L98" s="13">
        <f>VLOOKUP(A98,'Données projet'!$A$35:$I$55,9,0)</f>
        <v>13</v>
      </c>
      <c r="M98" s="13">
        <f t="array" ref="M98">INDEX(L:L,MIN(IF(ISNUMBER(L98:L294),ROW(L98:L294),"")))</f>
        <v>13</v>
      </c>
      <c r="N98" s="14">
        <f>IF('Données projet'!$A$36&gt;35,N97+M98-V97,IF(A98&lt;'Données projet'!$A$36,$K$205^A98,IF(A98='Données projet'!$A$36,'Données projet'!$B$36,N97+M98-V97)))</f>
        <v>538.00000000000045</v>
      </c>
      <c r="O98" s="14">
        <f>N98*VLOOKUP('Données projet'!$B$9,Paramètres!$A$1:$I$89,3,0)*VLOOKUP('Données projet'!$B$9,Paramètres!$A$1:$I$89,5,0)</f>
        <v>251.78400000000019</v>
      </c>
      <c r="P98" s="14">
        <f t="shared" si="87"/>
        <v>60.967799364357568</v>
      </c>
      <c r="Q98" s="22">
        <f t="shared" si="54"/>
        <v>544.70938389292303</v>
      </c>
      <c r="R98" s="62">
        <f t="shared" si="55"/>
        <v>838.0427172262564</v>
      </c>
      <c r="S98" s="62">
        <f ca="1">AVERAGE(OFFSET($R$3,0,0,'Données projet'!$E$9+1,1))-AVERAGE(OFFSET($H$3,0,0,'Données projet'!$E$9+1,1))</f>
        <v>181.48161394994878</v>
      </c>
      <c r="T98" s="62">
        <f t="shared" si="88"/>
        <v>141.1874974464024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269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336.64799999999997</v>
      </c>
      <c r="AK98" s="14">
        <f t="shared" si="89"/>
        <v>78.807003163010378</v>
      </c>
      <c r="AL98" s="22">
        <f t="shared" si="58"/>
        <v>723.58413050890977</v>
      </c>
      <c r="AM98" s="62">
        <f t="shared" si="59"/>
        <v>1016.917463842243</v>
      </c>
      <c r="AN98" s="62">
        <f ca="1">AVERAGE(OFFSET($AM$3,0,0,'Données projet'!$E$10+1,1))-AVERAGE(OFFSET($H$3,0,0,'Données projet'!$E$10+1,1))</f>
        <v>340.81036749486179</v>
      </c>
      <c r="AO98" s="62">
        <f t="shared" si="90"/>
        <v>208.88199836488013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257.96727373333601</v>
      </c>
      <c r="BJ98" s="62">
        <f t="shared" si="92"/>
        <v>194.52809733694494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0.99701026264360448</v>
      </c>
      <c r="BR98" s="23">
        <f>EXP(-LN(2)/2)*BR97+(1-EXP(-LN(2)/2))/(LN(2)/2)*BL98*BO98*VLOOKUP('Données projet'!$B$11,Paramètres!$A$1:$I$89,3,0)*0.475*44/12</f>
        <v>2.3414708967708557E-9</v>
      </c>
      <c r="BS98" s="24">
        <f t="shared" si="63"/>
        <v>0.99701026498507539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300.39359999999994</v>
      </c>
      <c r="CA98" s="14">
        <f t="shared" si="93"/>
        <v>71.258970856492667</v>
      </c>
      <c r="CB98" s="22">
        <f t="shared" si="64"/>
        <v>647.29489424172459</v>
      </c>
      <c r="CC98" s="62">
        <f t="shared" si="65"/>
        <v>940.62822757505796</v>
      </c>
      <c r="CD98" s="62">
        <f ca="1">AVERAGE(OFFSET($CC$3,0,0,'Données projet'!$E$12+1,1))-AVERAGE(OFFSET($H$3,0,0,'Données projet'!$E$12+1,1))</f>
        <v>292.83612296867898</v>
      </c>
      <c r="CE98" s="62">
        <f t="shared" si="94"/>
        <v>180.48047802041276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4.6574527438535728E-9</v>
      </c>
      <c r="CN98" s="24">
        <f t="shared" si="66"/>
        <v>4.6574527438535728E-9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212</v>
      </c>
      <c r="CR98" s="13">
        <f>VLOOKUP(A98,'Données projet'!$A$139:$I$159,9,0)</f>
        <v>3.8</v>
      </c>
      <c r="CS98" s="13">
        <f t="array" ref="CS98">INDEX(CR:CR,MIN(IF(ISNUMBER(CR98:CR294),ROW(CR98:CR294),"")))</f>
        <v>3.8</v>
      </c>
      <c r="CT98" s="13">
        <f>IF('Données projet'!$A$140&gt;35,CT97+CS98-DB97,IF(A98&lt;'Données projet'!$A$140,$CQ$205^A98,IF(A98='Données projet'!$A$140,'Données projet'!$B$140,CT97+CS98-DB97)))</f>
        <v>211.99999999999986</v>
      </c>
      <c r="CU98" s="18">
        <f>CT98*VLOOKUP('Données projet'!$B$13,Paramètres!$A$1:$I$89,3,0)*VLOOKUP('Données projet'!$B$13,Paramètres!$A$1:$I$89,5,0)</f>
        <v>241.42559999999986</v>
      </c>
      <c r="CV98" s="14">
        <f t="shared" si="95"/>
        <v>58.746149463317458</v>
      </c>
      <c r="CW98" s="22">
        <f t="shared" si="67"/>
        <v>522.79913031527758</v>
      </c>
      <c r="CX98" s="62">
        <f t="shared" si="68"/>
        <v>816.13246364861084</v>
      </c>
      <c r="CY98" s="62">
        <f ca="1">AVERAGE(OFFSET($CX$3,0,0,'Données projet'!$E$13+1,1))-AVERAGE(OFFSET($H$3,0,0,'Données projet'!$E$13+1,1))</f>
        <v>192.93829651668403</v>
      </c>
      <c r="CZ98" s="62">
        <f t="shared" si="96"/>
        <v>76.592736352376903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14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212</v>
      </c>
      <c r="DM98" s="13">
        <f>VLOOKUP(A98,'Données projet'!$A$165:$I$185,9,0)</f>
        <v>3.8</v>
      </c>
      <c r="DN98" s="13">
        <f t="array" ref="DN98">INDEX(DM:DM,MIN(IF(ISNUMBER(DM98:DM294),ROW(DM98:DM294),"")))</f>
        <v>3.8</v>
      </c>
      <c r="DO98" s="13">
        <f>IF('Données projet'!$A$166&gt;35,DO97+DN98-DW97,IF(A98&lt;'Données projet'!$A$166,$DL$205^A98,IF(A98='Données projet'!$A$166,'Données projet'!$B$166,DO97+DN98-DW97)))</f>
        <v>211.99999999999986</v>
      </c>
      <c r="DP98" s="18">
        <f>DO98*VLOOKUP('Données projet'!$B$14,Paramètres!$A$1:$I$89,3,0)*VLOOKUP('Données projet'!$B$14,Paramètres!$A$1:$I$89,5,0)</f>
        <v>142.20959999999991</v>
      </c>
      <c r="DQ98" s="14">
        <f t="shared" si="97"/>
        <v>36.802731569585617</v>
      </c>
      <c r="DR98" s="22">
        <f t="shared" si="70"/>
        <v>311.77981081702814</v>
      </c>
      <c r="DS98" s="62">
        <f t="shared" si="71"/>
        <v>605.11314415036145</v>
      </c>
      <c r="DT98" s="62">
        <f ca="1">AVERAGE(OFFSET($DS$3,0,0,'Données projet'!$E$14+1,1))-AVERAGE(OFFSET($H$3,0,0,'Données projet'!$E$14+1,1))</f>
        <v>66.964554307546564</v>
      </c>
      <c r="DU98" s="62">
        <f t="shared" si="98"/>
        <v>21.162700178818568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14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212</v>
      </c>
      <c r="EH98" s="13">
        <f>VLOOKUP(A98,'Données projet'!$A$191:$I$211,9,0)</f>
        <v>3.8</v>
      </c>
      <c r="EI98" s="13">
        <f t="array" ref="EI98">INDEX(EH:EH,MIN(IF(ISNUMBER(EH98:EH294),ROW(EH98:EH294),"")))</f>
        <v>3.8</v>
      </c>
      <c r="EJ98" s="13">
        <f>IF('Données projet'!$A$192&gt;35,EJ97+EI98-ER97,IF(A98&lt;'Données projet'!$A$192,$EG$205^A98,IF(A98='Données projet'!$A$192,'Données projet'!$B$192,EJ97+EI98-ER97)))</f>
        <v>211.99999999999986</v>
      </c>
      <c r="EK98" s="18">
        <f>EJ98*VLOOKUP('Données projet'!$B$15,Paramètres!$A$1:$I$89,3,0)*VLOOKUP('Données projet'!$B$15,Paramètres!$A$1:$I$89,5,0)</f>
        <v>205.04639999999986</v>
      </c>
      <c r="EL98" s="14">
        <f t="shared" si="99"/>
        <v>50.851600160721709</v>
      </c>
      <c r="EM98" s="22">
        <f t="shared" si="73"/>
        <v>445.68901694659007</v>
      </c>
      <c r="EN98" s="62">
        <f t="shared" si="74"/>
        <v>739.02235027992333</v>
      </c>
      <c r="EO98" s="62">
        <f ca="1">AVERAGE(OFFSET($EN$3,0,0,'Données projet'!$E$15+1,1))-AVERAGE(OFFSET($H$3,0,0,'Données projet'!$E$15+1,1))</f>
        <v>146.90952320473599</v>
      </c>
      <c r="EP98" s="62">
        <f t="shared" si="100"/>
        <v>56.347130462109817</v>
      </c>
      <c r="EQ98" s="16">
        <f>IF(ISNA(VLOOKUP(A98,'Données projet'!$A$191:$I$211,3,0)),0,VLOOKUP(A98,'Données projet'!$A$191:$I$211,3,0))</f>
        <v>15</v>
      </c>
      <c r="ER98" s="16">
        <f>IF(ISNA(VLOOKUP(A98,'Données projet'!$A$191:$I$211,4,0)),0,VLOOKUP(A98,'Données projet'!$A$191:$I$211,4,0))</f>
        <v>14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212</v>
      </c>
      <c r="FC98" s="13">
        <f>VLOOKUP(A98,'Données projet'!$A$217:$I$237,9,0)</f>
        <v>3.8</v>
      </c>
      <c r="FD98" s="13">
        <f t="array" ref="FD98">INDEX(FC:FC,MIN(IF(ISNUMBER(FC98:FC294),ROW(FC98:FC294),"")))</f>
        <v>3.8</v>
      </c>
      <c r="FE98" s="13">
        <f>IF('Données projet'!$A$218&gt;35,FE97+FD98-FM97,IF(A98&lt;'Données projet'!$A$218,$FB$205^A98,IF(A98='Données projet'!$A$218,'Données projet'!$B$218,FE97+FD98-FM97)))</f>
        <v>211.99999999999986</v>
      </c>
      <c r="FF98" s="18">
        <f>FE98*VLOOKUP('Données projet'!$B$16,Paramètres!$A$1:$I$89,3,0)*VLOOKUP('Données projet'!$B$16,Paramètres!$A$1:$I$89,5,0)</f>
        <v>228.19679999999983</v>
      </c>
      <c r="FG98" s="14">
        <f t="shared" si="101"/>
        <v>55.892609107161952</v>
      </c>
      <c r="FH98" s="22">
        <f t="shared" si="76"/>
        <v>494.7890541949734</v>
      </c>
      <c r="FI98" s="62">
        <f t="shared" si="77"/>
        <v>788.12238752830672</v>
      </c>
      <c r="FJ98" s="62">
        <f ca="1">AVERAGE(OFFSET($FI$3,0,0,'Données projet'!$E$16+1,1))-AVERAGE(OFFSET($H$3,0,0,'Données projet'!$E$16+1,1))</f>
        <v>176.21892815766847</v>
      </c>
      <c r="FK98" s="62">
        <f t="shared" si="102"/>
        <v>69.239647548491234</v>
      </c>
      <c r="FL98" s="16">
        <f>IF(ISNA(VLOOKUP(A98,'Données projet'!$A$217:$I$237,3,0)),0,VLOOKUP(A98,'Données projet'!$A$217:$I$237,3,0))</f>
        <v>15</v>
      </c>
      <c r="FM98" s="16">
        <f>IF(ISNA(VLOOKUP(A98,'Données projet'!$A$217:$I$237,4,0)),0,VLOOKUP(A98,'Données projet'!$A$217:$I$237,4,0))</f>
        <v>14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-1.1368683772161603E-13</v>
      </c>
      <c r="GA98" s="18">
        <f>FZ98*VLOOKUP('Données projet'!$B$17,Paramètres!$A$1:$I$89,3,0)*VLOOKUP('Données projet'!$B$17,Paramètres!$A$1:$I$89,5,0)</f>
        <v>-9.0449248091317723E-14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70.834027458412379</v>
      </c>
      <c r="GF98" s="62">
        <f t="shared" si="104"/>
        <v>74.346987922112362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2.0476731891080344E-9</v>
      </c>
      <c r="GO98" s="23">
        <f t="shared" si="81"/>
        <v>2.0476731891080344E-9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-1.1368683772161603E-13</v>
      </c>
      <c r="GV98" s="18">
        <f>GU98*VLOOKUP('Données projet'!$B$18,Paramètres!$A$1:$I$89,3,0)*VLOOKUP('Données projet'!$B$18,Paramètres!$A$1:$I$89,5,0)</f>
        <v>-8.8675733422860506E-14</v>
      </c>
      <c r="GW98" s="14" t="e">
        <f t="shared" si="105"/>
        <v>#NUM!</v>
      </c>
      <c r="GX98" s="22" t="e">
        <f t="shared" si="82"/>
        <v>#NUM!</v>
      </c>
      <c r="GY98" s="62" t="e">
        <f t="shared" si="83"/>
        <v>#NUM!</v>
      </c>
      <c r="GZ98" s="62">
        <f ca="1">AVERAGE(OFFSET($GY$3,0,0,'Données projet'!$E$18+1,1))-AVERAGE(OFFSET($H$3,0,0,'Données projet'!$E$18+1,1))</f>
        <v>99.222094917553648</v>
      </c>
      <c r="HA98" s="62">
        <f t="shared" si="106"/>
        <v>98.371477396766352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4.2604362757844189E-10</v>
      </c>
      <c r="HJ98" s="24">
        <f t="shared" si="84"/>
        <v>4.2604362757844189E-10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</v>
      </c>
      <c r="L99" s="13">
        <f>VLOOKUP(A99,'Données projet'!$A$35:$I$55,9,0)</f>
        <v>11</v>
      </c>
      <c r="M99" s="13">
        <f t="array" ref="M99">INDEX(L:L,MIN(IF(ISNUMBER(L99:L295),ROW(L99:L295),"")))</f>
        <v>11</v>
      </c>
      <c r="N99" s="14">
        <f>IF('Données projet'!$A$36&gt;35,N98+M99-V98,IF(A99&lt;'Données projet'!$A$36,$K$205^A99,IF(A99='Données projet'!$A$36,'Données projet'!$B$36,N98+M99-V98)))</f>
        <v>280.00000000000045</v>
      </c>
      <c r="O99" s="14">
        <f>N99*VLOOKUP('Données projet'!$B$9,Paramètres!$A$1:$I$89,3,0)*VLOOKUP('Données projet'!$B$9,Paramètres!$A$1:$I$89,5,0)</f>
        <v>131.04000000000019</v>
      </c>
      <c r="P99" s="14">
        <f t="shared" si="87"/>
        <v>34.236561238949953</v>
      </c>
      <c r="Q99" s="22">
        <f t="shared" ref="Q99:Q130" si="107">(O99+P99)*0.475*44/12</f>
        <v>287.85667749117147</v>
      </c>
      <c r="R99" s="62">
        <f t="shared" si="55"/>
        <v>581.19001082450472</v>
      </c>
      <c r="S99" s="62">
        <f ca="1">AVERAGE(OFFSET($R$3,0,0,'Données projet'!$E$9+1,1))-AVERAGE(OFFSET($H$3,0,0,'Données projet'!$E$9+1,1))</f>
        <v>181.48161394994878</v>
      </c>
      <c r="T99" s="62">
        <f t="shared" si="88"/>
        <v>141.1874974464024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314.13719999999995</v>
      </c>
      <c r="AK99" s="14">
        <f t="shared" si="89"/>
        <v>74.132174405952824</v>
      </c>
      <c r="AL99" s="22">
        <f t="shared" si="58"/>
        <v>676.23582709036771</v>
      </c>
      <c r="AM99" s="62">
        <f t="shared" si="59"/>
        <v>969.56916042370108</v>
      </c>
      <c r="AN99" s="62">
        <f ca="1">AVERAGE(OFFSET($AM$3,0,0,'Données projet'!$E$10+1,1))-AVERAGE(OFFSET($H$3,0,0,'Données projet'!$E$10+1,1))</f>
        <v>340.81036749486179</v>
      </c>
      <c r="AO99" s="62">
        <f t="shared" si="90"/>
        <v>208.88199836488013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257.96727373333601</v>
      </c>
      <c r="BJ99" s="62">
        <f t="shared" si="92"/>
        <v>194.52809733694494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0.96974696458112408</v>
      </c>
      <c r="BR99" s="23">
        <f>EXP(-LN(2)/2)*BR98+(1-EXP(-LN(2)/2))/(LN(2)/2)*BL99*BO99*VLOOKUP('Données projet'!$B$11,Paramètres!$A$1:$I$89,3,0)*0.475*44/12</f>
        <v>1.6556699490576187E-9</v>
      </c>
      <c r="BS99" s="24">
        <f t="shared" si="63"/>
        <v>0.96974696623679402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280.30703999999997</v>
      </c>
      <c r="CA99" s="14">
        <f t="shared" si="93"/>
        <v>67.03189112007388</v>
      </c>
      <c r="CB99" s="22">
        <f t="shared" si="64"/>
        <v>604.94863836746197</v>
      </c>
      <c r="CC99" s="62">
        <f t="shared" si="65"/>
        <v>898.28197170079534</v>
      </c>
      <c r="CD99" s="62">
        <f ca="1">AVERAGE(OFFSET($CC$3,0,0,'Données projet'!$E$12+1,1))-AVERAGE(OFFSET($H$3,0,0,'Données projet'!$E$12+1,1))</f>
        <v>292.83612296867898</v>
      </c>
      <c r="CE99" s="62">
        <f t="shared" si="94"/>
        <v>180.48047802041276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3.2933164182347537E-9</v>
      </c>
      <c r="CN99" s="24">
        <f t="shared" si="66"/>
        <v>3.2933164182347537E-9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3.6</v>
      </c>
      <c r="CT99" s="13">
        <f>IF('Données projet'!$A$140&gt;35,CT98+CS99-DB98,IF(A99&lt;'Données projet'!$A$140,$CQ$205^A99,IF(A99='Données projet'!$A$140,'Données projet'!$B$140,CT98+CS99-DB98)))</f>
        <v>201.59999999999985</v>
      </c>
      <c r="CU99" s="18">
        <f>CT99*VLOOKUP('Données projet'!$B$13,Paramètres!$A$1:$I$89,3,0)*VLOOKUP('Données projet'!$B$13,Paramètres!$A$1:$I$89,5,0)</f>
        <v>229.58207999999985</v>
      </c>
      <c r="CV99" s="14">
        <f t="shared" si="95"/>
        <v>56.192307893526412</v>
      </c>
      <c r="CW99" s="22">
        <f t="shared" si="67"/>
        <v>497.72372558122487</v>
      </c>
      <c r="CX99" s="62">
        <f t="shared" si="68"/>
        <v>791.05705891455818</v>
      </c>
      <c r="CY99" s="62">
        <f ca="1">AVERAGE(OFFSET($CX$3,0,0,'Données projet'!$E$13+1,1))-AVERAGE(OFFSET($H$3,0,0,'Données projet'!$E$13+1,1))</f>
        <v>192.93829651668403</v>
      </c>
      <c r="CZ99" s="62">
        <f t="shared" si="96"/>
        <v>76.592736352376903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3.6</v>
      </c>
      <c r="DO99" s="13">
        <f>IF('Données projet'!$A$166&gt;35,DO98+DN99-DW98,IF(A99&lt;'Données projet'!$A$166,$DL$205^A99,IF(A99='Données projet'!$A$166,'Données projet'!$B$166,DO98+DN99-DW98)))</f>
        <v>201.59999999999985</v>
      </c>
      <c r="DP99" s="18">
        <f>DO99*VLOOKUP('Données projet'!$B$14,Paramètres!$A$1:$I$89,3,0)*VLOOKUP('Données projet'!$B$14,Paramètres!$A$1:$I$89,5,0)</f>
        <v>135.23327999999989</v>
      </c>
      <c r="DQ99" s="14">
        <f t="shared" si="97"/>
        <v>35.202825080004409</v>
      </c>
      <c r="DR99" s="22">
        <f t="shared" si="70"/>
        <v>296.84288301434083</v>
      </c>
      <c r="DS99" s="62">
        <f t="shared" si="71"/>
        <v>590.1762163476742</v>
      </c>
      <c r="DT99" s="62">
        <f ca="1">AVERAGE(OFFSET($DS$3,0,0,'Données projet'!$E$14+1,1))-AVERAGE(OFFSET($H$3,0,0,'Données projet'!$E$14+1,1))</f>
        <v>66.964554307546564</v>
      </c>
      <c r="DU99" s="62">
        <f t="shared" si="98"/>
        <v>21.162700178818568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3.6</v>
      </c>
      <c r="EJ99" s="13">
        <f>IF('Données projet'!$A$192&gt;35,EJ98+EI99-ER98,IF(A99&lt;'Données projet'!$A$192,$EG$205^A99,IF(A99='Données projet'!$A$192,'Données projet'!$B$192,EJ98+EI99-ER98)))</f>
        <v>201.59999999999985</v>
      </c>
      <c r="EK99" s="18">
        <f>EJ99*VLOOKUP('Données projet'!$B$15,Paramètres!$A$1:$I$89,3,0)*VLOOKUP('Données projet'!$B$15,Paramètres!$A$1:$I$89,5,0)</f>
        <v>194.98751999999985</v>
      </c>
      <c r="EL99" s="14">
        <f t="shared" si="99"/>
        <v>48.640954330020342</v>
      </c>
      <c r="EM99" s="22">
        <f t="shared" si="73"/>
        <v>424.31959279145184</v>
      </c>
      <c r="EN99" s="62">
        <f t="shared" si="74"/>
        <v>717.65292612478515</v>
      </c>
      <c r="EO99" s="62">
        <f ca="1">AVERAGE(OFFSET($EN$3,0,0,'Données projet'!$E$15+1,1))-AVERAGE(OFFSET($H$3,0,0,'Données projet'!$E$15+1,1))</f>
        <v>146.90952320473599</v>
      </c>
      <c r="EP99" s="62">
        <f t="shared" si="100"/>
        <v>56.347130462109817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3.6</v>
      </c>
      <c r="FE99" s="13">
        <f>IF('Données projet'!$A$218&gt;35,FE98+FD99-FM98,IF(A99&lt;'Données projet'!$A$218,$FB$205^A99,IF(A99='Données projet'!$A$218,'Données projet'!$B$218,FE98+FD99-FM98)))</f>
        <v>201.59999999999985</v>
      </c>
      <c r="FF99" s="18">
        <f>FE99*VLOOKUP('Données projet'!$B$16,Paramètres!$A$1:$I$89,3,0)*VLOOKUP('Données projet'!$B$16,Paramètres!$A$1:$I$89,5,0)</f>
        <v>217.00223999999986</v>
      </c>
      <c r="FG99" s="14">
        <f t="shared" si="101"/>
        <v>53.462818050454771</v>
      </c>
      <c r="FH99" s="22">
        <f t="shared" si="76"/>
        <v>471.0599761045417</v>
      </c>
      <c r="FI99" s="62">
        <f t="shared" si="77"/>
        <v>764.39330943787502</v>
      </c>
      <c r="FJ99" s="62">
        <f ca="1">AVERAGE(OFFSET($FI$3,0,0,'Données projet'!$E$16+1,1))-AVERAGE(OFFSET($H$3,0,0,'Données projet'!$E$16+1,1))</f>
        <v>176.21892815766847</v>
      </c>
      <c r="FK99" s="62">
        <f t="shared" si="102"/>
        <v>69.239647548491234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-1.1368683772161603E-13</v>
      </c>
      <c r="GA99" s="18">
        <f>FZ99*VLOOKUP('Données projet'!$B$17,Paramètres!$A$1:$I$89,3,0)*VLOOKUP('Données projet'!$B$17,Paramètres!$A$1:$I$89,5,0)</f>
        <v>-9.0449248091317723E-14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70.834027458412379</v>
      </c>
      <c r="GF99" s="62">
        <f t="shared" si="104"/>
        <v>74.346987922112362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1.4479235976721748E-9</v>
      </c>
      <c r="GO99" s="23">
        <f t="shared" si="81"/>
        <v>1.4479235976721748E-9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-1.1368683772161603E-13</v>
      </c>
      <c r="GV99" s="18">
        <f>GU99*VLOOKUP('Données projet'!$B$18,Paramètres!$A$1:$I$89,3,0)*VLOOKUP('Données projet'!$B$18,Paramètres!$A$1:$I$89,5,0)</f>
        <v>-8.8675733422860506E-14</v>
      </c>
      <c r="GW99" s="14" t="e">
        <f t="shared" si="105"/>
        <v>#NUM!</v>
      </c>
      <c r="GX99" s="22" t="e">
        <f t="shared" si="82"/>
        <v>#NUM!</v>
      </c>
      <c r="GY99" s="62" t="e">
        <f t="shared" si="83"/>
        <v>#NUM!</v>
      </c>
      <c r="GZ99" s="62">
        <f ca="1">AVERAGE(OFFSET($GY$3,0,0,'Données projet'!$E$18+1,1))-AVERAGE(OFFSET($H$3,0,0,'Données projet'!$E$18+1,1))</f>
        <v>99.222094917553648</v>
      </c>
      <c r="HA99" s="62">
        <f t="shared" si="106"/>
        <v>98.371477396766352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3.0125833814203225E-10</v>
      </c>
      <c r="HJ99" s="24">
        <f t="shared" si="84"/>
        <v>3.0125833814203225E-10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8.5555555555555554</v>
      </c>
      <c r="N100" s="14">
        <f>IF('Données projet'!$A$36&gt;35,N99+M100-V99,IF(A100&lt;'Données projet'!$A$36,$K$205^A100,IF(A100='Données projet'!$A$36,'Données projet'!$B$36,N99+M100-V99)))</f>
        <v>288.555555555556</v>
      </c>
      <c r="O100" s="14">
        <f>N100*VLOOKUP('Données projet'!$B$9,Paramètres!$A$1:$I$89,3,0)*VLOOKUP('Données projet'!$B$9,Paramètres!$A$1:$I$89,5,0)</f>
        <v>135.04400000000021</v>
      </c>
      <c r="P100" s="14">
        <f t="shared" si="87"/>
        <v>35.159284945629004</v>
      </c>
      <c r="Q100" s="22">
        <f t="shared" si="107"/>
        <v>296.43738794697089</v>
      </c>
      <c r="R100" s="62">
        <f t="shared" si="55"/>
        <v>589.7707212803042</v>
      </c>
      <c r="S100" s="62">
        <f ca="1">AVERAGE(OFFSET($R$3,0,0,'Données projet'!$E$9+1,1))-AVERAGE(OFFSET($H$3,0,0,'Données projet'!$E$9+1,1))</f>
        <v>181.48161394994878</v>
      </c>
      <c r="T100" s="62">
        <f t="shared" si="88"/>
        <v>141.1874974464024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320.01839999999999</v>
      </c>
      <c r="AK100" s="14">
        <f t="shared" si="89"/>
        <v>75.357182127856944</v>
      </c>
      <c r="AL100" s="22">
        <f t="shared" si="58"/>
        <v>688.61247220601751</v>
      </c>
      <c r="AM100" s="62">
        <f t="shared" si="59"/>
        <v>981.94580553935089</v>
      </c>
      <c r="AN100" s="62">
        <f ca="1">AVERAGE(OFFSET($AM$3,0,0,'Données projet'!$E$10+1,1))-AVERAGE(OFFSET($H$3,0,0,'Données projet'!$E$10+1,1))</f>
        <v>340.81036749486179</v>
      </c>
      <c r="AO100" s="62">
        <f t="shared" si="90"/>
        <v>208.88199836488013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257.96727373333601</v>
      </c>
      <c r="BJ100" s="62">
        <f t="shared" si="92"/>
        <v>194.52809733694494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0.94322918283787671</v>
      </c>
      <c r="BR100" s="23">
        <f>EXP(-LN(2)/2)*BR99+(1-EXP(-LN(2)/2))/(LN(2)/2)*BL100*BO100*VLOOKUP('Données projet'!$B$11,Paramètres!$A$1:$I$89,3,0)*0.475*44/12</f>
        <v>1.1707354483854278E-9</v>
      </c>
      <c r="BS100" s="24">
        <f t="shared" si="63"/>
        <v>0.94322918400861211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285.55487999999997</v>
      </c>
      <c r="CA100" s="14">
        <f t="shared" si="93"/>
        <v>68.139569194998018</v>
      </c>
      <c r="CB100" s="22">
        <f t="shared" si="64"/>
        <v>616.01783234795482</v>
      </c>
      <c r="CC100" s="62">
        <f t="shared" si="65"/>
        <v>909.35116568128819</v>
      </c>
      <c r="CD100" s="62">
        <f ca="1">AVERAGE(OFFSET($CC$3,0,0,'Données projet'!$E$12+1,1))-AVERAGE(OFFSET($H$3,0,0,'Données projet'!$E$12+1,1))</f>
        <v>292.83612296867898</v>
      </c>
      <c r="CE100" s="62">
        <f t="shared" si="94"/>
        <v>180.48047802041276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2.3287263719267864E-9</v>
      </c>
      <c r="CN100" s="24">
        <f t="shared" si="66"/>
        <v>2.3287263719267864E-9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3.6</v>
      </c>
      <c r="CT100" s="13">
        <f>IF('Données projet'!$A$140&gt;35,CT99+CS100-DB99,IF(A100&lt;'Données projet'!$A$140,$CQ$205^A100,IF(A100='Données projet'!$A$140,'Données projet'!$B$140,CT99+CS100-DB99)))</f>
        <v>205.19999999999985</v>
      </c>
      <c r="CU100" s="18">
        <f>CT100*VLOOKUP('Données projet'!$B$13,Paramètres!$A$1:$I$89,3,0)*VLOOKUP('Données projet'!$B$13,Paramètres!$A$1:$I$89,5,0)</f>
        <v>233.68175999999983</v>
      </c>
      <c r="CV100" s="14">
        <f t="shared" si="95"/>
        <v>57.078026837098335</v>
      </c>
      <c r="CW100" s="22">
        <f t="shared" si="67"/>
        <v>506.40662874127923</v>
      </c>
      <c r="CX100" s="62">
        <f t="shared" si="68"/>
        <v>799.73996207461255</v>
      </c>
      <c r="CY100" s="62">
        <f ca="1">AVERAGE(OFFSET($CX$3,0,0,'Données projet'!$E$13+1,1))-AVERAGE(OFFSET($H$3,0,0,'Données projet'!$E$13+1,1))</f>
        <v>192.93829651668403</v>
      </c>
      <c r="CZ100" s="62">
        <f t="shared" si="96"/>
        <v>76.592736352376903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3.6</v>
      </c>
      <c r="DO100" s="13">
        <f>IF('Données projet'!$A$166&gt;35,DO99+DN100-DW99,IF(A100&lt;'Données projet'!$A$166,$DL$205^A100,IF(A100='Données projet'!$A$166,'Données projet'!$B$166,DO99+DN100-DW99)))</f>
        <v>205.19999999999985</v>
      </c>
      <c r="DP100" s="18">
        <f>DO100*VLOOKUP('Données projet'!$B$14,Paramètres!$A$1:$I$89,3,0)*VLOOKUP('Données projet'!$B$14,Paramètres!$A$1:$I$89,5,0)</f>
        <v>137.6481599999999</v>
      </c>
      <c r="DQ100" s="14">
        <f t="shared" si="97"/>
        <v>35.757701898726438</v>
      </c>
      <c r="DR100" s="22">
        <f t="shared" si="70"/>
        <v>302.01520947361507</v>
      </c>
      <c r="DS100" s="62">
        <f t="shared" si="71"/>
        <v>595.34854280694844</v>
      </c>
      <c r="DT100" s="62">
        <f ca="1">AVERAGE(OFFSET($DS$3,0,0,'Données projet'!$E$14+1,1))-AVERAGE(OFFSET($H$3,0,0,'Données projet'!$E$14+1,1))</f>
        <v>66.964554307546564</v>
      </c>
      <c r="DU100" s="62">
        <f t="shared" si="98"/>
        <v>21.162700178818568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3.6</v>
      </c>
      <c r="EJ100" s="13">
        <f>IF('Données projet'!$A$192&gt;35,EJ99+EI100-ER99,IF(A100&lt;'Données projet'!$A$192,$EG$205^A100,IF(A100='Données projet'!$A$192,'Données projet'!$B$192,EJ99+EI100-ER99)))</f>
        <v>205.19999999999985</v>
      </c>
      <c r="EK100" s="18">
        <f>EJ100*VLOOKUP('Données projet'!$B$15,Paramètres!$A$1:$I$89,3,0)*VLOOKUP('Données projet'!$B$15,Paramètres!$A$1:$I$89,5,0)</f>
        <v>198.46943999999985</v>
      </c>
      <c r="EL100" s="14">
        <f t="shared" si="99"/>
        <v>49.407646717262132</v>
      </c>
      <c r="EM100" s="22">
        <f t="shared" si="73"/>
        <v>431.71925936589793</v>
      </c>
      <c r="EN100" s="62">
        <f t="shared" si="74"/>
        <v>725.05259269923124</v>
      </c>
      <c r="EO100" s="62">
        <f ca="1">AVERAGE(OFFSET($EN$3,0,0,'Données projet'!$E$15+1,1))-AVERAGE(OFFSET($H$3,0,0,'Données projet'!$E$15+1,1))</f>
        <v>146.90952320473599</v>
      </c>
      <c r="EP100" s="62">
        <f t="shared" si="100"/>
        <v>56.347130462109817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3.6</v>
      </c>
      <c r="FE100" s="13">
        <f>IF('Données projet'!$A$218&gt;35,FE99+FD100-FM99,IF(A100&lt;'Données projet'!$A$218,$FB$205^A100,IF(A100='Données projet'!$A$218,'Données projet'!$B$218,FE99+FD100-FM99)))</f>
        <v>205.19999999999985</v>
      </c>
      <c r="FF100" s="18">
        <f>FE100*VLOOKUP('Données projet'!$B$16,Paramètres!$A$1:$I$89,3,0)*VLOOKUP('Données projet'!$B$16,Paramètres!$A$1:$I$89,5,0)</f>
        <v>220.87727999999981</v>
      </c>
      <c r="FG100" s="14">
        <f t="shared" si="101"/>
        <v>54.305514008302801</v>
      </c>
      <c r="FH100" s="22">
        <f t="shared" si="76"/>
        <v>479.27669956446039</v>
      </c>
      <c r="FI100" s="62">
        <f t="shared" si="77"/>
        <v>772.61003289779364</v>
      </c>
      <c r="FJ100" s="62">
        <f ca="1">AVERAGE(OFFSET($FI$3,0,0,'Données projet'!$E$16+1,1))-AVERAGE(OFFSET($H$3,0,0,'Données projet'!$E$16+1,1))</f>
        <v>176.21892815766847</v>
      </c>
      <c r="FK100" s="62">
        <f t="shared" si="102"/>
        <v>69.239647548491234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-1.1368683772161603E-13</v>
      </c>
      <c r="GA100" s="18">
        <f>FZ100*VLOOKUP('Données projet'!$B$17,Paramètres!$A$1:$I$89,3,0)*VLOOKUP('Données projet'!$B$17,Paramètres!$A$1:$I$89,5,0)</f>
        <v>-9.0449248091317723E-14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70.834027458412379</v>
      </c>
      <c r="GF100" s="62">
        <f t="shared" si="104"/>
        <v>74.346987922112362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1.0238365945540172E-9</v>
      </c>
      <c r="GO100" s="23">
        <f t="shared" si="81"/>
        <v>1.0238365945540172E-9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-1.1368683772161603E-13</v>
      </c>
      <c r="GV100" s="18">
        <f>GU100*VLOOKUP('Données projet'!$B$18,Paramètres!$A$1:$I$89,3,0)*VLOOKUP('Données projet'!$B$18,Paramètres!$A$1:$I$89,5,0)</f>
        <v>-8.8675733422860506E-14</v>
      </c>
      <c r="GW100" s="14" t="e">
        <f t="shared" si="105"/>
        <v>#NUM!</v>
      </c>
      <c r="GX100" s="22" t="e">
        <f t="shared" si="82"/>
        <v>#NUM!</v>
      </c>
      <c r="GY100" s="62" t="e">
        <f t="shared" si="83"/>
        <v>#NUM!</v>
      </c>
      <c r="GZ100" s="62">
        <f ca="1">AVERAGE(OFFSET($GY$3,0,0,'Données projet'!$E$18+1,1))-AVERAGE(OFFSET($H$3,0,0,'Données projet'!$E$18+1,1))</f>
        <v>99.222094917553648</v>
      </c>
      <c r="HA100" s="62">
        <f t="shared" si="106"/>
        <v>98.371477396766352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2.1302181378922094E-10</v>
      </c>
      <c r="HJ100" s="24">
        <f t="shared" si="84"/>
        <v>2.1302181378922094E-10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8.5555555555555554</v>
      </c>
      <c r="N101" s="14">
        <f>IF('Données projet'!$A$36&gt;35,N100+M101-V100,IF(A101&lt;'Données projet'!$A$36,$K$205^A101,IF(A101='Données projet'!$A$36,'Données projet'!$B$36,N100+M101-V100)))</f>
        <v>297.11111111111154</v>
      </c>
      <c r="O101" s="14">
        <f>N101*VLOOKUP('Données projet'!$B$9,Paramètres!$A$1:$I$89,3,0)*VLOOKUP('Données projet'!$B$9,Paramètres!$A$1:$I$89,5,0)</f>
        <v>139.0480000000002</v>
      </c>
      <c r="P101" s="14">
        <f t="shared" si="87"/>
        <v>36.078829132999324</v>
      </c>
      <c r="Q101" s="22">
        <f t="shared" si="107"/>
        <v>305.01256073997416</v>
      </c>
      <c r="R101" s="62">
        <f t="shared" si="55"/>
        <v>598.34589407330748</v>
      </c>
      <c r="S101" s="62">
        <f ca="1">AVERAGE(OFFSET($R$3,0,0,'Données projet'!$E$9+1,1))-AVERAGE(OFFSET($H$3,0,0,'Données projet'!$E$9+1,1))</f>
        <v>181.48161394994878</v>
      </c>
      <c r="T101" s="62">
        <f t="shared" si="88"/>
        <v>141.1874974464024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325.89960000000002</v>
      </c>
      <c r="AK101" s="14">
        <f t="shared" si="89"/>
        <v>76.579572003009503</v>
      </c>
      <c r="AL101" s="22">
        <f t="shared" si="58"/>
        <v>700.98455790524156</v>
      </c>
      <c r="AM101" s="62">
        <f t="shared" si="59"/>
        <v>994.31789123857493</v>
      </c>
      <c r="AN101" s="62">
        <f ca="1">AVERAGE(OFFSET($AM$3,0,0,'Données projet'!$E$10+1,1))-AVERAGE(OFFSET($H$3,0,0,'Données projet'!$E$10+1,1))</f>
        <v>340.81036749486179</v>
      </c>
      <c r="AO101" s="62">
        <f t="shared" si="90"/>
        <v>208.88199836488013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257.96727373333601</v>
      </c>
      <c r="BJ101" s="62">
        <f t="shared" si="92"/>
        <v>194.52809733694494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0.91743653123090807</v>
      </c>
      <c r="BR101" s="23">
        <f>EXP(-LN(2)/2)*BR100+(1-EXP(-LN(2)/2))/(LN(2)/2)*BL101*BO101*VLOOKUP('Données projet'!$B$11,Paramètres!$A$1:$I$89,3,0)*0.475*44/12</f>
        <v>8.2783497452880934E-10</v>
      </c>
      <c r="BS101" s="24">
        <f t="shared" si="63"/>
        <v>0.91743653205874309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290.80271999999997</v>
      </c>
      <c r="CA101" s="14">
        <f t="shared" si="93"/>
        <v>69.244880157128961</v>
      </c>
      <c r="CB101" s="22">
        <f t="shared" si="64"/>
        <v>627.08290360699959</v>
      </c>
      <c r="CC101" s="62">
        <f t="shared" si="65"/>
        <v>920.41623694033296</v>
      </c>
      <c r="CD101" s="62">
        <f ca="1">AVERAGE(OFFSET($CC$3,0,0,'Données projet'!$E$12+1,1))-AVERAGE(OFFSET($H$3,0,0,'Données projet'!$E$12+1,1))</f>
        <v>292.83612296867898</v>
      </c>
      <c r="CE101" s="62">
        <f t="shared" si="94"/>
        <v>180.48047802041276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1.6466582091173768E-9</v>
      </c>
      <c r="CN101" s="24">
        <f t="shared" si="66"/>
        <v>1.6466582091173768E-9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3.6</v>
      </c>
      <c r="CT101" s="13">
        <f>IF('Données projet'!$A$140&gt;35,CT100+CS101-DB100,IF(A101&lt;'Données projet'!$A$140,$CQ$205^A101,IF(A101='Données projet'!$A$140,'Données projet'!$B$140,CT100+CS101-DB100)))</f>
        <v>208.79999999999984</v>
      </c>
      <c r="CU101" s="18">
        <f>CT101*VLOOKUP('Données projet'!$B$13,Paramètres!$A$1:$I$89,3,0)*VLOOKUP('Données projet'!$B$13,Paramètres!$A$1:$I$89,5,0)</f>
        <v>237.78143999999983</v>
      </c>
      <c r="CV101" s="14">
        <f t="shared" si="95"/>
        <v>57.9619387969109</v>
      </c>
      <c r="CW101" s="22">
        <f t="shared" si="67"/>
        <v>515.08638473795281</v>
      </c>
      <c r="CX101" s="62">
        <f t="shared" si="68"/>
        <v>808.41971807128607</v>
      </c>
      <c r="CY101" s="62">
        <f ca="1">AVERAGE(OFFSET($CX$3,0,0,'Données projet'!$E$13+1,1))-AVERAGE(OFFSET($H$3,0,0,'Données projet'!$E$13+1,1))</f>
        <v>192.93829651668403</v>
      </c>
      <c r="CZ101" s="62">
        <f t="shared" si="96"/>
        <v>76.592736352376903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3.6</v>
      </c>
      <c r="DO101" s="13">
        <f>IF('Données projet'!$A$166&gt;35,DO100+DN101-DW100,IF(A101&lt;'Données projet'!$A$166,$DL$205^A101,IF(A101='Données projet'!$A$166,'Données projet'!$B$166,DO100+DN101-DW100)))</f>
        <v>208.79999999999984</v>
      </c>
      <c r="DP101" s="18">
        <f>DO101*VLOOKUP('Données projet'!$B$14,Paramètres!$A$1:$I$89,3,0)*VLOOKUP('Données projet'!$B$14,Paramètres!$A$1:$I$89,5,0)</f>
        <v>140.06303999999992</v>
      </c>
      <c r="DQ101" s="14">
        <f t="shared" si="97"/>
        <v>36.311446695369504</v>
      </c>
      <c r="DR101" s="22">
        <f t="shared" si="70"/>
        <v>307.18556432776842</v>
      </c>
      <c r="DS101" s="62">
        <f t="shared" si="71"/>
        <v>600.51889766110173</v>
      </c>
      <c r="DT101" s="62">
        <f ca="1">AVERAGE(OFFSET($DS$3,0,0,'Données projet'!$E$14+1,1))-AVERAGE(OFFSET($H$3,0,0,'Données projet'!$E$14+1,1))</f>
        <v>66.964554307546564</v>
      </c>
      <c r="DU101" s="62">
        <f t="shared" si="98"/>
        <v>21.162700178818568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3.6</v>
      </c>
      <c r="EJ101" s="13">
        <f>IF('Données projet'!$A$192&gt;35,EJ100+EI101-ER100,IF(A101&lt;'Données projet'!$A$192,$EG$205^A101,IF(A101='Données projet'!$A$192,'Données projet'!$B$192,EJ100+EI101-ER100)))</f>
        <v>208.79999999999984</v>
      </c>
      <c r="EK101" s="18">
        <f>EJ101*VLOOKUP('Données projet'!$B$15,Paramètres!$A$1:$I$89,3,0)*VLOOKUP('Données projet'!$B$15,Paramètres!$A$1:$I$89,5,0)</f>
        <v>201.95135999999985</v>
      </c>
      <c r="EL101" s="14">
        <f t="shared" si="99"/>
        <v>50.172774950657889</v>
      </c>
      <c r="EM101" s="22">
        <f t="shared" si="73"/>
        <v>439.11620170572888</v>
      </c>
      <c r="EN101" s="62">
        <f t="shared" si="74"/>
        <v>732.4495350390622</v>
      </c>
      <c r="EO101" s="62">
        <f ca="1">AVERAGE(OFFSET($EN$3,0,0,'Données projet'!$E$15+1,1))-AVERAGE(OFFSET($H$3,0,0,'Données projet'!$E$15+1,1))</f>
        <v>146.90952320473599</v>
      </c>
      <c r="EP101" s="62">
        <f t="shared" si="100"/>
        <v>56.347130462109817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3.6</v>
      </c>
      <c r="FE101" s="13">
        <f>IF('Données projet'!$A$218&gt;35,FE100+FD101-FM100,IF(A101&lt;'Données projet'!$A$218,$FB$205^A101,IF(A101='Données projet'!$A$218,'Données projet'!$B$218,FE100+FD101-FM100)))</f>
        <v>208.79999999999984</v>
      </c>
      <c r="FF101" s="18">
        <f>FE101*VLOOKUP('Données projet'!$B$16,Paramètres!$A$1:$I$89,3,0)*VLOOKUP('Données projet'!$B$16,Paramètres!$A$1:$I$89,5,0)</f>
        <v>224.75231999999983</v>
      </c>
      <c r="FG101" s="14">
        <f t="shared" si="101"/>
        <v>55.146490754971083</v>
      </c>
      <c r="FH101" s="22">
        <f t="shared" si="76"/>
        <v>487.49042873157424</v>
      </c>
      <c r="FI101" s="62">
        <f t="shared" si="77"/>
        <v>780.82376206490756</v>
      </c>
      <c r="FJ101" s="62">
        <f ca="1">AVERAGE(OFFSET($FI$3,0,0,'Données projet'!$E$16+1,1))-AVERAGE(OFFSET($H$3,0,0,'Données projet'!$E$16+1,1))</f>
        <v>176.21892815766847</v>
      </c>
      <c r="FK101" s="62">
        <f t="shared" si="102"/>
        <v>69.239647548491234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-1.1368683772161603E-13</v>
      </c>
      <c r="GA101" s="18">
        <f>FZ101*VLOOKUP('Données projet'!$B$17,Paramètres!$A$1:$I$89,3,0)*VLOOKUP('Données projet'!$B$17,Paramètres!$A$1:$I$89,5,0)</f>
        <v>-9.0449248091317723E-14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70.834027458412379</v>
      </c>
      <c r="GF101" s="62">
        <f t="shared" si="104"/>
        <v>74.346987922112362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7.239617988360874E-10</v>
      </c>
      <c r="GO101" s="23">
        <f t="shared" si="81"/>
        <v>7.239617988360874E-10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-1.1368683772161603E-13</v>
      </c>
      <c r="GV101" s="18">
        <f>GU101*VLOOKUP('Données projet'!$B$18,Paramètres!$A$1:$I$89,3,0)*VLOOKUP('Données projet'!$B$18,Paramètres!$A$1:$I$89,5,0)</f>
        <v>-8.8675733422860506E-14</v>
      </c>
      <c r="GW101" s="14" t="e">
        <f t="shared" si="105"/>
        <v>#NUM!</v>
      </c>
      <c r="GX101" s="22" t="e">
        <f t="shared" si="82"/>
        <v>#NUM!</v>
      </c>
      <c r="GY101" s="62" t="e">
        <f t="shared" si="83"/>
        <v>#NUM!</v>
      </c>
      <c r="GZ101" s="62">
        <f ca="1">AVERAGE(OFFSET($GY$3,0,0,'Données projet'!$E$18+1,1))-AVERAGE(OFFSET($H$3,0,0,'Données projet'!$E$18+1,1))</f>
        <v>99.222094917553648</v>
      </c>
      <c r="HA101" s="62">
        <f t="shared" si="106"/>
        <v>98.371477396766352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1.5062916907101612E-10</v>
      </c>
      <c r="HJ101" s="24">
        <f t="shared" si="84"/>
        <v>1.5062916907101612E-10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8.5555555555555554</v>
      </c>
      <c r="N102" s="14">
        <f>IF('Données projet'!$A$36&gt;35,N101+M102-V101,IF(A102&lt;'Données projet'!$A$36,$K$205^A102,IF(A102='Données projet'!$A$36,'Données projet'!$B$36,N101+M102-V101)))</f>
        <v>305.66666666666708</v>
      </c>
      <c r="O102" s="14">
        <f>N102*VLOOKUP('Données projet'!$B$9,Paramètres!$A$1:$I$89,3,0)*VLOOKUP('Données projet'!$B$9,Paramètres!$A$1:$I$89,5,0)</f>
        <v>143.05200000000019</v>
      </c>
      <c r="P102" s="14">
        <f t="shared" si="87"/>
        <v>36.995295872593921</v>
      </c>
      <c r="Q102" s="22">
        <f t="shared" si="107"/>
        <v>313.58237364476804</v>
      </c>
      <c r="R102" s="62">
        <f t="shared" si="55"/>
        <v>606.9157069781013</v>
      </c>
      <c r="S102" s="62">
        <f ca="1">AVERAGE(OFFSET($R$3,0,0,'Données projet'!$E$9+1,1))-AVERAGE(OFFSET($H$3,0,0,'Données projet'!$E$9+1,1))</f>
        <v>181.48161394994878</v>
      </c>
      <c r="T102" s="62">
        <f t="shared" si="88"/>
        <v>141.1874974464024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331.7808</v>
      </c>
      <c r="AK102" s="14">
        <f t="shared" si="89"/>
        <v>77.799396722557162</v>
      </c>
      <c r="AL102" s="22">
        <f t="shared" si="58"/>
        <v>713.3521759584537</v>
      </c>
      <c r="AM102" s="62">
        <f t="shared" si="59"/>
        <v>1006.685509291787</v>
      </c>
      <c r="AN102" s="62">
        <f ca="1">AVERAGE(OFFSET($AM$3,0,0,'Données projet'!$E$10+1,1))-AVERAGE(OFFSET($H$3,0,0,'Données projet'!$E$10+1,1))</f>
        <v>340.81036749486179</v>
      </c>
      <c r="AO102" s="62">
        <f t="shared" si="90"/>
        <v>208.88199836488013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257.96727373333601</v>
      </c>
      <c r="BJ102" s="62">
        <f t="shared" si="92"/>
        <v>194.52809733694494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0.89234918103850858</v>
      </c>
      <c r="BR102" s="23">
        <f>EXP(-LN(2)/2)*BR101+(1-EXP(-LN(2)/2))/(LN(2)/2)*BL102*BO102*VLOOKUP('Données projet'!$B$11,Paramètres!$A$1:$I$89,3,0)*0.475*44/12</f>
        <v>5.8536772419271392E-10</v>
      </c>
      <c r="BS102" s="24">
        <f t="shared" si="63"/>
        <v>0.89234918162387633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296.05055999999996</v>
      </c>
      <c r="CA102" s="14">
        <f t="shared" si="93"/>
        <v>70.34787165092402</v>
      </c>
      <c r="CB102" s="22">
        <f t="shared" si="64"/>
        <v>638.14393512535923</v>
      </c>
      <c r="CC102" s="62">
        <f t="shared" si="65"/>
        <v>931.47726845869261</v>
      </c>
      <c r="CD102" s="62">
        <f ca="1">AVERAGE(OFFSET($CC$3,0,0,'Données projet'!$E$12+1,1))-AVERAGE(OFFSET($H$3,0,0,'Données projet'!$E$12+1,1))</f>
        <v>292.83612296867898</v>
      </c>
      <c r="CE102" s="62">
        <f t="shared" si="94"/>
        <v>180.48047802041276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1.1643631859633932E-9</v>
      </c>
      <c r="CN102" s="24">
        <f t="shared" si="66"/>
        <v>1.1643631859633932E-9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3.6</v>
      </c>
      <c r="CT102" s="13">
        <f>IF('Données projet'!$A$140&gt;35,CT101+CS102-DB101,IF(A102&lt;'Données projet'!$A$140,$CQ$205^A102,IF(A102='Données projet'!$A$140,'Données projet'!$B$140,CT101+CS102-DB101)))</f>
        <v>212.39999999999984</v>
      </c>
      <c r="CU102" s="18">
        <f>CT102*VLOOKUP('Données projet'!$B$13,Paramètres!$A$1:$I$89,3,0)*VLOOKUP('Données projet'!$B$13,Paramètres!$A$1:$I$89,5,0)</f>
        <v>241.88111999999981</v>
      </c>
      <c r="CV102" s="14">
        <f t="shared" si="95"/>
        <v>58.84407852287837</v>
      </c>
      <c r="CW102" s="22">
        <f t="shared" si="67"/>
        <v>523.76305409401277</v>
      </c>
      <c r="CX102" s="62">
        <f t="shared" si="68"/>
        <v>817.09638742734614</v>
      </c>
      <c r="CY102" s="62">
        <f ca="1">AVERAGE(OFFSET($CX$3,0,0,'Données projet'!$E$13+1,1))-AVERAGE(OFFSET($H$3,0,0,'Données projet'!$E$13+1,1))</f>
        <v>192.93829651668403</v>
      </c>
      <c r="CZ102" s="62">
        <f t="shared" si="96"/>
        <v>76.592736352376903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3.6</v>
      </c>
      <c r="DO102" s="13">
        <f>IF('Données projet'!$A$166&gt;35,DO101+DN102-DW101,IF(A102&lt;'Données projet'!$A$166,$DL$205^A102,IF(A102='Données projet'!$A$166,'Données projet'!$B$166,DO101+DN102-DW101)))</f>
        <v>212.39999999999984</v>
      </c>
      <c r="DP102" s="18">
        <f>DO102*VLOOKUP('Données projet'!$B$14,Paramètres!$A$1:$I$89,3,0)*VLOOKUP('Données projet'!$B$14,Paramètres!$A$1:$I$89,5,0)</f>
        <v>142.4779199999999</v>
      </c>
      <c r="DQ102" s="14">
        <f t="shared" si="97"/>
        <v>36.864081239730965</v>
      </c>
      <c r="DR102" s="22">
        <f t="shared" si="70"/>
        <v>312.35398549253119</v>
      </c>
      <c r="DS102" s="62">
        <f t="shared" si="71"/>
        <v>605.68731882586451</v>
      </c>
      <c r="DT102" s="62">
        <f ca="1">AVERAGE(OFFSET($DS$3,0,0,'Données projet'!$E$14+1,1))-AVERAGE(OFFSET($H$3,0,0,'Données projet'!$E$14+1,1))</f>
        <v>66.964554307546564</v>
      </c>
      <c r="DU102" s="62">
        <f t="shared" si="98"/>
        <v>21.162700178818568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3.6</v>
      </c>
      <c r="EJ102" s="13">
        <f>IF('Données projet'!$A$192&gt;35,EJ101+EI102-ER101,IF(A102&lt;'Données projet'!$A$192,$EG$205^A102,IF(A102='Données projet'!$A$192,'Données projet'!$B$192,EJ101+EI102-ER101)))</f>
        <v>212.39999999999984</v>
      </c>
      <c r="EK102" s="18">
        <f>EJ102*VLOOKUP('Données projet'!$B$15,Paramètres!$A$1:$I$89,3,0)*VLOOKUP('Données projet'!$B$15,Paramètres!$A$1:$I$89,5,0)</f>
        <v>205.43327999999985</v>
      </c>
      <c r="EL102" s="14">
        <f t="shared" si="99"/>
        <v>50.93636911028527</v>
      </c>
      <c r="EM102" s="22">
        <f t="shared" si="73"/>
        <v>446.51047220041323</v>
      </c>
      <c r="EN102" s="62">
        <f t="shared" si="74"/>
        <v>739.84380553374649</v>
      </c>
      <c r="EO102" s="62">
        <f ca="1">AVERAGE(OFFSET($EN$3,0,0,'Données projet'!$E$15+1,1))-AVERAGE(OFFSET($H$3,0,0,'Données projet'!$E$15+1,1))</f>
        <v>146.90952320473599</v>
      </c>
      <c r="EP102" s="62">
        <f t="shared" si="100"/>
        <v>56.347130462109817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3.6</v>
      </c>
      <c r="FE102" s="13">
        <f>IF('Données projet'!$A$218&gt;35,FE101+FD102-FM101,IF(A102&lt;'Données projet'!$A$218,$FB$205^A102,IF(A102='Données projet'!$A$218,'Données projet'!$B$218,FE101+FD102-FM101)))</f>
        <v>212.39999999999984</v>
      </c>
      <c r="FF102" s="18">
        <f>FE102*VLOOKUP('Données projet'!$B$16,Paramètres!$A$1:$I$89,3,0)*VLOOKUP('Données projet'!$B$16,Paramètres!$A$1:$I$89,5,0)</f>
        <v>228.62735999999981</v>
      </c>
      <c r="FG102" s="14">
        <f t="shared" si="101"/>
        <v>55.985781352428646</v>
      </c>
      <c r="FH102" s="22">
        <f t="shared" si="76"/>
        <v>495.70122118881278</v>
      </c>
      <c r="FI102" s="62">
        <f t="shared" si="77"/>
        <v>789.0345545221461</v>
      </c>
      <c r="FJ102" s="62">
        <f ca="1">AVERAGE(OFFSET($FI$3,0,0,'Données projet'!$E$16+1,1))-AVERAGE(OFFSET($H$3,0,0,'Données projet'!$E$16+1,1))</f>
        <v>176.21892815766847</v>
      </c>
      <c r="FK102" s="62">
        <f t="shared" si="102"/>
        <v>69.239647548491234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-1.1368683772161603E-13</v>
      </c>
      <c r="GA102" s="18">
        <f>FZ102*VLOOKUP('Données projet'!$B$17,Paramètres!$A$1:$I$89,3,0)*VLOOKUP('Données projet'!$B$17,Paramètres!$A$1:$I$89,5,0)</f>
        <v>-9.0449248091317723E-14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70.834027458412379</v>
      </c>
      <c r="GF102" s="62">
        <f t="shared" si="104"/>
        <v>74.346987922112362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5.1191829727700859E-10</v>
      </c>
      <c r="GO102" s="23">
        <f t="shared" si="81"/>
        <v>5.1191829727700859E-10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-1.1368683772161603E-13</v>
      </c>
      <c r="GV102" s="18">
        <f>GU102*VLOOKUP('Données projet'!$B$18,Paramètres!$A$1:$I$89,3,0)*VLOOKUP('Données projet'!$B$18,Paramètres!$A$1:$I$89,5,0)</f>
        <v>-8.8675733422860506E-14</v>
      </c>
      <c r="GW102" s="14" t="e">
        <f t="shared" si="105"/>
        <v>#NUM!</v>
      </c>
      <c r="GX102" s="22" t="e">
        <f t="shared" si="82"/>
        <v>#NUM!</v>
      </c>
      <c r="GY102" s="62" t="e">
        <f t="shared" si="83"/>
        <v>#NUM!</v>
      </c>
      <c r="GZ102" s="62">
        <f ca="1">AVERAGE(OFFSET($GY$3,0,0,'Données projet'!$E$18+1,1))-AVERAGE(OFFSET($H$3,0,0,'Données projet'!$E$18+1,1))</f>
        <v>99.222094917553648</v>
      </c>
      <c r="HA102" s="62">
        <f t="shared" si="106"/>
        <v>98.371477396766352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1.0651090689461047E-10</v>
      </c>
      <c r="HJ102" s="24">
        <f t="shared" si="84"/>
        <v>1.0651090689461047E-10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8.5555555555555554</v>
      </c>
      <c r="N103" s="14">
        <f>IF('Données projet'!$A$36&gt;35,N102+M103-V102,IF(A103&lt;'Données projet'!$A$36,$K$205^A103,IF(A103='Données projet'!$A$36,'Données projet'!$B$36,N102+M103-V102)))</f>
        <v>314.22222222222263</v>
      </c>
      <c r="O103" s="14">
        <f>N103*VLOOKUP('Données projet'!$B$9,Paramètres!$A$1:$I$89,3,0)*VLOOKUP('Données projet'!$B$9,Paramètres!$A$1:$I$89,5,0)</f>
        <v>147.05600000000018</v>
      </c>
      <c r="P103" s="14">
        <f t="shared" si="87"/>
        <v>37.908781196921652</v>
      </c>
      <c r="Q103" s="22">
        <f t="shared" si="107"/>
        <v>322.14699391797217</v>
      </c>
      <c r="R103" s="62">
        <f t="shared" si="55"/>
        <v>615.48032725130543</v>
      </c>
      <c r="S103" s="62">
        <f ca="1">AVERAGE(OFFSET($R$3,0,0,'Données projet'!$E$9+1,1))-AVERAGE(OFFSET($H$3,0,0,'Données projet'!$E$9+1,1))</f>
        <v>181.48161394994878</v>
      </c>
      <c r="T103" s="62">
        <f t="shared" si="88"/>
        <v>141.1874974464024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337.66200000000003</v>
      </c>
      <c r="AK103" s="14">
        <f t="shared" si="89"/>
        <v>79.016707002632685</v>
      </c>
      <c r="AL103" s="22">
        <f t="shared" si="58"/>
        <v>725.71541469625208</v>
      </c>
      <c r="AM103" s="62">
        <f t="shared" si="59"/>
        <v>1019.0487480295853</v>
      </c>
      <c r="AN103" s="62">
        <f ca="1">AVERAGE(OFFSET($AM$3,0,0,'Données projet'!$E$10+1,1))-AVERAGE(OFFSET($H$3,0,0,'Données projet'!$E$10+1,1))</f>
        <v>340.81036749486179</v>
      </c>
      <c r="AO103" s="62">
        <f t="shared" si="90"/>
        <v>208.88199836488013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257.96727373333601</v>
      </c>
      <c r="BJ103" s="62">
        <f t="shared" si="92"/>
        <v>194.52809733694494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0.8679478457564066</v>
      </c>
      <c r="BR103" s="23">
        <f>EXP(-LN(2)/2)*BR102+(1-EXP(-LN(2)/2))/(LN(2)/2)*BL103*BO103*VLOOKUP('Données projet'!$B$11,Paramètres!$A$1:$I$89,3,0)*0.475*44/12</f>
        <v>4.1391748726440467E-10</v>
      </c>
      <c r="BS103" s="24">
        <f t="shared" si="63"/>
        <v>0.86794784617032406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301.29840000000002</v>
      </c>
      <c r="CA103" s="14">
        <f t="shared" si="93"/>
        <v>71.448589534990518</v>
      </c>
      <c r="CB103" s="22">
        <f t="shared" si="64"/>
        <v>649.2010067734418</v>
      </c>
      <c r="CC103" s="62">
        <f t="shared" si="65"/>
        <v>942.53434010677506</v>
      </c>
      <c r="CD103" s="62">
        <f ca="1">AVERAGE(OFFSET($CC$3,0,0,'Données projet'!$E$12+1,1))-AVERAGE(OFFSET($H$3,0,0,'Données projet'!$E$12+1,1))</f>
        <v>292.83612296867898</v>
      </c>
      <c r="CE103" s="62">
        <f t="shared" si="94"/>
        <v>180.48047802041276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8.2332910455868842E-10</v>
      </c>
      <c r="CN103" s="24">
        <f t="shared" si="66"/>
        <v>8.2332910455868842E-10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216</v>
      </c>
      <c r="CR103" s="13">
        <f>VLOOKUP(A103,'Données projet'!$A$139:$I$159,9,0)</f>
        <v>3.6</v>
      </c>
      <c r="CS103" s="13">
        <f t="array" ref="CS103">INDEX(CR:CR,MIN(IF(ISNUMBER(CR103:CR299),ROW(CR103:CR299),"")))</f>
        <v>3.6</v>
      </c>
      <c r="CT103" s="13">
        <f>IF('Données projet'!$A$140&gt;35,CT102+CS103-DB102,IF(A103&lt;'Données projet'!$A$140,$CQ$205^A103,IF(A103='Données projet'!$A$140,'Données projet'!$B$140,CT102+CS103-DB102)))</f>
        <v>215.99999999999983</v>
      </c>
      <c r="CU103" s="18">
        <f>CT103*VLOOKUP('Données projet'!$B$13,Paramètres!$A$1:$I$89,3,0)*VLOOKUP('Données projet'!$B$13,Paramètres!$A$1:$I$89,5,0)</f>
        <v>245.98079999999979</v>
      </c>
      <c r="CV103" s="14">
        <f t="shared" si="95"/>
        <v>59.724479519444813</v>
      </c>
      <c r="CW103" s="22">
        <f t="shared" si="67"/>
        <v>532.4366951630326</v>
      </c>
      <c r="CX103" s="62">
        <f t="shared" si="68"/>
        <v>825.77002849636597</v>
      </c>
      <c r="CY103" s="62">
        <f ca="1">AVERAGE(OFFSET($CX$3,0,0,'Données projet'!$E$13+1,1))-AVERAGE(OFFSET($H$3,0,0,'Données projet'!$E$13+1,1))</f>
        <v>192.93829651668403</v>
      </c>
      <c r="CZ103" s="62">
        <f t="shared" si="96"/>
        <v>76.592736352376903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13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216</v>
      </c>
      <c r="DM103" s="13">
        <f>VLOOKUP(A103,'Données projet'!$A$165:$I$185,9,0)</f>
        <v>3.6</v>
      </c>
      <c r="DN103" s="13">
        <f t="array" ref="DN103">INDEX(DM:DM,MIN(IF(ISNUMBER(DM103:DM299),ROW(DM103:DM299),"")))</f>
        <v>3.6</v>
      </c>
      <c r="DO103" s="13">
        <f>IF('Données projet'!$A$166&gt;35,DO102+DN103-DW102,IF(A103&lt;'Données projet'!$A$166,$DL$205^A103,IF(A103='Données projet'!$A$166,'Données projet'!$B$166,DO102+DN103-DW102)))</f>
        <v>215.99999999999983</v>
      </c>
      <c r="DP103" s="18">
        <f>DO103*VLOOKUP('Données projet'!$B$14,Paramètres!$A$1:$I$89,3,0)*VLOOKUP('Données projet'!$B$14,Paramètres!$A$1:$I$89,5,0)</f>
        <v>144.89279999999988</v>
      </c>
      <c r="DQ103" s="14">
        <f t="shared" si="97"/>
        <v>37.415626521357645</v>
      </c>
      <c r="DR103" s="22">
        <f t="shared" si="70"/>
        <v>317.52050952469767</v>
      </c>
      <c r="DS103" s="62">
        <f t="shared" si="71"/>
        <v>610.85384285803093</v>
      </c>
      <c r="DT103" s="62">
        <f ca="1">AVERAGE(OFFSET($DS$3,0,0,'Données projet'!$E$14+1,1))-AVERAGE(OFFSET($H$3,0,0,'Données projet'!$E$14+1,1))</f>
        <v>66.964554307546564</v>
      </c>
      <c r="DU103" s="62">
        <f t="shared" si="98"/>
        <v>21.162700178818568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13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216</v>
      </c>
      <c r="EH103" s="13">
        <f>VLOOKUP(A103,'Données projet'!$A$191:$I$211,9,0)</f>
        <v>3.6</v>
      </c>
      <c r="EI103" s="13">
        <f t="array" ref="EI103">INDEX(EH:EH,MIN(IF(ISNUMBER(EH103:EH299),ROW(EH103:EH299),"")))</f>
        <v>3.6</v>
      </c>
      <c r="EJ103" s="13">
        <f>IF('Données projet'!$A$192&gt;35,EJ102+EI103-ER102,IF(A103&lt;'Données projet'!$A$192,$EG$205^A103,IF(A103='Données projet'!$A$192,'Données projet'!$B$192,EJ102+EI103-ER102)))</f>
        <v>215.99999999999983</v>
      </c>
      <c r="EK103" s="18">
        <f>EJ103*VLOOKUP('Données projet'!$B$15,Paramètres!$A$1:$I$89,3,0)*VLOOKUP('Données projet'!$B$15,Paramètres!$A$1:$I$89,5,0)</f>
        <v>208.91519999999986</v>
      </c>
      <c r="EL103" s="14">
        <f t="shared" si="99"/>
        <v>51.698458198123326</v>
      </c>
      <c r="EM103" s="22">
        <f t="shared" si="73"/>
        <v>453.90212136173113</v>
      </c>
      <c r="EN103" s="62">
        <f t="shared" si="74"/>
        <v>747.23545469506439</v>
      </c>
      <c r="EO103" s="62">
        <f ca="1">AVERAGE(OFFSET($EN$3,0,0,'Données projet'!$E$15+1,1))-AVERAGE(OFFSET($H$3,0,0,'Données projet'!$E$15+1,1))</f>
        <v>146.90952320473599</v>
      </c>
      <c r="EP103" s="62">
        <f t="shared" si="100"/>
        <v>56.347130462109817</v>
      </c>
      <c r="EQ103" s="16">
        <f>IF(ISNA(VLOOKUP(A103,'Données projet'!$A$191:$I$211,3,0)),0,VLOOKUP(A103,'Données projet'!$A$191:$I$211,3,0))</f>
        <v>16</v>
      </c>
      <c r="ER103" s="16">
        <f>IF(ISNA(VLOOKUP(A103,'Données projet'!$A$191:$I$211,4,0)),0,VLOOKUP(A103,'Données projet'!$A$191:$I$211,4,0))</f>
        <v>13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216</v>
      </c>
      <c r="FC103" s="13">
        <f>VLOOKUP(A103,'Données projet'!$A$217:$I$237,9,0)</f>
        <v>3.6</v>
      </c>
      <c r="FD103" s="13">
        <f t="array" ref="FD103">INDEX(FC:FC,MIN(IF(ISNUMBER(FC103:FC299),ROW(FC103:FC299),"")))</f>
        <v>3.6</v>
      </c>
      <c r="FE103" s="13">
        <f>IF('Données projet'!$A$218&gt;35,FE102+FD103-FM102,IF(A103&lt;'Données projet'!$A$218,$FB$205^A103,IF(A103='Données projet'!$A$218,'Données projet'!$B$218,FE102+FD103-FM102)))</f>
        <v>215.99999999999983</v>
      </c>
      <c r="FF103" s="18">
        <f>FE103*VLOOKUP('Données projet'!$B$16,Paramètres!$A$1:$I$89,3,0)*VLOOKUP('Données projet'!$B$16,Paramètres!$A$1:$I$89,5,0)</f>
        <v>232.50239999999982</v>
      </c>
      <c r="FG103" s="14">
        <f t="shared" si="101"/>
        <v>56.823417677671891</v>
      </c>
      <c r="FH103" s="22">
        <f t="shared" si="76"/>
        <v>503.90913245527821</v>
      </c>
      <c r="FI103" s="62">
        <f t="shared" si="77"/>
        <v>797.24246578861153</v>
      </c>
      <c r="FJ103" s="62">
        <f ca="1">AVERAGE(OFFSET($FI$3,0,0,'Données projet'!$E$16+1,1))-AVERAGE(OFFSET($H$3,0,0,'Données projet'!$E$16+1,1))</f>
        <v>176.21892815766847</v>
      </c>
      <c r="FK103" s="62">
        <f t="shared" si="102"/>
        <v>69.239647548491234</v>
      </c>
      <c r="FL103" s="16">
        <f>IF(ISNA(VLOOKUP(A103,'Données projet'!$A$217:$I$237,3,0)),0,VLOOKUP(A103,'Données projet'!$A$217:$I$237,3,0))</f>
        <v>16</v>
      </c>
      <c r="FM103" s="16">
        <f>IF(ISNA(VLOOKUP(A103,'Données projet'!$A$217:$I$237,4,0)),0,VLOOKUP(A103,'Données projet'!$A$217:$I$237,4,0))</f>
        <v>13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-1.1368683772161603E-13</v>
      </c>
      <c r="GA103" s="18">
        <f>FZ103*VLOOKUP('Données projet'!$B$17,Paramètres!$A$1:$I$89,3,0)*VLOOKUP('Données projet'!$B$17,Paramètres!$A$1:$I$89,5,0)</f>
        <v>-9.0449248091317723E-14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70.834027458412379</v>
      </c>
      <c r="GF103" s="62">
        <f t="shared" si="104"/>
        <v>74.346987922112362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3.619808994180437E-10</v>
      </c>
      <c r="GO103" s="23">
        <f t="shared" si="81"/>
        <v>3.619808994180437E-10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-1.1368683772161603E-13</v>
      </c>
      <c r="GV103" s="18">
        <f>GU103*VLOOKUP('Données projet'!$B$18,Paramètres!$A$1:$I$89,3,0)*VLOOKUP('Données projet'!$B$18,Paramètres!$A$1:$I$89,5,0)</f>
        <v>-8.8675733422860506E-14</v>
      </c>
      <c r="GW103" s="14" t="e">
        <f t="shared" si="105"/>
        <v>#NUM!</v>
      </c>
      <c r="GX103" s="22" t="e">
        <f t="shared" si="82"/>
        <v>#NUM!</v>
      </c>
      <c r="GY103" s="62" t="e">
        <f t="shared" si="83"/>
        <v>#NUM!</v>
      </c>
      <c r="GZ103" s="62">
        <f ca="1">AVERAGE(OFFSET($GY$3,0,0,'Données projet'!$E$18+1,1))-AVERAGE(OFFSET($H$3,0,0,'Données projet'!$E$18+1,1))</f>
        <v>99.222094917553648</v>
      </c>
      <c r="HA103" s="62">
        <f t="shared" si="106"/>
        <v>98.371477396766352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7.5314584535508062E-11</v>
      </c>
      <c r="HJ103" s="24">
        <f t="shared" si="84"/>
        <v>7.5314584535508062E-11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8.5555555555555554</v>
      </c>
      <c r="N104" s="14">
        <f>IF('Données projet'!$A$36&gt;35,N103+M104-V103,IF(A104&lt;'Données projet'!$A$36,$K$205^A104,IF(A104='Données projet'!$A$36,'Données projet'!$B$36,N103+M104-V103)))</f>
        <v>322.77777777777817</v>
      </c>
      <c r="O104" s="14">
        <f>N104*VLOOKUP('Données projet'!$B$9,Paramètres!$A$1:$I$89,3,0)*VLOOKUP('Données projet'!$B$9,Paramètres!$A$1:$I$89,5,0)</f>
        <v>151.06000000000017</v>
      </c>
      <c r="P104" s="14">
        <f t="shared" si="87"/>
        <v>38.819375611338231</v>
      </c>
      <c r="Q104" s="22">
        <f t="shared" si="107"/>
        <v>330.70657918974769</v>
      </c>
      <c r="R104" s="62">
        <f t="shared" si="55"/>
        <v>624.03991252308106</v>
      </c>
      <c r="S104" s="62">
        <f ca="1">AVERAGE(OFFSET($R$3,0,0,'Données projet'!$E$9+1,1))-AVERAGE(OFFSET($H$3,0,0,'Données projet'!$E$9+1,1))</f>
        <v>181.48161394994878</v>
      </c>
      <c r="T104" s="62">
        <f t="shared" si="88"/>
        <v>141.1874974464024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315.75959999999998</v>
      </c>
      <c r="AK104" s="14">
        <f t="shared" si="89"/>
        <v>74.470372149154613</v>
      </c>
      <c r="AL104" s="22">
        <f t="shared" si="58"/>
        <v>679.6505348264443</v>
      </c>
      <c r="AM104" s="62">
        <f t="shared" si="59"/>
        <v>972.98386815977756</v>
      </c>
      <c r="AN104" s="62">
        <f ca="1">AVERAGE(OFFSET($AM$3,0,0,'Données projet'!$E$10+1,1))-AVERAGE(OFFSET($H$3,0,0,'Données projet'!$E$10+1,1))</f>
        <v>340.81036749486179</v>
      </c>
      <c r="AO104" s="62">
        <f t="shared" si="90"/>
        <v>208.88199836488013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257.96727373333601</v>
      </c>
      <c r="BJ104" s="62">
        <f t="shared" si="92"/>
        <v>194.52809733694494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0.84421376627080413</v>
      </c>
      <c r="BR104" s="23">
        <f>EXP(-LN(2)/2)*BR103+(1-EXP(-LN(2)/2))/(LN(2)/2)*BL104*BO104*VLOOKUP('Données projet'!$B$11,Paramètres!$A$1:$I$89,3,0)*0.475*44/12</f>
        <v>2.9268386209635696E-10</v>
      </c>
      <c r="BS104" s="24">
        <f t="shared" si="63"/>
        <v>0.84421376656348801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281.75471999999996</v>
      </c>
      <c r="CA104" s="14">
        <f t="shared" si="93"/>
        <v>67.337696723120317</v>
      </c>
      <c r="CB104" s="22">
        <f t="shared" si="64"/>
        <v>608.00262579276773</v>
      </c>
      <c r="CC104" s="62">
        <f t="shared" si="65"/>
        <v>901.33595912610099</v>
      </c>
      <c r="CD104" s="62">
        <f ca="1">AVERAGE(OFFSET($CC$3,0,0,'Données projet'!$E$12+1,1))-AVERAGE(OFFSET($H$3,0,0,'Données projet'!$E$12+1,1))</f>
        <v>292.83612296867898</v>
      </c>
      <c r="CE104" s="62">
        <f t="shared" si="94"/>
        <v>180.48047802041276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5.8218159298169659E-10</v>
      </c>
      <c r="CN104" s="24">
        <f t="shared" si="66"/>
        <v>5.8218159298169659E-10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3.4</v>
      </c>
      <c r="CT104" s="13">
        <f>IF('Données projet'!$A$140&gt;35,CT103+CS104-DB103,IF(A104&lt;'Données projet'!$A$140,$CQ$205^A104,IF(A104='Données projet'!$A$140,'Données projet'!$B$140,CT103+CS104-DB103)))</f>
        <v>206.39999999999984</v>
      </c>
      <c r="CU104" s="18">
        <f>CT104*VLOOKUP('Données projet'!$B$13,Paramètres!$A$1:$I$89,3,0)*VLOOKUP('Données projet'!$B$13,Paramètres!$A$1:$I$89,5,0)</f>
        <v>235.04831999999982</v>
      </c>
      <c r="CV104" s="14">
        <f t="shared" si="95"/>
        <v>57.37286319059664</v>
      </c>
      <c r="CW104" s="22">
        <f t="shared" si="67"/>
        <v>509.30022739028874</v>
      </c>
      <c r="CX104" s="62">
        <f t="shared" si="68"/>
        <v>802.63356072362205</v>
      </c>
      <c r="CY104" s="62">
        <f ca="1">AVERAGE(OFFSET($CX$3,0,0,'Données projet'!$E$13+1,1))-AVERAGE(OFFSET($H$3,0,0,'Données projet'!$E$13+1,1))</f>
        <v>192.93829651668403</v>
      </c>
      <c r="CZ104" s="62">
        <f t="shared" si="96"/>
        <v>76.592736352376903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3.4</v>
      </c>
      <c r="DO104" s="13">
        <f>IF('Données projet'!$A$166&gt;35,DO103+DN104-DW103,IF(A104&lt;'Données projet'!$A$166,$DL$205^A104,IF(A104='Données projet'!$A$166,'Données projet'!$B$166,DO103+DN104-DW103)))</f>
        <v>206.39999999999984</v>
      </c>
      <c r="DP104" s="18">
        <f>DO104*VLOOKUP('Données projet'!$B$14,Paramètres!$A$1:$I$89,3,0)*VLOOKUP('Données projet'!$B$14,Paramètres!$A$1:$I$89,5,0)</f>
        <v>138.4531199999999</v>
      </c>
      <c r="DQ104" s="14">
        <f t="shared" si="97"/>
        <v>35.942408186268445</v>
      </c>
      <c r="DR104" s="22">
        <f t="shared" si="70"/>
        <v>303.73887825775068</v>
      </c>
      <c r="DS104" s="62">
        <f t="shared" si="71"/>
        <v>597.07221159108394</v>
      </c>
      <c r="DT104" s="62">
        <f ca="1">AVERAGE(OFFSET($DS$3,0,0,'Données projet'!$E$14+1,1))-AVERAGE(OFFSET($H$3,0,0,'Données projet'!$E$14+1,1))</f>
        <v>66.964554307546564</v>
      </c>
      <c r="DU104" s="62">
        <f t="shared" si="98"/>
        <v>21.162700178818568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3.4</v>
      </c>
      <c r="EJ104" s="13">
        <f>IF('Données projet'!$A$192&gt;35,EJ103+EI104-ER103,IF(A104&lt;'Données projet'!$A$192,$EG$205^A104,IF(A104='Données projet'!$A$192,'Données projet'!$B$192,EJ103+EI104-ER103)))</f>
        <v>206.39999999999984</v>
      </c>
      <c r="EK104" s="18">
        <f>EJ104*VLOOKUP('Données projet'!$B$15,Paramètres!$A$1:$I$89,3,0)*VLOOKUP('Données projet'!$B$15,Paramètres!$A$1:$I$89,5,0)</f>
        <v>199.63007999999982</v>
      </c>
      <c r="EL104" s="14">
        <f t="shared" si="99"/>
        <v>49.662861748339331</v>
      </c>
      <c r="EM104" s="22">
        <f t="shared" si="73"/>
        <v>434.18520687835735</v>
      </c>
      <c r="EN104" s="62">
        <f t="shared" si="74"/>
        <v>727.51854021169061</v>
      </c>
      <c r="EO104" s="62">
        <f ca="1">AVERAGE(OFFSET($EN$3,0,0,'Données projet'!$E$15+1,1))-AVERAGE(OFFSET($H$3,0,0,'Données projet'!$E$15+1,1))</f>
        <v>146.90952320473599</v>
      </c>
      <c r="EP104" s="62">
        <f t="shared" si="100"/>
        <v>56.347130462109817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3.4</v>
      </c>
      <c r="FE104" s="13">
        <f>IF('Données projet'!$A$218&gt;35,FE103+FD104-FM103,IF(A104&lt;'Données projet'!$A$218,$FB$205^A104,IF(A104='Données projet'!$A$218,'Données projet'!$B$218,FE103+FD104-FM103)))</f>
        <v>206.39999999999984</v>
      </c>
      <c r="FF104" s="18">
        <f>FE104*VLOOKUP('Données projet'!$B$16,Paramètres!$A$1:$I$89,3,0)*VLOOKUP('Données projet'!$B$16,Paramètres!$A$1:$I$89,5,0)</f>
        <v>222.16895999999983</v>
      </c>
      <c r="FG104" s="14">
        <f t="shared" si="101"/>
        <v>54.586028956213639</v>
      </c>
      <c r="FH104" s="22">
        <f t="shared" si="76"/>
        <v>482.01493909873852</v>
      </c>
      <c r="FI104" s="62">
        <f t="shared" si="77"/>
        <v>775.34827243207178</v>
      </c>
      <c r="FJ104" s="62">
        <f ca="1">AVERAGE(OFFSET($FI$3,0,0,'Données projet'!$E$16+1,1))-AVERAGE(OFFSET($H$3,0,0,'Données projet'!$E$16+1,1))</f>
        <v>176.21892815766847</v>
      </c>
      <c r="FK104" s="62">
        <f t="shared" si="102"/>
        <v>69.239647548491234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-1.1368683772161603E-13</v>
      </c>
      <c r="GA104" s="18">
        <f>FZ104*VLOOKUP('Données projet'!$B$17,Paramètres!$A$1:$I$89,3,0)*VLOOKUP('Données projet'!$B$17,Paramètres!$A$1:$I$89,5,0)</f>
        <v>-9.0449248091317723E-14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70.834027458412379</v>
      </c>
      <c r="GF104" s="62">
        <f t="shared" si="104"/>
        <v>74.346987922112362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2.5595914863850429E-10</v>
      </c>
      <c r="GO104" s="23">
        <f t="shared" si="81"/>
        <v>2.5595914863850429E-10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-1.1368683772161603E-13</v>
      </c>
      <c r="GV104" s="18">
        <f>GU104*VLOOKUP('Données projet'!$B$18,Paramètres!$A$1:$I$89,3,0)*VLOOKUP('Données projet'!$B$18,Paramètres!$A$1:$I$89,5,0)</f>
        <v>-8.8675733422860506E-14</v>
      </c>
      <c r="GW104" s="14" t="e">
        <f t="shared" si="105"/>
        <v>#NUM!</v>
      </c>
      <c r="GX104" s="22" t="e">
        <f t="shared" si="82"/>
        <v>#NUM!</v>
      </c>
      <c r="GY104" s="62" t="e">
        <f t="shared" si="83"/>
        <v>#NUM!</v>
      </c>
      <c r="GZ104" s="62">
        <f ca="1">AVERAGE(OFFSET($GY$3,0,0,'Données projet'!$E$18+1,1))-AVERAGE(OFFSET($H$3,0,0,'Données projet'!$E$18+1,1))</f>
        <v>99.222094917553648</v>
      </c>
      <c r="HA104" s="62">
        <f t="shared" si="106"/>
        <v>98.371477396766352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5.3255453447305236E-11</v>
      </c>
      <c r="HJ104" s="24">
        <f t="shared" si="84"/>
        <v>5.3255453447305236E-11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8.5555555555555554</v>
      </c>
      <c r="N105" s="14">
        <f>IF('Données projet'!$A$36&gt;35,N104+M105-V104,IF(A105&lt;'Données projet'!$A$36,$K$205^A105,IF(A105='Données projet'!$A$36,'Données projet'!$B$36,N104+M105-V104)))</f>
        <v>331.33333333333371</v>
      </c>
      <c r="O105" s="14">
        <f>N105*VLOOKUP('Données projet'!$B$9,Paramètres!$A$1:$I$89,3,0)*VLOOKUP('Données projet'!$B$9,Paramètres!$A$1:$I$89,5,0)</f>
        <v>155.06400000000016</v>
      </c>
      <c r="P105" s="14">
        <f t="shared" si="87"/>
        <v>39.727164550120129</v>
      </c>
      <c r="Q105" s="22">
        <f t="shared" si="107"/>
        <v>339.2612782581262</v>
      </c>
      <c r="R105" s="62">
        <f t="shared" si="55"/>
        <v>632.59461159145951</v>
      </c>
      <c r="S105" s="62">
        <f ca="1">AVERAGE(OFFSET($R$3,0,0,'Données projet'!$E$9+1,1))-AVERAGE(OFFSET($H$3,0,0,'Données projet'!$E$9+1,1))</f>
        <v>181.48161394994878</v>
      </c>
      <c r="T105" s="62">
        <f t="shared" si="88"/>
        <v>141.1874974464024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321.23519999999996</v>
      </c>
      <c r="AK105" s="14">
        <f t="shared" si="89"/>
        <v>75.610303390297929</v>
      </c>
      <c r="AL105" s="22">
        <f t="shared" si="58"/>
        <v>691.17258507143549</v>
      </c>
      <c r="AM105" s="62">
        <f t="shared" si="59"/>
        <v>984.50591840476886</v>
      </c>
      <c r="AN105" s="62">
        <f ca="1">AVERAGE(OFFSET($AM$3,0,0,'Données projet'!$E$10+1,1))-AVERAGE(OFFSET($H$3,0,0,'Données projet'!$E$10+1,1))</f>
        <v>340.81036749486179</v>
      </c>
      <c r="AO105" s="62">
        <f t="shared" si="90"/>
        <v>208.88199836488013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257.96727373333601</v>
      </c>
      <c r="BJ105" s="62">
        <f t="shared" si="92"/>
        <v>194.52809733694494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0.82112869643685649</v>
      </c>
      <c r="BR105" s="23">
        <f>EXP(-LN(2)/2)*BR104+(1-EXP(-LN(2)/2))/(LN(2)/2)*BL105*BO105*VLOOKUP('Données projet'!$B$11,Paramètres!$A$1:$I$89,3,0)*0.475*44/12</f>
        <v>2.0695874363220234E-10</v>
      </c>
      <c r="BS105" s="24">
        <f t="shared" si="63"/>
        <v>0.82112869664381527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286.64063999999996</v>
      </c>
      <c r="CA105" s="14">
        <f t="shared" si="93"/>
        <v>68.368446832003599</v>
      </c>
      <c r="CB105" s="22">
        <f t="shared" si="64"/>
        <v>618.30749289907283</v>
      </c>
      <c r="CC105" s="62">
        <f t="shared" si="65"/>
        <v>911.6408262324062</v>
      </c>
      <c r="CD105" s="62">
        <f ca="1">AVERAGE(OFFSET($CC$3,0,0,'Données projet'!$E$12+1,1))-AVERAGE(OFFSET($H$3,0,0,'Données projet'!$E$12+1,1))</f>
        <v>292.83612296867898</v>
      </c>
      <c r="CE105" s="62">
        <f t="shared" si="94"/>
        <v>180.48047802041276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4.1166455227934421E-10</v>
      </c>
      <c r="CN105" s="24">
        <f t="shared" si="66"/>
        <v>4.1166455227934421E-10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3.4</v>
      </c>
      <c r="CT105" s="13">
        <f>IF('Données projet'!$A$140&gt;35,CT104+CS105-DB104,IF(A105&lt;'Données projet'!$A$140,$CQ$205^A105,IF(A105='Données projet'!$A$140,'Données projet'!$B$140,CT104+CS105-DB104)))</f>
        <v>209.79999999999984</v>
      </c>
      <c r="CU105" s="18">
        <f>CT105*VLOOKUP('Données projet'!$B$13,Paramètres!$A$1:$I$89,3,0)*VLOOKUP('Données projet'!$B$13,Paramètres!$A$1:$I$89,5,0)</f>
        <v>238.92023999999984</v>
      </c>
      <c r="CV105" s="14">
        <f t="shared" si="95"/>
        <v>58.207153926252829</v>
      </c>
      <c r="CW105" s="22">
        <f t="shared" si="67"/>
        <v>517.49687775489008</v>
      </c>
      <c r="CX105" s="62">
        <f t="shared" si="68"/>
        <v>810.83021108822345</v>
      </c>
      <c r="CY105" s="62">
        <f ca="1">AVERAGE(OFFSET($CX$3,0,0,'Données projet'!$E$13+1,1))-AVERAGE(OFFSET($H$3,0,0,'Données projet'!$E$13+1,1))</f>
        <v>192.93829651668403</v>
      </c>
      <c r="CZ105" s="62">
        <f t="shared" si="96"/>
        <v>76.592736352376903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3.4</v>
      </c>
      <c r="DO105" s="13">
        <f>IF('Données projet'!$A$166&gt;35,DO104+DN105-DW104,IF(A105&lt;'Données projet'!$A$166,$DL$205^A105,IF(A105='Données projet'!$A$166,'Données projet'!$B$166,DO104+DN105-DW104)))</f>
        <v>209.79999999999984</v>
      </c>
      <c r="DP105" s="18">
        <f>DO105*VLOOKUP('Données projet'!$B$14,Paramètres!$A$1:$I$89,3,0)*VLOOKUP('Données projet'!$B$14,Paramètres!$A$1:$I$89,5,0)</f>
        <v>140.7338399999999</v>
      </c>
      <c r="DQ105" s="14">
        <f t="shared" si="97"/>
        <v>36.465066748163046</v>
      </c>
      <c r="DR105" s="22">
        <f t="shared" si="70"/>
        <v>308.62142925305045</v>
      </c>
      <c r="DS105" s="62">
        <f t="shared" si="71"/>
        <v>601.95476258638382</v>
      </c>
      <c r="DT105" s="62">
        <f ca="1">AVERAGE(OFFSET($DS$3,0,0,'Données projet'!$E$14+1,1))-AVERAGE(OFFSET($H$3,0,0,'Données projet'!$E$14+1,1))</f>
        <v>66.964554307546564</v>
      </c>
      <c r="DU105" s="62">
        <f t="shared" si="98"/>
        <v>21.162700178818568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3.4</v>
      </c>
      <c r="EJ105" s="13">
        <f>IF('Données projet'!$A$192&gt;35,EJ104+EI105-ER104,IF(A105&lt;'Données projet'!$A$192,$EG$205^A105,IF(A105='Données projet'!$A$192,'Données projet'!$B$192,EJ104+EI105-ER104)))</f>
        <v>209.79999999999984</v>
      </c>
      <c r="EK105" s="18">
        <f>EJ105*VLOOKUP('Données projet'!$B$15,Paramètres!$A$1:$I$89,3,0)*VLOOKUP('Données projet'!$B$15,Paramètres!$A$1:$I$89,5,0)</f>
        <v>202.91855999999987</v>
      </c>
      <c r="EL105" s="14">
        <f t="shared" si="99"/>
        <v>50.385037061869774</v>
      </c>
      <c r="EM105" s="22">
        <f t="shared" si="73"/>
        <v>441.17043154942297</v>
      </c>
      <c r="EN105" s="62">
        <f t="shared" si="74"/>
        <v>734.50376488275629</v>
      </c>
      <c r="EO105" s="62">
        <f ca="1">AVERAGE(OFFSET($EN$3,0,0,'Données projet'!$E$15+1,1))-AVERAGE(OFFSET($H$3,0,0,'Données projet'!$E$15+1,1))</f>
        <v>146.90952320473599</v>
      </c>
      <c r="EP105" s="62">
        <f t="shared" si="100"/>
        <v>56.347130462109817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3.4</v>
      </c>
      <c r="FE105" s="13">
        <f>IF('Données projet'!$A$218&gt;35,FE104+FD105-FM104,IF(A105&lt;'Données projet'!$A$218,$FB$205^A105,IF(A105='Données projet'!$A$218,'Données projet'!$B$218,FE104+FD105-FM104)))</f>
        <v>209.79999999999984</v>
      </c>
      <c r="FF105" s="18">
        <f>FE105*VLOOKUP('Données projet'!$B$16,Paramètres!$A$1:$I$89,3,0)*VLOOKUP('Données projet'!$B$16,Paramètres!$A$1:$I$89,5,0)</f>
        <v>225.82871999999983</v>
      </c>
      <c r="FG105" s="14">
        <f t="shared" si="101"/>
        <v>55.379794784199902</v>
      </c>
      <c r="FH105" s="22">
        <f t="shared" si="76"/>
        <v>489.77149658248118</v>
      </c>
      <c r="FI105" s="62">
        <f t="shared" si="77"/>
        <v>783.10482991581443</v>
      </c>
      <c r="FJ105" s="62">
        <f ca="1">AVERAGE(OFFSET($FI$3,0,0,'Données projet'!$E$16+1,1))-AVERAGE(OFFSET($H$3,0,0,'Données projet'!$E$16+1,1))</f>
        <v>176.21892815766847</v>
      </c>
      <c r="FK105" s="62">
        <f t="shared" si="102"/>
        <v>69.239647548491234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-1.1368683772161603E-13</v>
      </c>
      <c r="GA105" s="18">
        <f>FZ105*VLOOKUP('Données projet'!$B$17,Paramètres!$A$1:$I$89,3,0)*VLOOKUP('Données projet'!$B$17,Paramètres!$A$1:$I$89,5,0)</f>
        <v>-9.0449248091317723E-14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70.834027458412379</v>
      </c>
      <c r="GF105" s="62">
        <f t="shared" si="104"/>
        <v>74.346987922112362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1.8099044970902185E-10</v>
      </c>
      <c r="GO105" s="23">
        <f t="shared" si="81"/>
        <v>1.8099044970902185E-10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-1.1368683772161603E-13</v>
      </c>
      <c r="GV105" s="18">
        <f>GU105*VLOOKUP('Données projet'!$B$18,Paramètres!$A$1:$I$89,3,0)*VLOOKUP('Données projet'!$B$18,Paramètres!$A$1:$I$89,5,0)</f>
        <v>-8.8675733422860506E-14</v>
      </c>
      <c r="GW105" s="14" t="e">
        <f t="shared" si="105"/>
        <v>#NUM!</v>
      </c>
      <c r="GX105" s="22" t="e">
        <f t="shared" si="82"/>
        <v>#NUM!</v>
      </c>
      <c r="GY105" s="62" t="e">
        <f t="shared" si="83"/>
        <v>#NUM!</v>
      </c>
      <c r="GZ105" s="62">
        <f ca="1">AVERAGE(OFFSET($GY$3,0,0,'Données projet'!$E$18+1,1))-AVERAGE(OFFSET($H$3,0,0,'Données projet'!$E$18+1,1))</f>
        <v>99.222094917553648</v>
      </c>
      <c r="HA105" s="62">
        <f t="shared" si="106"/>
        <v>98.371477396766352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3.7657292267754031E-11</v>
      </c>
      <c r="HJ105" s="24">
        <f t="shared" si="84"/>
        <v>3.7657292267754031E-11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8.5555555555555554</v>
      </c>
      <c r="N106" s="14">
        <f>IF('Données projet'!$A$36&gt;35,N105+M106-V105,IF(A106&lt;'Données projet'!$A$36,$K$205^A106,IF(A106='Données projet'!$A$36,'Données projet'!$B$36,N105+M106-V105)))</f>
        <v>339.88888888888926</v>
      </c>
      <c r="O106" s="14">
        <f>N106*VLOOKUP('Données projet'!$B$9,Paramètres!$A$1:$I$89,3,0)*VLOOKUP('Données projet'!$B$9,Paramètres!$A$1:$I$89,5,0)</f>
        <v>159.06800000000018</v>
      </c>
      <c r="P106" s="14">
        <f t="shared" si="87"/>
        <v>40.632228784106786</v>
      </c>
      <c r="Q106" s="22">
        <f t="shared" si="107"/>
        <v>347.81123179898628</v>
      </c>
      <c r="R106" s="62">
        <f t="shared" si="55"/>
        <v>641.1445651323196</v>
      </c>
      <c r="S106" s="62">
        <f ca="1">AVERAGE(OFFSET($R$3,0,0,'Données projet'!$E$9+1,1))-AVERAGE(OFFSET($H$3,0,0,'Données projet'!$E$9+1,1))</f>
        <v>181.48161394994878</v>
      </c>
      <c r="T106" s="62">
        <f t="shared" si="88"/>
        <v>141.1874974464024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326.71079999999995</v>
      </c>
      <c r="AK106" s="14">
        <f t="shared" si="89"/>
        <v>76.747975030799893</v>
      </c>
      <c r="AL106" s="22">
        <f t="shared" si="58"/>
        <v>702.69069984530972</v>
      </c>
      <c r="AM106" s="62">
        <f t="shared" si="59"/>
        <v>996.02403317864309</v>
      </c>
      <c r="AN106" s="62">
        <f ca="1">AVERAGE(OFFSET($AM$3,0,0,'Données projet'!$E$10+1,1))-AVERAGE(OFFSET($H$3,0,0,'Données projet'!$E$10+1,1))</f>
        <v>340.81036749486179</v>
      </c>
      <c r="AO106" s="62">
        <f t="shared" si="90"/>
        <v>208.88199836488013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257.96727373333601</v>
      </c>
      <c r="BJ106" s="62">
        <f t="shared" si="92"/>
        <v>194.52809733694494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0.79867488905150918</v>
      </c>
      <c r="BR106" s="23">
        <f>EXP(-LN(2)/2)*BR105+(1-EXP(-LN(2)/2))/(LN(2)/2)*BL106*BO106*VLOOKUP('Données projet'!$B$11,Paramètres!$A$1:$I$89,3,0)*0.475*44/12</f>
        <v>1.4634193104817848E-10</v>
      </c>
      <c r="BS106" s="24">
        <f t="shared" si="63"/>
        <v>0.79867488919785112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291.5265599999999</v>
      </c>
      <c r="CA106" s="14">
        <f t="shared" si="93"/>
        <v>69.397153761857183</v>
      </c>
      <c r="CB106" s="22">
        <f t="shared" si="64"/>
        <v>628.60880146856778</v>
      </c>
      <c r="CC106" s="62">
        <f t="shared" si="65"/>
        <v>921.94213480190115</v>
      </c>
      <c r="CD106" s="62">
        <f ca="1">AVERAGE(OFFSET($CC$3,0,0,'Données projet'!$E$12+1,1))-AVERAGE(OFFSET($H$3,0,0,'Données projet'!$E$12+1,1))</f>
        <v>292.83612296867898</v>
      </c>
      <c r="CE106" s="62">
        <f t="shared" si="94"/>
        <v>180.48047802041276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2.910907964908483E-10</v>
      </c>
      <c r="CN106" s="24">
        <f t="shared" si="66"/>
        <v>2.910907964908483E-10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3.4</v>
      </c>
      <c r="CT106" s="13">
        <f>IF('Données projet'!$A$140&gt;35,CT105+CS106-DB105,IF(A106&lt;'Données projet'!$A$140,$CQ$205^A106,IF(A106='Données projet'!$A$140,'Données projet'!$B$140,CT105+CS106-DB105)))</f>
        <v>213.19999999999985</v>
      </c>
      <c r="CU106" s="18">
        <f>CT106*VLOOKUP('Données projet'!$B$13,Paramètres!$A$1:$I$89,3,0)*VLOOKUP('Données projet'!$B$13,Paramètres!$A$1:$I$89,5,0)</f>
        <v>242.79215999999983</v>
      </c>
      <c r="CV106" s="14">
        <f t="shared" si="95"/>
        <v>59.039872293251292</v>
      </c>
      <c r="CW106" s="22">
        <f t="shared" si="67"/>
        <v>525.69078957741237</v>
      </c>
      <c r="CX106" s="62">
        <f t="shared" si="68"/>
        <v>819.02412291074575</v>
      </c>
      <c r="CY106" s="62">
        <f ca="1">AVERAGE(OFFSET($CX$3,0,0,'Données projet'!$E$13+1,1))-AVERAGE(OFFSET($H$3,0,0,'Données projet'!$E$13+1,1))</f>
        <v>192.93829651668403</v>
      </c>
      <c r="CZ106" s="62">
        <f t="shared" si="96"/>
        <v>76.592736352376903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3.4</v>
      </c>
      <c r="DO106" s="13">
        <f>IF('Données projet'!$A$166&gt;35,DO105+DN106-DW105,IF(A106&lt;'Données projet'!$A$166,$DL$205^A106,IF(A106='Données projet'!$A$166,'Données projet'!$B$166,DO105+DN106-DW105)))</f>
        <v>213.19999999999985</v>
      </c>
      <c r="DP106" s="18">
        <f>DO106*VLOOKUP('Données projet'!$B$14,Paramètres!$A$1:$I$89,3,0)*VLOOKUP('Données projet'!$B$14,Paramètres!$A$1:$I$89,5,0)</f>
        <v>143.0145599999999</v>
      </c>
      <c r="DQ106" s="14">
        <f t="shared" si="97"/>
        <v>36.986740267426548</v>
      </c>
      <c r="DR106" s="22">
        <f t="shared" si="70"/>
        <v>313.50226463243433</v>
      </c>
      <c r="DS106" s="62">
        <f t="shared" si="71"/>
        <v>606.83559796576765</v>
      </c>
      <c r="DT106" s="62">
        <f ca="1">AVERAGE(OFFSET($DS$3,0,0,'Données projet'!$E$14+1,1))-AVERAGE(OFFSET($H$3,0,0,'Données projet'!$E$14+1,1))</f>
        <v>66.964554307546564</v>
      </c>
      <c r="DU106" s="62">
        <f t="shared" si="98"/>
        <v>21.162700178818568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3.4</v>
      </c>
      <c r="EJ106" s="13">
        <f>IF('Données projet'!$A$192&gt;35,EJ105+EI106-ER105,IF(A106&lt;'Données projet'!$A$192,$EG$205^A106,IF(A106='Données projet'!$A$192,'Données projet'!$B$192,EJ105+EI106-ER105)))</f>
        <v>213.19999999999985</v>
      </c>
      <c r="EK106" s="18">
        <f>EJ106*VLOOKUP('Données projet'!$B$15,Paramètres!$A$1:$I$89,3,0)*VLOOKUP('Données projet'!$B$15,Paramètres!$A$1:$I$89,5,0)</f>
        <v>206.20703999999986</v>
      </c>
      <c r="EL106" s="14">
        <f t="shared" si="99"/>
        <v>51.105851308113039</v>
      </c>
      <c r="EM106" s="22">
        <f t="shared" si="73"/>
        <v>448.15328569496324</v>
      </c>
      <c r="EN106" s="62">
        <f t="shared" si="74"/>
        <v>741.48661902829656</v>
      </c>
      <c r="EO106" s="62">
        <f ca="1">AVERAGE(OFFSET($EN$3,0,0,'Données projet'!$E$15+1,1))-AVERAGE(OFFSET($H$3,0,0,'Données projet'!$E$15+1,1))</f>
        <v>146.90952320473599</v>
      </c>
      <c r="EP106" s="62">
        <f t="shared" si="100"/>
        <v>56.347130462109817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3.4</v>
      </c>
      <c r="FE106" s="13">
        <f>IF('Données projet'!$A$218&gt;35,FE105+FD106-FM105,IF(A106&lt;'Données projet'!$A$218,$FB$205^A106,IF(A106='Données projet'!$A$218,'Données projet'!$B$218,FE105+FD106-FM105)))</f>
        <v>213.19999999999985</v>
      </c>
      <c r="FF106" s="18">
        <f>FE106*VLOOKUP('Données projet'!$B$16,Paramètres!$A$1:$I$89,3,0)*VLOOKUP('Données projet'!$B$16,Paramètres!$A$1:$I$89,5,0)</f>
        <v>229.48847999999984</v>
      </c>
      <c r="FG106" s="14">
        <f t="shared" si="101"/>
        <v>56.17206461989462</v>
      </c>
      <c r="FH106" s="22">
        <f t="shared" si="76"/>
        <v>497.52544854631611</v>
      </c>
      <c r="FI106" s="62">
        <f t="shared" si="77"/>
        <v>790.85878187964943</v>
      </c>
      <c r="FJ106" s="62">
        <f ca="1">AVERAGE(OFFSET($FI$3,0,0,'Données projet'!$E$16+1,1))-AVERAGE(OFFSET($H$3,0,0,'Données projet'!$E$16+1,1))</f>
        <v>176.21892815766847</v>
      </c>
      <c r="FK106" s="62">
        <f t="shared" si="102"/>
        <v>69.239647548491234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-1.1368683772161603E-13</v>
      </c>
      <c r="GA106" s="18">
        <f>FZ106*VLOOKUP('Données projet'!$B$17,Paramètres!$A$1:$I$89,3,0)*VLOOKUP('Données projet'!$B$17,Paramètres!$A$1:$I$89,5,0)</f>
        <v>-9.0449248091317723E-14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70.834027458412379</v>
      </c>
      <c r="GF106" s="62">
        <f t="shared" si="104"/>
        <v>74.346987922112362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1.2797957431925215E-10</v>
      </c>
      <c r="GO106" s="23">
        <f t="shared" si="81"/>
        <v>1.2797957431925215E-10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-1.1368683772161603E-13</v>
      </c>
      <c r="GV106" s="18">
        <f>GU106*VLOOKUP('Données projet'!$B$18,Paramètres!$A$1:$I$89,3,0)*VLOOKUP('Données projet'!$B$18,Paramètres!$A$1:$I$89,5,0)</f>
        <v>-8.8675733422860506E-14</v>
      </c>
      <c r="GW106" s="14" t="e">
        <f t="shared" si="105"/>
        <v>#NUM!</v>
      </c>
      <c r="GX106" s="22" t="e">
        <f t="shared" si="82"/>
        <v>#NUM!</v>
      </c>
      <c r="GY106" s="62" t="e">
        <f t="shared" si="83"/>
        <v>#NUM!</v>
      </c>
      <c r="GZ106" s="62">
        <f ca="1">AVERAGE(OFFSET($GY$3,0,0,'Données projet'!$E$18+1,1))-AVERAGE(OFFSET($H$3,0,0,'Données projet'!$E$18+1,1))</f>
        <v>99.222094917553648</v>
      </c>
      <c r="HA106" s="62">
        <f t="shared" si="106"/>
        <v>98.371477396766352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2.6627726723652618E-11</v>
      </c>
      <c r="HJ106" s="24">
        <f t="shared" si="84"/>
        <v>2.6627726723652618E-11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8.5555555555555554</v>
      </c>
      <c r="N107" s="14">
        <f>IF('Données projet'!$A$36&gt;35,N106+M107-V106,IF(A107&lt;'Données projet'!$A$36,$K$205^A107,IF(A107='Données projet'!$A$36,'Données projet'!$B$36,N106+M107-V106)))</f>
        <v>348.4444444444448</v>
      </c>
      <c r="O107" s="14">
        <f>N107*VLOOKUP('Données projet'!$B$9,Paramètres!$A$1:$I$89,3,0)*VLOOKUP('Données projet'!$B$9,Paramètres!$A$1:$I$89,5,0)</f>
        <v>163.07200000000017</v>
      </c>
      <c r="P107" s="14">
        <f t="shared" si="87"/>
        <v>41.53464478614341</v>
      </c>
      <c r="Q107" s="22">
        <f t="shared" si="107"/>
        <v>356.35657300253342</v>
      </c>
      <c r="R107" s="62">
        <f t="shared" si="55"/>
        <v>649.68990633586668</v>
      </c>
      <c r="S107" s="62">
        <f ca="1">AVERAGE(OFFSET($R$3,0,0,'Données projet'!$E$9+1,1))-AVERAGE(OFFSET($H$3,0,0,'Données projet'!$E$9+1,1))</f>
        <v>181.48161394994878</v>
      </c>
      <c r="T107" s="62">
        <f t="shared" si="88"/>
        <v>141.1874974464024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332.18639999999994</v>
      </c>
      <c r="AK107" s="14">
        <f t="shared" si="89"/>
        <v>77.88342931194974</v>
      </c>
      <c r="AL107" s="22">
        <f t="shared" si="58"/>
        <v>714.20495271831226</v>
      </c>
      <c r="AM107" s="62">
        <f t="shared" si="59"/>
        <v>1007.5382860516456</v>
      </c>
      <c r="AN107" s="62">
        <f ca="1">AVERAGE(OFFSET($AM$3,0,0,'Données projet'!$E$10+1,1))-AVERAGE(OFFSET($H$3,0,0,'Données projet'!$E$10+1,1))</f>
        <v>340.81036749486179</v>
      </c>
      <c r="AO107" s="62">
        <f t="shared" si="90"/>
        <v>208.88199836488013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257.96727373333601</v>
      </c>
      <c r="BJ107" s="62">
        <f t="shared" si="92"/>
        <v>194.52809733694494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0.7768350822099086</v>
      </c>
      <c r="BR107" s="23">
        <f>EXP(-LN(2)/2)*BR106+(1-EXP(-LN(2)/2))/(LN(2)/2)*BL107*BO107*VLOOKUP('Données projet'!$B$11,Paramètres!$A$1:$I$89,3,0)*0.475*44/12</f>
        <v>1.0347937181610117E-10</v>
      </c>
      <c r="BS107" s="24">
        <f t="shared" si="63"/>
        <v>0.77683508231338794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296.4124799999999</v>
      </c>
      <c r="CA107" s="14">
        <f t="shared" si="93"/>
        <v>70.423855708154704</v>
      </c>
      <c r="CB107" s="22">
        <f t="shared" si="64"/>
        <v>638.90661802503598</v>
      </c>
      <c r="CC107" s="62">
        <f t="shared" si="65"/>
        <v>932.23995135836935</v>
      </c>
      <c r="CD107" s="62">
        <f ca="1">AVERAGE(OFFSET($CC$3,0,0,'Données projet'!$E$12+1,1))-AVERAGE(OFFSET($H$3,0,0,'Données projet'!$E$12+1,1))</f>
        <v>292.83612296867898</v>
      </c>
      <c r="CE107" s="62">
        <f t="shared" si="94"/>
        <v>180.48047802041276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2.0583227613967211E-10</v>
      </c>
      <c r="CN107" s="24">
        <f t="shared" si="66"/>
        <v>2.0583227613967211E-10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3.4</v>
      </c>
      <c r="CT107" s="13">
        <f>IF('Données projet'!$A$140&gt;35,CT106+CS107-DB106,IF(A107&lt;'Données projet'!$A$140,$CQ$205^A107,IF(A107='Données projet'!$A$140,'Données projet'!$B$140,CT106+CS107-DB106)))</f>
        <v>216.59999999999985</v>
      </c>
      <c r="CU107" s="18">
        <f>CT107*VLOOKUP('Données projet'!$B$13,Paramètres!$A$1:$I$89,3,0)*VLOOKUP('Données projet'!$B$13,Paramètres!$A$1:$I$89,5,0)</f>
        <v>246.66407999999981</v>
      </c>
      <c r="CV107" s="14">
        <f t="shared" si="95"/>
        <v>59.87104626207617</v>
      </c>
      <c r="CW107" s="22">
        <f t="shared" si="67"/>
        <v>533.88201157311562</v>
      </c>
      <c r="CX107" s="62">
        <f t="shared" si="68"/>
        <v>827.21534490644899</v>
      </c>
      <c r="CY107" s="62">
        <f ca="1">AVERAGE(OFFSET($CX$3,0,0,'Données projet'!$E$13+1,1))-AVERAGE(OFFSET($H$3,0,0,'Données projet'!$E$13+1,1))</f>
        <v>192.93829651668403</v>
      </c>
      <c r="CZ107" s="62">
        <f t="shared" si="96"/>
        <v>76.592736352376903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3.4</v>
      </c>
      <c r="DO107" s="13">
        <f>IF('Données projet'!$A$166&gt;35,DO106+DN107-DW106,IF(A107&lt;'Données projet'!$A$166,$DL$205^A107,IF(A107='Données projet'!$A$166,'Données projet'!$B$166,DO106+DN107-DW106)))</f>
        <v>216.59999999999985</v>
      </c>
      <c r="DP107" s="18">
        <f>DO107*VLOOKUP('Données projet'!$B$14,Paramètres!$A$1:$I$89,3,0)*VLOOKUP('Données projet'!$B$14,Paramètres!$A$1:$I$89,5,0)</f>
        <v>145.29527999999991</v>
      </c>
      <c r="DQ107" s="14">
        <f t="shared" si="97"/>
        <v>37.507446266742981</v>
      </c>
      <c r="DR107" s="22">
        <f t="shared" si="70"/>
        <v>318.38141491457719</v>
      </c>
      <c r="DS107" s="62">
        <f t="shared" si="71"/>
        <v>611.71474824791051</v>
      </c>
      <c r="DT107" s="62">
        <f ca="1">AVERAGE(OFFSET($DS$3,0,0,'Données projet'!$E$14+1,1))-AVERAGE(OFFSET($H$3,0,0,'Données projet'!$E$14+1,1))</f>
        <v>66.964554307546564</v>
      </c>
      <c r="DU107" s="62">
        <f t="shared" si="98"/>
        <v>21.162700178818568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3.4</v>
      </c>
      <c r="EJ107" s="13">
        <f>IF('Données projet'!$A$192&gt;35,EJ106+EI107-ER106,IF(A107&lt;'Données projet'!$A$192,$EG$205^A107,IF(A107='Données projet'!$A$192,'Données projet'!$B$192,EJ106+EI107-ER106)))</f>
        <v>216.59999999999985</v>
      </c>
      <c r="EK107" s="18">
        <f>EJ107*VLOOKUP('Données projet'!$B$15,Paramètres!$A$1:$I$89,3,0)*VLOOKUP('Données projet'!$B$15,Paramètres!$A$1:$I$89,5,0)</f>
        <v>209.49551999999989</v>
      </c>
      <c r="EL107" s="14">
        <f t="shared" si="99"/>
        <v>51.825328698764402</v>
      </c>
      <c r="EM107" s="22">
        <f t="shared" si="73"/>
        <v>455.13381148368109</v>
      </c>
      <c r="EN107" s="62">
        <f t="shared" si="74"/>
        <v>748.4671448170144</v>
      </c>
      <c r="EO107" s="62">
        <f ca="1">AVERAGE(OFFSET($EN$3,0,0,'Données projet'!$E$15+1,1))-AVERAGE(OFFSET($H$3,0,0,'Données projet'!$E$15+1,1))</f>
        <v>146.90952320473599</v>
      </c>
      <c r="EP107" s="62">
        <f t="shared" si="100"/>
        <v>56.347130462109817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3.4</v>
      </c>
      <c r="FE107" s="13">
        <f>IF('Données projet'!$A$218&gt;35,FE106+FD107-FM106,IF(A107&lt;'Données projet'!$A$218,$FB$205^A107,IF(A107='Données projet'!$A$218,'Données projet'!$B$218,FE106+FD107-FM106)))</f>
        <v>216.59999999999985</v>
      </c>
      <c r="FF107" s="18">
        <f>FE107*VLOOKUP('Données projet'!$B$16,Paramètres!$A$1:$I$89,3,0)*VLOOKUP('Données projet'!$B$16,Paramètres!$A$1:$I$89,5,0)</f>
        <v>233.14823999999984</v>
      </c>
      <c r="FG107" s="14">
        <f t="shared" si="101"/>
        <v>56.962865075141238</v>
      </c>
      <c r="FH107" s="22">
        <f t="shared" si="76"/>
        <v>505.27684133920411</v>
      </c>
      <c r="FI107" s="62">
        <f t="shared" si="77"/>
        <v>798.61017467253737</v>
      </c>
      <c r="FJ107" s="62">
        <f ca="1">AVERAGE(OFFSET($FI$3,0,0,'Données projet'!$E$16+1,1))-AVERAGE(OFFSET($H$3,0,0,'Données projet'!$E$16+1,1))</f>
        <v>176.21892815766847</v>
      </c>
      <c r="FK107" s="62">
        <f t="shared" si="102"/>
        <v>69.239647548491234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-1.1368683772161603E-13</v>
      </c>
      <c r="GA107" s="18">
        <f>FZ107*VLOOKUP('Données projet'!$B$17,Paramètres!$A$1:$I$89,3,0)*VLOOKUP('Données projet'!$B$17,Paramètres!$A$1:$I$89,5,0)</f>
        <v>-9.0449248091317723E-14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70.834027458412379</v>
      </c>
      <c r="GF107" s="62">
        <f t="shared" si="104"/>
        <v>74.346987922112362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9.0495224854510925E-11</v>
      </c>
      <c r="GO107" s="23">
        <f t="shared" si="81"/>
        <v>9.0495224854510925E-11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-1.1368683772161603E-13</v>
      </c>
      <c r="GV107" s="18">
        <f>GU107*VLOOKUP('Données projet'!$B$18,Paramètres!$A$1:$I$89,3,0)*VLOOKUP('Données projet'!$B$18,Paramètres!$A$1:$I$89,5,0)</f>
        <v>-8.8675733422860506E-14</v>
      </c>
      <c r="GW107" s="14" t="e">
        <f t="shared" si="105"/>
        <v>#NUM!</v>
      </c>
      <c r="GX107" s="22" t="e">
        <f t="shared" si="82"/>
        <v>#NUM!</v>
      </c>
      <c r="GY107" s="62" t="e">
        <f t="shared" si="83"/>
        <v>#NUM!</v>
      </c>
      <c r="GZ107" s="62">
        <f ca="1">AVERAGE(OFFSET($GY$3,0,0,'Données projet'!$E$18+1,1))-AVERAGE(OFFSET($H$3,0,0,'Données projet'!$E$18+1,1))</f>
        <v>99.222094917553648</v>
      </c>
      <c r="HA107" s="62">
        <f t="shared" si="106"/>
        <v>98.371477396766352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1.8828646133877016E-11</v>
      </c>
      <c r="HJ107" s="24">
        <f t="shared" si="84"/>
        <v>1.8828646133877016E-11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357</v>
      </c>
      <c r="L108" s="13">
        <f>VLOOKUP(A108,'Données projet'!$A$35:$I$55,9,0)</f>
        <v>8.5555555555555554</v>
      </c>
      <c r="M108" s="13">
        <f t="array" ref="M108">INDEX(L:L,MIN(IF(ISNUMBER(L108:L304),ROW(L108:L304),"")))</f>
        <v>8.5555555555555554</v>
      </c>
      <c r="N108" s="14">
        <f>IF('Données projet'!$A$36&gt;35,N107+M108-V107,IF(A108&lt;'Données projet'!$A$36,$K$205^A108,IF(A108='Données projet'!$A$36,'Données projet'!$B$36,N107+M108-V107)))</f>
        <v>357.00000000000034</v>
      </c>
      <c r="O108" s="14">
        <f>N108*VLOOKUP('Données projet'!$B$9,Paramètres!$A$1:$I$89,3,0)*VLOOKUP('Données projet'!$B$9,Paramètres!$A$1:$I$89,5,0)</f>
        <v>167.07600000000016</v>
      </c>
      <c r="P108" s="14">
        <f t="shared" si="87"/>
        <v>42.434485059621714</v>
      </c>
      <c r="Q108" s="22">
        <f t="shared" si="107"/>
        <v>364.89742814550806</v>
      </c>
      <c r="R108" s="62">
        <f t="shared" si="55"/>
        <v>658.23076147884137</v>
      </c>
      <c r="S108" s="62">
        <f ca="1">AVERAGE(OFFSET($R$3,0,0,'Données projet'!$E$9+1,1))-AVERAGE(OFFSET($H$3,0,0,'Données projet'!$E$9+1,1))</f>
        <v>181.48161394994878</v>
      </c>
      <c r="T108" s="62">
        <f t="shared" si="88"/>
        <v>141.1874974464024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357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337.66199999999992</v>
      </c>
      <c r="AK108" s="14">
        <f t="shared" si="89"/>
        <v>79.016707002632685</v>
      </c>
      <c r="AL108" s="22">
        <f t="shared" si="58"/>
        <v>725.71541469625174</v>
      </c>
      <c r="AM108" s="62">
        <f t="shared" si="59"/>
        <v>1019.0487480295851</v>
      </c>
      <c r="AN108" s="62">
        <f ca="1">AVERAGE(OFFSET($AM$3,0,0,'Données projet'!$E$10+1,1))-AVERAGE(OFFSET($H$3,0,0,'Données projet'!$E$10+1,1))</f>
        <v>340.81036749486179</v>
      </c>
      <c r="AO108" s="62">
        <f t="shared" si="90"/>
        <v>208.88199836488013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257.96727373333601</v>
      </c>
      <c r="BJ108" s="62">
        <f t="shared" si="92"/>
        <v>194.52809733694494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0.75559248603489715</v>
      </c>
      <c r="BR108" s="23">
        <f>EXP(-LN(2)/2)*BR107+(1-EXP(-LN(2)/2))/(LN(2)/2)*BL108*BO108*VLOOKUP('Données projet'!$B$11,Paramètres!$A$1:$I$89,3,0)*0.475*44/12</f>
        <v>7.317096552408924E-11</v>
      </c>
      <c r="BS108" s="24">
        <f t="shared" si="63"/>
        <v>0.75559248610806806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301.2983999999999</v>
      </c>
      <c r="CA108" s="14">
        <f t="shared" si="93"/>
        <v>71.448589534990518</v>
      </c>
      <c r="CB108" s="22">
        <f t="shared" si="64"/>
        <v>649.20100677344158</v>
      </c>
      <c r="CC108" s="62">
        <f t="shared" si="65"/>
        <v>942.53434010677483</v>
      </c>
      <c r="CD108" s="62">
        <f ca="1">AVERAGE(OFFSET($CC$3,0,0,'Données projet'!$E$12+1,1))-AVERAGE(OFFSET($H$3,0,0,'Données projet'!$E$12+1,1))</f>
        <v>292.83612296867898</v>
      </c>
      <c r="CE108" s="62">
        <f t="shared" si="94"/>
        <v>180.48047802041276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1.4554539824542415E-10</v>
      </c>
      <c r="CN108" s="24">
        <f t="shared" si="66"/>
        <v>1.4554539824542415E-10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220</v>
      </c>
      <c r="CR108" s="13">
        <f>VLOOKUP(A108,'Données projet'!$A$139:$I$159,9,0)</f>
        <v>3.4</v>
      </c>
      <c r="CS108" s="13">
        <f t="array" ref="CS108">INDEX(CR:CR,MIN(IF(ISNUMBER(CR108:CR304),ROW(CR108:CR304),"")))</f>
        <v>3.4</v>
      </c>
      <c r="CT108" s="13">
        <f>IF('Données projet'!$A$140&gt;35,CT107+CS108-DB107,IF(A108&lt;'Données projet'!$A$140,$CQ$205^A108,IF(A108='Données projet'!$A$140,'Données projet'!$B$140,CT107+CS108-DB107)))</f>
        <v>219.99999999999986</v>
      </c>
      <c r="CU108" s="18">
        <f>CT108*VLOOKUP('Données projet'!$B$13,Paramètres!$A$1:$I$89,3,0)*VLOOKUP('Données projet'!$B$13,Paramètres!$A$1:$I$89,5,0)</f>
        <v>250.53599999999983</v>
      </c>
      <c r="CV108" s="14">
        <f t="shared" si="95"/>
        <v>60.700702874726744</v>
      </c>
      <c r="CW108" s="22">
        <f t="shared" si="67"/>
        <v>542.07059084014872</v>
      </c>
      <c r="CX108" s="62">
        <f t="shared" si="68"/>
        <v>835.40392417348198</v>
      </c>
      <c r="CY108" s="62">
        <f ca="1">AVERAGE(OFFSET($CX$3,0,0,'Données projet'!$E$13+1,1))-AVERAGE(OFFSET($H$3,0,0,'Données projet'!$E$13+1,1))</f>
        <v>192.93829651668403</v>
      </c>
      <c r="CZ108" s="62">
        <f t="shared" si="96"/>
        <v>76.592736352376903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13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220</v>
      </c>
      <c r="DM108" s="13">
        <f>VLOOKUP(A108,'Données projet'!$A$165:$I$185,9,0)</f>
        <v>3.4</v>
      </c>
      <c r="DN108" s="13">
        <f t="array" ref="DN108">INDEX(DM:DM,MIN(IF(ISNUMBER(DM108:DM304),ROW(DM108:DM304),"")))</f>
        <v>3.4</v>
      </c>
      <c r="DO108" s="13">
        <f>IF('Données projet'!$A$166&gt;35,DO107+DN108-DW107,IF(A108&lt;'Données projet'!$A$166,$DL$205^A108,IF(A108='Données projet'!$A$166,'Données projet'!$B$166,DO107+DN108-DW107)))</f>
        <v>219.99999999999986</v>
      </c>
      <c r="DP108" s="18">
        <f>DO108*VLOOKUP('Données projet'!$B$14,Paramètres!$A$1:$I$89,3,0)*VLOOKUP('Données projet'!$B$14,Paramètres!$A$1:$I$89,5,0)</f>
        <v>147.57599999999991</v>
      </c>
      <c r="DQ108" s="14">
        <f t="shared" si="97"/>
        <v>38.027201687128048</v>
      </c>
      <c r="DR108" s="22">
        <f t="shared" si="70"/>
        <v>323.25890960508121</v>
      </c>
      <c r="DS108" s="62">
        <f t="shared" si="71"/>
        <v>616.59224293841453</v>
      </c>
      <c r="DT108" s="62">
        <f ca="1">AVERAGE(OFFSET($DS$3,0,0,'Données projet'!$E$14+1,1))-AVERAGE(OFFSET($H$3,0,0,'Données projet'!$E$14+1,1))</f>
        <v>66.964554307546564</v>
      </c>
      <c r="DU108" s="62">
        <f t="shared" si="98"/>
        <v>21.162700178818568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13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220</v>
      </c>
      <c r="EH108" s="13">
        <f>VLOOKUP(A108,'Données projet'!$A$191:$I$211,9,0)</f>
        <v>3.4</v>
      </c>
      <c r="EI108" s="13">
        <f t="array" ref="EI108">INDEX(EH:EH,MIN(IF(ISNUMBER(EH108:EH304),ROW(EH108:EH304),"")))</f>
        <v>3.4</v>
      </c>
      <c r="EJ108" s="13">
        <f>IF('Données projet'!$A$192&gt;35,EJ107+EI108-ER107,IF(A108&lt;'Données projet'!$A$192,$EG$205^A108,IF(A108='Données projet'!$A$192,'Données projet'!$B$192,EJ107+EI108-ER107)))</f>
        <v>219.99999999999986</v>
      </c>
      <c r="EK108" s="18">
        <f>EJ108*VLOOKUP('Données projet'!$B$15,Paramètres!$A$1:$I$89,3,0)*VLOOKUP('Données projet'!$B$15,Paramètres!$A$1:$I$89,5,0)</f>
        <v>212.78399999999988</v>
      </c>
      <c r="EL108" s="14">
        <f t="shared" si="99"/>
        <v>52.543492641808065</v>
      </c>
      <c r="EM108" s="22">
        <f t="shared" si="73"/>
        <v>462.11204968448214</v>
      </c>
      <c r="EN108" s="62">
        <f t="shared" si="74"/>
        <v>755.4453830178154</v>
      </c>
      <c r="EO108" s="62">
        <f ca="1">AVERAGE(OFFSET($EN$3,0,0,'Données projet'!$E$15+1,1))-AVERAGE(OFFSET($H$3,0,0,'Données projet'!$E$15+1,1))</f>
        <v>146.90952320473599</v>
      </c>
      <c r="EP108" s="62">
        <f t="shared" si="100"/>
        <v>56.347130462109817</v>
      </c>
      <c r="EQ108" s="16">
        <f>IF(ISNA(VLOOKUP(A108,'Données projet'!$A$191:$I$211,3,0)),0,VLOOKUP(A108,'Données projet'!$A$191:$I$211,3,0))</f>
        <v>17</v>
      </c>
      <c r="ER108" s="16">
        <f>IF(ISNA(VLOOKUP(A108,'Données projet'!$A$191:$I$211,4,0)),0,VLOOKUP(A108,'Données projet'!$A$191:$I$211,4,0))</f>
        <v>13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220</v>
      </c>
      <c r="FC108" s="13">
        <f>VLOOKUP(A108,'Données projet'!$A$217:$I$237,9,0)</f>
        <v>3.4</v>
      </c>
      <c r="FD108" s="13">
        <f t="array" ref="FD108">INDEX(FC:FC,MIN(IF(ISNUMBER(FC108:FC304),ROW(FC108:FC304),"")))</f>
        <v>3.4</v>
      </c>
      <c r="FE108" s="13">
        <f>IF('Données projet'!$A$218&gt;35,FE107+FD108-FM107,IF(A108&lt;'Données projet'!$A$218,$FB$205^A108,IF(A108='Données projet'!$A$218,'Données projet'!$B$218,FE107+FD108-FM107)))</f>
        <v>219.99999999999986</v>
      </c>
      <c r="FF108" s="18">
        <f>FE108*VLOOKUP('Données projet'!$B$16,Paramètres!$A$1:$I$89,3,0)*VLOOKUP('Données projet'!$B$16,Paramètres!$A$1:$I$89,5,0)</f>
        <v>236.80799999999985</v>
      </c>
      <c r="FG108" s="14">
        <f t="shared" si="101"/>
        <v>57.752221878398714</v>
      </c>
      <c r="FH108" s="22">
        <f t="shared" si="76"/>
        <v>513.02571977154423</v>
      </c>
      <c r="FI108" s="62">
        <f t="shared" si="77"/>
        <v>806.3590531048776</v>
      </c>
      <c r="FJ108" s="62">
        <f ca="1">AVERAGE(OFFSET($FI$3,0,0,'Données projet'!$E$16+1,1))-AVERAGE(OFFSET($H$3,0,0,'Données projet'!$E$16+1,1))</f>
        <v>176.21892815766847</v>
      </c>
      <c r="FK108" s="62">
        <f t="shared" si="102"/>
        <v>69.239647548491234</v>
      </c>
      <c r="FL108" s="16">
        <f>IF(ISNA(VLOOKUP(A108,'Données projet'!$A$217:$I$237,3,0)),0,VLOOKUP(A108,'Données projet'!$A$217:$I$237,3,0))</f>
        <v>17</v>
      </c>
      <c r="FM108" s="16">
        <f>IF(ISNA(VLOOKUP(A108,'Données projet'!$A$217:$I$237,4,0)),0,VLOOKUP(A108,'Données projet'!$A$217:$I$237,4,0))</f>
        <v>13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-1.1368683772161603E-13</v>
      </c>
      <c r="GA108" s="18">
        <f>FZ108*VLOOKUP('Données projet'!$B$17,Paramètres!$A$1:$I$89,3,0)*VLOOKUP('Données projet'!$B$17,Paramètres!$A$1:$I$89,5,0)</f>
        <v>-9.0449248091317723E-14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70.834027458412379</v>
      </c>
      <c r="GF108" s="62">
        <f t="shared" si="104"/>
        <v>74.346987922112362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6.3989787159626074E-11</v>
      </c>
      <c r="GO108" s="23">
        <f t="shared" si="81"/>
        <v>6.3989787159626074E-11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-1.1368683772161603E-13</v>
      </c>
      <c r="GV108" s="18">
        <f>GU108*VLOOKUP('Données projet'!$B$18,Paramètres!$A$1:$I$89,3,0)*VLOOKUP('Données projet'!$B$18,Paramètres!$A$1:$I$89,5,0)</f>
        <v>-8.8675733422860506E-14</v>
      </c>
      <c r="GW108" s="14" t="e">
        <f t="shared" si="105"/>
        <v>#NUM!</v>
      </c>
      <c r="GX108" s="22" t="e">
        <f t="shared" si="82"/>
        <v>#NUM!</v>
      </c>
      <c r="GY108" s="62" t="e">
        <f t="shared" si="83"/>
        <v>#NUM!</v>
      </c>
      <c r="GZ108" s="62">
        <f ca="1">AVERAGE(OFFSET($GY$3,0,0,'Données projet'!$E$18+1,1))-AVERAGE(OFFSET($H$3,0,0,'Données projet'!$E$18+1,1))</f>
        <v>99.222094917553648</v>
      </c>
      <c r="HA108" s="62">
        <f t="shared" si="106"/>
        <v>98.371477396766352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1.3313863361826309E-11</v>
      </c>
      <c r="HJ108" s="24">
        <f t="shared" si="84"/>
        <v>1.3313863361826309E-11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1.5961632016114892E-13</v>
      </c>
      <c r="P109" s="14">
        <f t="shared" si="87"/>
        <v>2.2708641912150958E-12</v>
      </c>
      <c r="Q109" s="22">
        <f t="shared" si="107"/>
        <v>4.2330868906469593E-12</v>
      </c>
      <c r="R109" s="62">
        <f t="shared" si="55"/>
        <v>293.33333333333752</v>
      </c>
      <c r="S109" s="62">
        <f ca="1">AVERAGE(OFFSET($R$3,0,0,'Données projet'!$E$9+1,1))-AVERAGE(OFFSET($H$3,0,0,'Données projet'!$E$9+1,1))</f>
        <v>181.48161394994878</v>
      </c>
      <c r="T109" s="62">
        <f t="shared" si="88"/>
        <v>141.1874974464024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316.36799999999988</v>
      </c>
      <c r="AK109" s="14">
        <f t="shared" si="89"/>
        <v>74.597144109003438</v>
      </c>
      <c r="AL109" s="22">
        <f t="shared" si="58"/>
        <v>680.93095932318067</v>
      </c>
      <c r="AM109" s="62">
        <f t="shared" si="59"/>
        <v>974.26429265651404</v>
      </c>
      <c r="AN109" s="62">
        <f ca="1">AVERAGE(OFFSET($AM$3,0,0,'Données projet'!$E$10+1,1))-AVERAGE(OFFSET($H$3,0,0,'Données projet'!$E$10+1,1))</f>
        <v>340.81036749486179</v>
      </c>
      <c r="AO109" s="62">
        <f t="shared" si="90"/>
        <v>208.88199836488013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257.96727373333601</v>
      </c>
      <c r="BJ109" s="62">
        <f t="shared" si="92"/>
        <v>194.52809733694494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0.73493076976939098</v>
      </c>
      <c r="BR109" s="23">
        <f>EXP(-LN(2)/2)*BR108+(1-EXP(-LN(2)/2))/(LN(2)/2)*BL109*BO109*VLOOKUP('Données projet'!$B$11,Paramètres!$A$1:$I$89,3,0)*0.475*44/12</f>
        <v>5.1739685908050584E-11</v>
      </c>
      <c r="BS109" s="24">
        <f t="shared" si="63"/>
        <v>0.7349307698211307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282.29759999999987</v>
      </c>
      <c r="CA109" s="14">
        <f t="shared" si="93"/>
        <v>67.452326629470178</v>
      </c>
      <c r="CB109" s="22">
        <f t="shared" si="64"/>
        <v>609.14778887966042</v>
      </c>
      <c r="CC109" s="62">
        <f t="shared" si="65"/>
        <v>902.4811222129938</v>
      </c>
      <c r="CD109" s="62">
        <f ca="1">AVERAGE(OFFSET($CC$3,0,0,'Données projet'!$E$12+1,1))-AVERAGE(OFFSET($H$3,0,0,'Données projet'!$E$12+1,1))</f>
        <v>292.83612296867898</v>
      </c>
      <c r="CE109" s="62">
        <f t="shared" si="94"/>
        <v>180.48047802041276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1.0291613806983605E-10</v>
      </c>
      <c r="CN109" s="24">
        <f t="shared" si="66"/>
        <v>1.0291613806983605E-10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209.99999999999986</v>
      </c>
      <c r="CU109" s="18">
        <f>CT109*VLOOKUP('Données projet'!$B$13,Paramètres!$A$1:$I$89,3,0)*VLOOKUP('Données projet'!$B$13,Paramètres!$A$1:$I$89,5,0)</f>
        <v>239.14799999999985</v>
      </c>
      <c r="CV109" s="14">
        <f t="shared" si="95"/>
        <v>58.256180607577782</v>
      </c>
      <c r="CW109" s="22">
        <f t="shared" si="67"/>
        <v>517.97894789153111</v>
      </c>
      <c r="CX109" s="62">
        <f t="shared" si="68"/>
        <v>811.31228122486436</v>
      </c>
      <c r="CY109" s="62">
        <f ca="1">AVERAGE(OFFSET($CX$3,0,0,'Données projet'!$E$13+1,1))-AVERAGE(OFFSET($H$3,0,0,'Données projet'!$E$13+1,1))</f>
        <v>192.93829651668403</v>
      </c>
      <c r="CZ109" s="62">
        <f t="shared" si="96"/>
        <v>76.592736352376903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</v>
      </c>
      <c r="DO109" s="13">
        <f>IF('Données projet'!$A$166&gt;35,DO108+DN109-DW108,IF(A109&lt;'Données projet'!$A$166,$DL$205^A109,IF(A109='Données projet'!$A$166,'Données projet'!$B$166,DO108+DN109-DW108)))</f>
        <v>209.99999999999986</v>
      </c>
      <c r="DP109" s="18">
        <f>DO109*VLOOKUP('Données projet'!$B$14,Paramètres!$A$1:$I$89,3,0)*VLOOKUP('Données projet'!$B$14,Paramètres!$A$1:$I$89,5,0)</f>
        <v>140.86799999999991</v>
      </c>
      <c r="DQ109" s="14">
        <f t="shared" si="97"/>
        <v>36.495780519346923</v>
      </c>
      <c r="DR109" s="22">
        <f t="shared" si="70"/>
        <v>308.90858440452911</v>
      </c>
      <c r="DS109" s="62">
        <f t="shared" si="71"/>
        <v>602.24191773786242</v>
      </c>
      <c r="DT109" s="62">
        <f ca="1">AVERAGE(OFFSET($DS$3,0,0,'Données projet'!$E$14+1,1))-AVERAGE(OFFSET($H$3,0,0,'Données projet'!$E$14+1,1))</f>
        <v>66.964554307546564</v>
      </c>
      <c r="DU109" s="62">
        <f t="shared" si="98"/>
        <v>21.162700178818568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</v>
      </c>
      <c r="EJ109" s="13">
        <f>IF('Données projet'!$A$192&gt;35,EJ108+EI109-ER108,IF(A109&lt;'Données projet'!$A$192,$EG$205^A109,IF(A109='Données projet'!$A$192,'Données projet'!$B$192,EJ108+EI109-ER108)))</f>
        <v>209.99999999999986</v>
      </c>
      <c r="EK109" s="18">
        <f>EJ109*VLOOKUP('Données projet'!$B$15,Paramètres!$A$1:$I$89,3,0)*VLOOKUP('Données projet'!$B$15,Paramètres!$A$1:$I$89,5,0)</f>
        <v>203.11199999999985</v>
      </c>
      <c r="EL109" s="14">
        <f t="shared" si="99"/>
        <v>50.427475336015782</v>
      </c>
      <c r="EM109" s="22">
        <f t="shared" si="73"/>
        <v>441.58125287689387</v>
      </c>
      <c r="EN109" s="62">
        <f t="shared" si="74"/>
        <v>734.91458621022718</v>
      </c>
      <c r="EO109" s="62">
        <f ca="1">AVERAGE(OFFSET($EN$3,0,0,'Données projet'!$E$15+1,1))-AVERAGE(OFFSET($H$3,0,0,'Données projet'!$E$15+1,1))</f>
        <v>146.90952320473599</v>
      </c>
      <c r="EP109" s="62">
        <f t="shared" si="100"/>
        <v>56.347130462109817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</v>
      </c>
      <c r="FE109" s="13">
        <f>IF('Données projet'!$A$218&gt;35,FE108+FD109-FM108,IF(A109&lt;'Données projet'!$A$218,$FB$205^A109,IF(A109='Données projet'!$A$218,'Données projet'!$B$218,FE108+FD109-FM108)))</f>
        <v>209.99999999999986</v>
      </c>
      <c r="FF109" s="18">
        <f>FE109*VLOOKUP('Données projet'!$B$16,Paramètres!$A$1:$I$89,3,0)*VLOOKUP('Données projet'!$B$16,Paramètres!$A$1:$I$89,5,0)</f>
        <v>226.04399999999984</v>
      </c>
      <c r="FG109" s="14">
        <f t="shared" si="101"/>
        <v>55.426440039423454</v>
      </c>
      <c r="FH109" s="22">
        <f t="shared" si="76"/>
        <v>490.2276830686622</v>
      </c>
      <c r="FI109" s="62">
        <f t="shared" si="77"/>
        <v>783.56101640199552</v>
      </c>
      <c r="FJ109" s="62">
        <f ca="1">AVERAGE(OFFSET($FI$3,0,0,'Données projet'!$E$16+1,1))-AVERAGE(OFFSET($H$3,0,0,'Données projet'!$E$16+1,1))</f>
        <v>176.21892815766847</v>
      </c>
      <c r="FK109" s="62">
        <f t="shared" si="102"/>
        <v>69.239647548491234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-1.1368683772161603E-13</v>
      </c>
      <c r="GA109" s="18">
        <f>FZ109*VLOOKUP('Données projet'!$B$17,Paramètres!$A$1:$I$89,3,0)*VLOOKUP('Données projet'!$B$17,Paramètres!$A$1:$I$89,5,0)</f>
        <v>-9.0449248091317723E-14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70.834027458412379</v>
      </c>
      <c r="GF109" s="62">
        <f t="shared" si="104"/>
        <v>74.346987922112362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4.5247612427255463E-11</v>
      </c>
      <c r="GO109" s="23">
        <f t="shared" si="81"/>
        <v>4.5247612427255463E-11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-1.1368683772161603E-13</v>
      </c>
      <c r="GV109" s="18">
        <f>GU109*VLOOKUP('Données projet'!$B$18,Paramètres!$A$1:$I$89,3,0)*VLOOKUP('Données projet'!$B$18,Paramètres!$A$1:$I$89,5,0)</f>
        <v>-8.8675733422860506E-14</v>
      </c>
      <c r="GW109" s="14" t="e">
        <f t="shared" si="105"/>
        <v>#NUM!</v>
      </c>
      <c r="GX109" s="22" t="e">
        <f t="shared" si="82"/>
        <v>#NUM!</v>
      </c>
      <c r="GY109" s="62" t="e">
        <f t="shared" si="83"/>
        <v>#NUM!</v>
      </c>
      <c r="GZ109" s="62">
        <f ca="1">AVERAGE(OFFSET($GY$3,0,0,'Données projet'!$E$18+1,1))-AVERAGE(OFFSET($H$3,0,0,'Données projet'!$E$18+1,1))</f>
        <v>99.222094917553648</v>
      </c>
      <c r="HA109" s="62">
        <f t="shared" si="106"/>
        <v>98.371477396766352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9.4143230669385078E-12</v>
      </c>
      <c r="HJ109" s="24">
        <f t="shared" si="84"/>
        <v>9.4143230669385078E-12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1.5961632016114892E-13</v>
      </c>
      <c r="P110" s="14">
        <f t="shared" si="87"/>
        <v>2.2708641912150958E-12</v>
      </c>
      <c r="Q110" s="22">
        <f t="shared" si="107"/>
        <v>4.2330868906469593E-12</v>
      </c>
      <c r="R110" s="62">
        <f t="shared" si="55"/>
        <v>293.33333333333752</v>
      </c>
      <c r="S110" s="62">
        <f ca="1">AVERAGE(OFFSET($R$3,0,0,'Données projet'!$E$9+1,1))-AVERAGE(OFFSET($H$3,0,0,'Données projet'!$E$9+1,1))</f>
        <v>181.48161394994878</v>
      </c>
      <c r="T110" s="62">
        <f t="shared" si="88"/>
        <v>141.1874974464024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321.43799999999987</v>
      </c>
      <c r="AK110" s="14">
        <f t="shared" si="89"/>
        <v>75.652479406660177</v>
      </c>
      <c r="AL110" s="22">
        <f t="shared" si="58"/>
        <v>691.59925163326625</v>
      </c>
      <c r="AM110" s="62">
        <f t="shared" si="59"/>
        <v>984.93258496659951</v>
      </c>
      <c r="AN110" s="62">
        <f ca="1">AVERAGE(OFFSET($AM$3,0,0,'Données projet'!$E$10+1,1))-AVERAGE(OFFSET($H$3,0,0,'Données projet'!$E$10+1,1))</f>
        <v>340.81036749486179</v>
      </c>
      <c r="AO110" s="62">
        <f t="shared" si="90"/>
        <v>208.88199836488013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257.96727373333601</v>
      </c>
      <c r="BJ110" s="62">
        <f t="shared" si="92"/>
        <v>194.52809733694494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0.71483404922171756</v>
      </c>
      <c r="BR110" s="23">
        <f>EXP(-LN(2)/2)*BR109+(1-EXP(-LN(2)/2))/(LN(2)/2)*BL110*BO110*VLOOKUP('Données projet'!$B$11,Paramètres!$A$1:$I$89,3,0)*0.475*44/12</f>
        <v>3.658548276204462E-11</v>
      </c>
      <c r="BS110" s="24">
        <f t="shared" si="63"/>
        <v>0.71483404925830307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286.82159999999988</v>
      </c>
      <c r="CA110" s="14">
        <f t="shared" si="93"/>
        <v>68.406583284351413</v>
      </c>
      <c r="CB110" s="22">
        <f t="shared" si="64"/>
        <v>618.68908588691181</v>
      </c>
      <c r="CC110" s="62">
        <f t="shared" si="65"/>
        <v>912.02241922024518</v>
      </c>
      <c r="CD110" s="62">
        <f ca="1">AVERAGE(OFFSET($CC$3,0,0,'Données projet'!$E$12+1,1))-AVERAGE(OFFSET($H$3,0,0,'Données projet'!$E$12+1,1))</f>
        <v>292.83612296867898</v>
      </c>
      <c r="CE110" s="62">
        <f t="shared" si="94"/>
        <v>180.48047802041276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7.2772699122712074E-11</v>
      </c>
      <c r="CN110" s="24">
        <f t="shared" si="66"/>
        <v>7.2772699122712074E-11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212.99999999999986</v>
      </c>
      <c r="CU110" s="18">
        <f>CT110*VLOOKUP('Données projet'!$B$13,Paramètres!$A$1:$I$89,3,0)*VLOOKUP('Données projet'!$B$13,Paramètres!$A$1:$I$89,5,0)</f>
        <v>242.56439999999984</v>
      </c>
      <c r="CV110" s="14">
        <f t="shared" si="95"/>
        <v>58.990931880184121</v>
      </c>
      <c r="CW110" s="22">
        <f t="shared" si="67"/>
        <v>525.20886969132039</v>
      </c>
      <c r="CX110" s="62">
        <f t="shared" si="68"/>
        <v>818.54220302465365</v>
      </c>
      <c r="CY110" s="62">
        <f ca="1">AVERAGE(OFFSET($CX$3,0,0,'Données projet'!$E$13+1,1))-AVERAGE(OFFSET($H$3,0,0,'Données projet'!$E$13+1,1))</f>
        <v>192.93829651668403</v>
      </c>
      <c r="CZ110" s="62">
        <f t="shared" si="96"/>
        <v>76.592736352376903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</v>
      </c>
      <c r="DO110" s="13">
        <f>IF('Données projet'!$A$166&gt;35,DO109+DN110-DW109,IF(A110&lt;'Données projet'!$A$166,$DL$205^A110,IF(A110='Données projet'!$A$166,'Données projet'!$B$166,DO109+DN110-DW109)))</f>
        <v>212.99999999999986</v>
      </c>
      <c r="DP110" s="18">
        <f>DO110*VLOOKUP('Données projet'!$B$14,Paramètres!$A$1:$I$89,3,0)*VLOOKUP('Données projet'!$B$14,Paramètres!$A$1:$I$89,5,0)</f>
        <v>142.8803999999999</v>
      </c>
      <c r="DQ110" s="14">
        <f t="shared" si="97"/>
        <v>36.956080540764113</v>
      </c>
      <c r="DR110" s="22">
        <f t="shared" si="70"/>
        <v>313.21520360849729</v>
      </c>
      <c r="DS110" s="62">
        <f t="shared" si="71"/>
        <v>606.54853694183066</v>
      </c>
      <c r="DT110" s="62">
        <f ca="1">AVERAGE(OFFSET($DS$3,0,0,'Données projet'!$E$14+1,1))-AVERAGE(OFFSET($H$3,0,0,'Données projet'!$E$14+1,1))</f>
        <v>66.964554307546564</v>
      </c>
      <c r="DU110" s="62">
        <f t="shared" si="98"/>
        <v>21.162700178818568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</v>
      </c>
      <c r="EJ110" s="13">
        <f>IF('Données projet'!$A$192&gt;35,EJ109+EI110-ER109,IF(A110&lt;'Données projet'!$A$192,$EG$205^A110,IF(A110='Données projet'!$A$192,'Données projet'!$B$192,EJ109+EI110-ER109)))</f>
        <v>212.99999999999986</v>
      </c>
      <c r="EK110" s="18">
        <f>EJ110*VLOOKUP('Données projet'!$B$15,Paramètres!$A$1:$I$89,3,0)*VLOOKUP('Données projet'!$B$15,Paramètres!$A$1:$I$89,5,0)</f>
        <v>206.01359999999988</v>
      </c>
      <c r="EL110" s="14">
        <f t="shared" si="99"/>
        <v>51.063487709141434</v>
      </c>
      <c r="EM110" s="22">
        <f t="shared" si="73"/>
        <v>447.74259442675447</v>
      </c>
      <c r="EN110" s="62">
        <f t="shared" si="74"/>
        <v>741.07592776008778</v>
      </c>
      <c r="EO110" s="62">
        <f ca="1">AVERAGE(OFFSET($EN$3,0,0,'Données projet'!$E$15+1,1))-AVERAGE(OFFSET($H$3,0,0,'Données projet'!$E$15+1,1))</f>
        <v>146.90952320473599</v>
      </c>
      <c r="EP110" s="62">
        <f t="shared" si="100"/>
        <v>56.347130462109817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</v>
      </c>
      <c r="FE110" s="13">
        <f>IF('Données projet'!$A$218&gt;35,FE109+FD110-FM109,IF(A110&lt;'Données projet'!$A$218,$FB$205^A110,IF(A110='Données projet'!$A$218,'Données projet'!$B$218,FE109+FD110-FM109)))</f>
        <v>212.99999999999986</v>
      </c>
      <c r="FF110" s="18">
        <f>FE110*VLOOKUP('Données projet'!$B$16,Paramètres!$A$1:$I$89,3,0)*VLOOKUP('Données projet'!$B$16,Paramètres!$A$1:$I$89,5,0)</f>
        <v>229.27319999999983</v>
      </c>
      <c r="FG110" s="14">
        <f t="shared" si="101"/>
        <v>56.125501442527316</v>
      </c>
      <c r="FH110" s="22">
        <f t="shared" si="76"/>
        <v>497.06940501240143</v>
      </c>
      <c r="FI110" s="62">
        <f t="shared" si="77"/>
        <v>790.40273834573475</v>
      </c>
      <c r="FJ110" s="62">
        <f ca="1">AVERAGE(OFFSET($FI$3,0,0,'Données projet'!$E$16+1,1))-AVERAGE(OFFSET($H$3,0,0,'Données projet'!$E$16+1,1))</f>
        <v>176.21892815766847</v>
      </c>
      <c r="FK110" s="62">
        <f t="shared" si="102"/>
        <v>69.239647548491234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-1.1368683772161603E-13</v>
      </c>
      <c r="GA110" s="18">
        <f>FZ110*VLOOKUP('Données projet'!$B$17,Paramètres!$A$1:$I$89,3,0)*VLOOKUP('Données projet'!$B$17,Paramètres!$A$1:$I$89,5,0)</f>
        <v>-9.0449248091317723E-14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70.834027458412379</v>
      </c>
      <c r="GF110" s="62">
        <f t="shared" si="104"/>
        <v>74.346987922112362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3.1994893579813037E-11</v>
      </c>
      <c r="GO110" s="23">
        <f t="shared" si="81"/>
        <v>3.1994893579813037E-11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-1.1368683772161603E-13</v>
      </c>
      <c r="GV110" s="18">
        <f>GU110*VLOOKUP('Données projet'!$B$18,Paramètres!$A$1:$I$89,3,0)*VLOOKUP('Données projet'!$B$18,Paramètres!$A$1:$I$89,5,0)</f>
        <v>-8.8675733422860506E-14</v>
      </c>
      <c r="GW110" s="14" t="e">
        <f t="shared" si="105"/>
        <v>#NUM!</v>
      </c>
      <c r="GX110" s="22" t="e">
        <f t="shared" si="82"/>
        <v>#NUM!</v>
      </c>
      <c r="GY110" s="62" t="e">
        <f t="shared" si="83"/>
        <v>#NUM!</v>
      </c>
      <c r="GZ110" s="62">
        <f ca="1">AVERAGE(OFFSET($GY$3,0,0,'Données projet'!$E$18+1,1))-AVERAGE(OFFSET($H$3,0,0,'Données projet'!$E$18+1,1))</f>
        <v>99.222094917553648</v>
      </c>
      <c r="HA110" s="62">
        <f t="shared" si="106"/>
        <v>98.371477396766352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6.6569316809131545E-12</v>
      </c>
      <c r="HJ110" s="24">
        <f t="shared" si="84"/>
        <v>6.6569316809131545E-12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1.5961632016114892E-13</v>
      </c>
      <c r="P111" s="14">
        <f t="shared" si="87"/>
        <v>2.2708641912150958E-12</v>
      </c>
      <c r="Q111" s="22">
        <f t="shared" si="107"/>
        <v>4.2330868906469593E-12</v>
      </c>
      <c r="R111" s="62">
        <f t="shared" si="55"/>
        <v>293.33333333333752</v>
      </c>
      <c r="S111" s="62">
        <f ca="1">AVERAGE(OFFSET($R$3,0,0,'Données projet'!$E$9+1,1))-AVERAGE(OFFSET($H$3,0,0,'Données projet'!$E$9+1,1))</f>
        <v>181.48161394994878</v>
      </c>
      <c r="T111" s="62">
        <f t="shared" si="88"/>
        <v>141.1874974464024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326.50799999999987</v>
      </c>
      <c r="AK111" s="14">
        <f t="shared" si="89"/>
        <v>76.705878841344258</v>
      </c>
      <c r="AL111" s="22">
        <f t="shared" si="58"/>
        <v>702.26417231534106</v>
      </c>
      <c r="AM111" s="62">
        <f t="shared" si="59"/>
        <v>995.59750564867431</v>
      </c>
      <c r="AN111" s="62">
        <f ca="1">AVERAGE(OFFSET($AM$3,0,0,'Données projet'!$E$10+1,1))-AVERAGE(OFFSET($H$3,0,0,'Données projet'!$E$10+1,1))</f>
        <v>340.81036749486179</v>
      </c>
      <c r="AO111" s="62">
        <f t="shared" si="90"/>
        <v>208.88199836488013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257.96727373333601</v>
      </c>
      <c r="BJ111" s="62">
        <f t="shared" si="92"/>
        <v>194.52809733694494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0.69528687455426086</v>
      </c>
      <c r="BR111" s="23">
        <f>EXP(-LN(2)/2)*BR110+(1-EXP(-LN(2)/2))/(LN(2)/2)*BL111*BO111*VLOOKUP('Données projet'!$B$11,Paramètres!$A$1:$I$89,3,0)*0.475*44/12</f>
        <v>2.5869842954025292E-11</v>
      </c>
      <c r="BS111" s="24">
        <f t="shared" si="63"/>
        <v>0.69528687458013072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291.34559999999993</v>
      </c>
      <c r="CA111" s="14">
        <f t="shared" si="93"/>
        <v>69.359089490698707</v>
      </c>
      <c r="CB111" s="22">
        <f t="shared" si="64"/>
        <v>628.22733419630015</v>
      </c>
      <c r="CC111" s="62">
        <f t="shared" si="65"/>
        <v>921.56066752963352</v>
      </c>
      <c r="CD111" s="62">
        <f ca="1">AVERAGE(OFFSET($CC$3,0,0,'Données projet'!$E$12+1,1))-AVERAGE(OFFSET($H$3,0,0,'Données projet'!$E$12+1,1))</f>
        <v>292.83612296867898</v>
      </c>
      <c r="CE111" s="62">
        <f t="shared" si="94"/>
        <v>180.48047802041276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5.1458069034918027E-11</v>
      </c>
      <c r="CN111" s="24">
        <f t="shared" si="66"/>
        <v>5.1458069034918027E-11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215.99999999999986</v>
      </c>
      <c r="CU111" s="18">
        <f>CT111*VLOOKUP('Données projet'!$B$13,Paramètres!$A$1:$I$89,3,0)*VLOOKUP('Données projet'!$B$13,Paramètres!$A$1:$I$89,5,0)</f>
        <v>245.98079999999985</v>
      </c>
      <c r="CV111" s="14">
        <f t="shared" si="95"/>
        <v>59.724479519444813</v>
      </c>
      <c r="CW111" s="22">
        <f t="shared" si="67"/>
        <v>532.43669516303271</v>
      </c>
      <c r="CX111" s="62">
        <f t="shared" si="68"/>
        <v>825.77002849636597</v>
      </c>
      <c r="CY111" s="62">
        <f ca="1">AVERAGE(OFFSET($CX$3,0,0,'Données projet'!$E$13+1,1))-AVERAGE(OFFSET($H$3,0,0,'Données projet'!$E$13+1,1))</f>
        <v>192.93829651668403</v>
      </c>
      <c r="CZ111" s="62">
        <f t="shared" si="96"/>
        <v>76.592736352376903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</v>
      </c>
      <c r="DO111" s="13">
        <f>IF('Données projet'!$A$166&gt;35,DO110+DN111-DW110,IF(A111&lt;'Données projet'!$A$166,$DL$205^A111,IF(A111='Données projet'!$A$166,'Données projet'!$B$166,DO110+DN111-DW110)))</f>
        <v>215.99999999999986</v>
      </c>
      <c r="DP111" s="18">
        <f>DO111*VLOOKUP('Données projet'!$B$14,Paramètres!$A$1:$I$89,3,0)*VLOOKUP('Données projet'!$B$14,Paramètres!$A$1:$I$89,5,0)</f>
        <v>144.89279999999991</v>
      </c>
      <c r="DQ111" s="14">
        <f t="shared" si="97"/>
        <v>37.415626521357645</v>
      </c>
      <c r="DR111" s="22">
        <f t="shared" si="70"/>
        <v>317.52050952469773</v>
      </c>
      <c r="DS111" s="62">
        <f t="shared" si="71"/>
        <v>610.85384285803104</v>
      </c>
      <c r="DT111" s="62">
        <f ca="1">AVERAGE(OFFSET($DS$3,0,0,'Données projet'!$E$14+1,1))-AVERAGE(OFFSET($H$3,0,0,'Données projet'!$E$14+1,1))</f>
        <v>66.964554307546564</v>
      </c>
      <c r="DU111" s="62">
        <f t="shared" si="98"/>
        <v>21.162700178818568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</v>
      </c>
      <c r="EJ111" s="13">
        <f>IF('Données projet'!$A$192&gt;35,EJ110+EI111-ER110,IF(A111&lt;'Données projet'!$A$192,$EG$205^A111,IF(A111='Données projet'!$A$192,'Données projet'!$B$192,EJ110+EI111-ER110)))</f>
        <v>215.99999999999986</v>
      </c>
      <c r="EK111" s="18">
        <f>EJ111*VLOOKUP('Données projet'!$B$15,Paramètres!$A$1:$I$89,3,0)*VLOOKUP('Données projet'!$B$15,Paramètres!$A$1:$I$89,5,0)</f>
        <v>208.91519999999986</v>
      </c>
      <c r="EL111" s="14">
        <f t="shared" si="99"/>
        <v>51.698458198123326</v>
      </c>
      <c r="EM111" s="22">
        <f t="shared" si="73"/>
        <v>453.90212136173113</v>
      </c>
      <c r="EN111" s="62">
        <f t="shared" si="74"/>
        <v>747.23545469506439</v>
      </c>
      <c r="EO111" s="62">
        <f ca="1">AVERAGE(OFFSET($EN$3,0,0,'Données projet'!$E$15+1,1))-AVERAGE(OFFSET($H$3,0,0,'Données projet'!$E$15+1,1))</f>
        <v>146.90952320473599</v>
      </c>
      <c r="EP111" s="62">
        <f t="shared" si="100"/>
        <v>56.347130462109817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</v>
      </c>
      <c r="FE111" s="13">
        <f>IF('Données projet'!$A$218&gt;35,FE110+FD111-FM110,IF(A111&lt;'Données projet'!$A$218,$FB$205^A111,IF(A111='Données projet'!$A$218,'Données projet'!$B$218,FE110+FD111-FM110)))</f>
        <v>215.99999999999986</v>
      </c>
      <c r="FF111" s="18">
        <f>FE111*VLOOKUP('Données projet'!$B$16,Paramètres!$A$1:$I$89,3,0)*VLOOKUP('Données projet'!$B$16,Paramètres!$A$1:$I$89,5,0)</f>
        <v>232.50239999999982</v>
      </c>
      <c r="FG111" s="14">
        <f t="shared" si="101"/>
        <v>56.823417677671891</v>
      </c>
      <c r="FH111" s="22">
        <f t="shared" si="76"/>
        <v>503.90913245527821</v>
      </c>
      <c r="FI111" s="62">
        <f t="shared" si="77"/>
        <v>797.24246578861153</v>
      </c>
      <c r="FJ111" s="62">
        <f ca="1">AVERAGE(OFFSET($FI$3,0,0,'Données projet'!$E$16+1,1))-AVERAGE(OFFSET($H$3,0,0,'Données projet'!$E$16+1,1))</f>
        <v>176.21892815766847</v>
      </c>
      <c r="FK111" s="62">
        <f t="shared" si="102"/>
        <v>69.239647548491234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-1.1368683772161603E-13</v>
      </c>
      <c r="GA111" s="18">
        <f>FZ111*VLOOKUP('Données projet'!$B$17,Paramètres!$A$1:$I$89,3,0)*VLOOKUP('Données projet'!$B$17,Paramètres!$A$1:$I$89,5,0)</f>
        <v>-9.0449248091317723E-14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70.834027458412379</v>
      </c>
      <c r="GF111" s="62">
        <f t="shared" si="104"/>
        <v>74.346987922112362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2.2623806213627731E-11</v>
      </c>
      <c r="GO111" s="23">
        <f t="shared" si="81"/>
        <v>2.2623806213627731E-11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-1.1368683772161603E-13</v>
      </c>
      <c r="GV111" s="18">
        <f>GU111*VLOOKUP('Données projet'!$B$18,Paramètres!$A$1:$I$89,3,0)*VLOOKUP('Données projet'!$B$18,Paramètres!$A$1:$I$89,5,0)</f>
        <v>-8.8675733422860506E-14</v>
      </c>
      <c r="GW111" s="14" t="e">
        <f t="shared" si="105"/>
        <v>#NUM!</v>
      </c>
      <c r="GX111" s="22" t="e">
        <f t="shared" si="82"/>
        <v>#NUM!</v>
      </c>
      <c r="GY111" s="62" t="e">
        <f t="shared" si="83"/>
        <v>#NUM!</v>
      </c>
      <c r="GZ111" s="62">
        <f ca="1">AVERAGE(OFFSET($GY$3,0,0,'Données projet'!$E$18+1,1))-AVERAGE(OFFSET($H$3,0,0,'Données projet'!$E$18+1,1))</f>
        <v>99.222094917553648</v>
      </c>
      <c r="HA111" s="62">
        <f t="shared" si="106"/>
        <v>98.371477396766352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4.7071615334692539E-12</v>
      </c>
      <c r="HJ111" s="24">
        <f t="shared" si="84"/>
        <v>4.7071615334692539E-12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1.5961632016114892E-13</v>
      </c>
      <c r="P112" s="14">
        <f t="shared" si="87"/>
        <v>2.2708641912150958E-12</v>
      </c>
      <c r="Q112" s="22">
        <f t="shared" si="107"/>
        <v>4.2330868906469593E-12</v>
      </c>
      <c r="R112" s="62">
        <f t="shared" si="55"/>
        <v>293.33333333333752</v>
      </c>
      <c r="S112" s="62">
        <f ca="1">AVERAGE(OFFSET($R$3,0,0,'Données projet'!$E$9+1,1))-AVERAGE(OFFSET($H$3,0,0,'Données projet'!$E$9+1,1))</f>
        <v>181.48161394994878</v>
      </c>
      <c r="T112" s="62">
        <f t="shared" si="88"/>
        <v>141.1874974464024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331.57799999999992</v>
      </c>
      <c r="AK112" s="14">
        <f t="shared" si="89"/>
        <v>77.75737594442586</v>
      </c>
      <c r="AL112" s="22">
        <f t="shared" si="58"/>
        <v>712.92577976987479</v>
      </c>
      <c r="AM112" s="62">
        <f t="shared" si="59"/>
        <v>1006.2591131032082</v>
      </c>
      <c r="AN112" s="62">
        <f ca="1">AVERAGE(OFFSET($AM$3,0,0,'Données projet'!$E$10+1,1))-AVERAGE(OFFSET($H$3,0,0,'Données projet'!$E$10+1,1))</f>
        <v>340.81036749486179</v>
      </c>
      <c r="AO112" s="62">
        <f t="shared" si="90"/>
        <v>208.88199836488013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257.96727373333601</v>
      </c>
      <c r="BJ112" s="62">
        <f t="shared" si="92"/>
        <v>194.52809733694494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0.67627421840602697</v>
      </c>
      <c r="BR112" s="23">
        <f>EXP(-LN(2)/2)*BR111+(1-EXP(-LN(2)/2))/(LN(2)/2)*BL112*BO112*VLOOKUP('Données projet'!$B$11,Paramètres!$A$1:$I$89,3,0)*0.475*44/12</f>
        <v>1.829274138102231E-11</v>
      </c>
      <c r="BS112" s="24">
        <f t="shared" si="63"/>
        <v>0.67627421842431967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295.86959999999988</v>
      </c>
      <c r="CA112" s="14">
        <f t="shared" si="93"/>
        <v>70.309875568291218</v>
      </c>
      <c r="CB112" s="22">
        <f t="shared" si="64"/>
        <v>637.76258661477357</v>
      </c>
      <c r="CC112" s="62">
        <f t="shared" si="65"/>
        <v>931.09591994810694</v>
      </c>
      <c r="CD112" s="62">
        <f ca="1">AVERAGE(OFFSET($CC$3,0,0,'Données projet'!$E$12+1,1))-AVERAGE(OFFSET($H$3,0,0,'Données projet'!$E$12+1,1))</f>
        <v>292.83612296867898</v>
      </c>
      <c r="CE112" s="62">
        <f t="shared" si="94"/>
        <v>180.48047802041276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3.6386349561356037E-11</v>
      </c>
      <c r="CN112" s="24">
        <f t="shared" si="66"/>
        <v>3.6386349561356037E-11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218.99999999999986</v>
      </c>
      <c r="CU112" s="18">
        <f>CT112*VLOOKUP('Données projet'!$B$13,Paramètres!$A$1:$I$89,3,0)*VLOOKUP('Données projet'!$B$13,Paramètres!$A$1:$I$89,5,0)</f>
        <v>249.39719999999983</v>
      </c>
      <c r="CV112" s="14">
        <f t="shared" si="95"/>
        <v>60.456842174492344</v>
      </c>
      <c r="CW112" s="22">
        <f t="shared" si="67"/>
        <v>539.66245678724044</v>
      </c>
      <c r="CX112" s="62">
        <f t="shared" si="68"/>
        <v>832.9957901205737</v>
      </c>
      <c r="CY112" s="62">
        <f ca="1">AVERAGE(OFFSET($CX$3,0,0,'Données projet'!$E$13+1,1))-AVERAGE(OFFSET($H$3,0,0,'Données projet'!$E$13+1,1))</f>
        <v>192.93829651668403</v>
      </c>
      <c r="CZ112" s="62">
        <f t="shared" si="96"/>
        <v>76.592736352376903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</v>
      </c>
      <c r="DO112" s="13">
        <f>IF('Données projet'!$A$166&gt;35,DO111+DN112-DW111,IF(A112&lt;'Données projet'!$A$166,$DL$205^A112,IF(A112='Données projet'!$A$166,'Données projet'!$B$166,DO111+DN112-DW111)))</f>
        <v>218.99999999999986</v>
      </c>
      <c r="DP112" s="18">
        <f>DO112*VLOOKUP('Données projet'!$B$14,Paramètres!$A$1:$I$89,3,0)*VLOOKUP('Données projet'!$B$14,Paramètres!$A$1:$I$89,5,0)</f>
        <v>146.90519999999989</v>
      </c>
      <c r="DQ112" s="14">
        <f t="shared" si="97"/>
        <v>37.874430144259527</v>
      </c>
      <c r="DR112" s="22">
        <f t="shared" si="70"/>
        <v>321.82452250125181</v>
      </c>
      <c r="DS112" s="62">
        <f t="shared" si="71"/>
        <v>615.15785583458512</v>
      </c>
      <c r="DT112" s="62">
        <f ca="1">AVERAGE(OFFSET($DS$3,0,0,'Données projet'!$E$14+1,1))-AVERAGE(OFFSET($H$3,0,0,'Données projet'!$E$14+1,1))</f>
        <v>66.964554307546564</v>
      </c>
      <c r="DU112" s="62">
        <f t="shared" si="98"/>
        <v>21.162700178818568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</v>
      </c>
      <c r="EJ112" s="13">
        <f>IF('Données projet'!$A$192&gt;35,EJ111+EI112-ER111,IF(A112&lt;'Données projet'!$A$192,$EG$205^A112,IF(A112='Données projet'!$A$192,'Données projet'!$B$192,EJ111+EI112-ER111)))</f>
        <v>218.99999999999986</v>
      </c>
      <c r="EK112" s="18">
        <f>EJ112*VLOOKUP('Données projet'!$B$15,Paramètres!$A$1:$I$89,3,0)*VLOOKUP('Données projet'!$B$15,Paramètres!$A$1:$I$89,5,0)</f>
        <v>211.81679999999989</v>
      </c>
      <c r="EL112" s="14">
        <f t="shared" si="99"/>
        <v>52.332402945946782</v>
      </c>
      <c r="EM112" s="22">
        <f t="shared" si="73"/>
        <v>460.05986179752381</v>
      </c>
      <c r="EN112" s="62">
        <f t="shared" si="74"/>
        <v>753.39319513085707</v>
      </c>
      <c r="EO112" s="62">
        <f ca="1">AVERAGE(OFFSET($EN$3,0,0,'Données projet'!$E$15+1,1))-AVERAGE(OFFSET($H$3,0,0,'Données projet'!$E$15+1,1))</f>
        <v>146.90952320473599</v>
      </c>
      <c r="EP112" s="62">
        <f t="shared" si="100"/>
        <v>56.347130462109817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</v>
      </c>
      <c r="FE112" s="13">
        <f>IF('Données projet'!$A$218&gt;35,FE111+FD112-FM111,IF(A112&lt;'Données projet'!$A$218,$FB$205^A112,IF(A112='Données projet'!$A$218,'Données projet'!$B$218,FE111+FD112-FM111)))</f>
        <v>218.99999999999986</v>
      </c>
      <c r="FF112" s="18">
        <f>FE112*VLOOKUP('Données projet'!$B$16,Paramètres!$A$1:$I$89,3,0)*VLOOKUP('Données projet'!$B$16,Paramètres!$A$1:$I$89,5,0)</f>
        <v>235.73159999999984</v>
      </c>
      <c r="FG112" s="14">
        <f t="shared" si="101"/>
        <v>57.520206488125218</v>
      </c>
      <c r="FH112" s="22">
        <f t="shared" si="76"/>
        <v>510.74689630015109</v>
      </c>
      <c r="FI112" s="62">
        <f t="shared" si="77"/>
        <v>804.08022963348435</v>
      </c>
      <c r="FJ112" s="62">
        <f ca="1">AVERAGE(OFFSET($FI$3,0,0,'Données projet'!$E$16+1,1))-AVERAGE(OFFSET($H$3,0,0,'Données projet'!$E$16+1,1))</f>
        <v>176.21892815766847</v>
      </c>
      <c r="FK112" s="62">
        <f t="shared" si="102"/>
        <v>69.239647548491234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-1.1368683772161603E-13</v>
      </c>
      <c r="GA112" s="18">
        <f>FZ112*VLOOKUP('Données projet'!$B$17,Paramètres!$A$1:$I$89,3,0)*VLOOKUP('Données projet'!$B$17,Paramètres!$A$1:$I$89,5,0)</f>
        <v>-9.0449248091317723E-14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70.834027458412379</v>
      </c>
      <c r="GF112" s="62">
        <f t="shared" si="104"/>
        <v>74.346987922112362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1.5997446789906518E-11</v>
      </c>
      <c r="GO112" s="23">
        <f t="shared" si="81"/>
        <v>1.5997446789906518E-11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-1.1368683772161603E-13</v>
      </c>
      <c r="GV112" s="18">
        <f>GU112*VLOOKUP('Données projet'!$B$18,Paramètres!$A$1:$I$89,3,0)*VLOOKUP('Données projet'!$B$18,Paramètres!$A$1:$I$89,5,0)</f>
        <v>-8.8675733422860506E-14</v>
      </c>
      <c r="GW112" s="14" t="e">
        <f t="shared" si="105"/>
        <v>#NUM!</v>
      </c>
      <c r="GX112" s="22" t="e">
        <f t="shared" si="82"/>
        <v>#NUM!</v>
      </c>
      <c r="GY112" s="62" t="e">
        <f t="shared" si="83"/>
        <v>#NUM!</v>
      </c>
      <c r="GZ112" s="62">
        <f ca="1">AVERAGE(OFFSET($GY$3,0,0,'Données projet'!$E$18+1,1))-AVERAGE(OFFSET($H$3,0,0,'Données projet'!$E$18+1,1))</f>
        <v>99.222094917553648</v>
      </c>
      <c r="HA112" s="62">
        <f t="shared" si="106"/>
        <v>98.371477396766352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3.3284658404565772E-12</v>
      </c>
      <c r="HJ112" s="24">
        <f t="shared" si="84"/>
        <v>3.3284658404565772E-12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1.5961632016114892E-13</v>
      </c>
      <c r="P113" s="14">
        <f t="shared" si="87"/>
        <v>2.2708641912150958E-12</v>
      </c>
      <c r="Q113" s="22">
        <f t="shared" si="107"/>
        <v>4.2330868906469593E-12</v>
      </c>
      <c r="R113" s="62">
        <f t="shared" si="55"/>
        <v>293.33333333333752</v>
      </c>
      <c r="S113" s="62">
        <f ca="1">AVERAGE(OFFSET($R$3,0,0,'Données projet'!$E$9+1,1))-AVERAGE(OFFSET($H$3,0,0,'Données projet'!$E$9+1,1))</f>
        <v>181.48161394994878</v>
      </c>
      <c r="T113" s="62">
        <f t="shared" si="88"/>
        <v>141.1874974464024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336.64799999999991</v>
      </c>
      <c r="AK113" s="14">
        <f t="shared" si="89"/>
        <v>78.807003163010307</v>
      </c>
      <c r="AL113" s="22">
        <f t="shared" si="58"/>
        <v>723.58413050890942</v>
      </c>
      <c r="AM113" s="62">
        <f t="shared" si="59"/>
        <v>1016.9174638422428</v>
      </c>
      <c r="AN113" s="62">
        <f ca="1">AVERAGE(OFFSET($AM$3,0,0,'Données projet'!$E$10+1,1))-AVERAGE(OFFSET($H$3,0,0,'Données projet'!$E$10+1,1))</f>
        <v>340.81036749486179</v>
      </c>
      <c r="AO113" s="62">
        <f t="shared" si="90"/>
        <v>208.88199836488013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257.96727373333601</v>
      </c>
      <c r="BJ113" s="62">
        <f t="shared" si="92"/>
        <v>194.52809733694494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0.65778146433999862</v>
      </c>
      <c r="BR113" s="23">
        <f>EXP(-LN(2)/2)*BR112+(1-EXP(-LN(2)/2))/(LN(2)/2)*BL113*BO113*VLOOKUP('Données projet'!$B$11,Paramètres!$A$1:$I$89,3,0)*0.475*44/12</f>
        <v>1.2934921477012646E-11</v>
      </c>
      <c r="BS113" s="24">
        <f t="shared" si="63"/>
        <v>0.6577814643529335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300.39359999999988</v>
      </c>
      <c r="CA113" s="14">
        <f t="shared" si="93"/>
        <v>71.258970856492667</v>
      </c>
      <c r="CB113" s="22">
        <f t="shared" si="64"/>
        <v>647.29489424172459</v>
      </c>
      <c r="CC113" s="62">
        <f t="shared" si="65"/>
        <v>940.62822757505796</v>
      </c>
      <c r="CD113" s="62">
        <f ca="1">AVERAGE(OFFSET($CC$3,0,0,'Données projet'!$E$12+1,1))-AVERAGE(OFFSET($H$3,0,0,'Données projet'!$E$12+1,1))</f>
        <v>292.83612296867898</v>
      </c>
      <c r="CE113" s="62">
        <f t="shared" si="94"/>
        <v>180.48047802041276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2.5729034517459013E-11</v>
      </c>
      <c r="CN113" s="24">
        <f t="shared" si="66"/>
        <v>2.5729034517459013E-11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222</v>
      </c>
      <c r="CR113" s="13">
        <f>VLOOKUP(A113,'Données projet'!$A$139:$I$159,9,0)</f>
        <v>3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221.99999999999986</v>
      </c>
      <c r="CU113" s="18">
        <f>CT113*VLOOKUP('Données projet'!$B$13,Paramètres!$A$1:$I$89,3,0)*VLOOKUP('Données projet'!$B$13,Paramètres!$A$1:$I$89,5,0)</f>
        <v>252.81359999999984</v>
      </c>
      <c r="CV113" s="14">
        <f t="shared" si="95"/>
        <v>61.188037954168315</v>
      </c>
      <c r="CW113" s="22">
        <f t="shared" si="67"/>
        <v>546.88618610350943</v>
      </c>
      <c r="CX113" s="62">
        <f t="shared" si="68"/>
        <v>840.2195194368428</v>
      </c>
      <c r="CY113" s="62">
        <f ca="1">AVERAGE(OFFSET($CX$3,0,0,'Données projet'!$E$13+1,1))-AVERAGE(OFFSET($H$3,0,0,'Données projet'!$E$13+1,1))</f>
        <v>192.93829651668403</v>
      </c>
      <c r="CZ113" s="62">
        <f t="shared" si="96"/>
        <v>76.592736352376903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222</v>
      </c>
      <c r="DM113" s="13">
        <f>VLOOKUP(A113,'Données projet'!$A$165:$I$185,9,0)</f>
        <v>3</v>
      </c>
      <c r="DN113" s="13">
        <f t="array" ref="DN113">INDEX(DM:DM,MIN(IF(ISNUMBER(DM113:DM309),ROW(DM113:DM309),"")))</f>
        <v>3</v>
      </c>
      <c r="DO113" s="13">
        <f>IF('Données projet'!$A$166&gt;35,DO112+DN113-DW112,IF(A113&lt;'Données projet'!$A$166,$DL$205^A113,IF(A113='Données projet'!$A$166,'Données projet'!$B$166,DO112+DN113-DW112)))</f>
        <v>221.99999999999986</v>
      </c>
      <c r="DP113" s="18">
        <f>DO113*VLOOKUP('Données projet'!$B$14,Paramètres!$A$1:$I$89,3,0)*VLOOKUP('Données projet'!$B$14,Paramètres!$A$1:$I$89,5,0)</f>
        <v>148.91759999999991</v>
      </c>
      <c r="DQ113" s="14">
        <f t="shared" si="97"/>
        <v>38.332502754125301</v>
      </c>
      <c r="DR113" s="22">
        <f t="shared" si="70"/>
        <v>326.12726229676804</v>
      </c>
      <c r="DS113" s="62">
        <f t="shared" si="71"/>
        <v>619.46059563010135</v>
      </c>
      <c r="DT113" s="62">
        <f ca="1">AVERAGE(OFFSET($DS$3,0,0,'Données projet'!$E$14+1,1))-AVERAGE(OFFSET($H$3,0,0,'Données projet'!$E$14+1,1))</f>
        <v>66.964554307546564</v>
      </c>
      <c r="DU113" s="62">
        <f t="shared" si="98"/>
        <v>21.162700178818568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13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222</v>
      </c>
      <c r="EH113" s="13">
        <f>VLOOKUP(A113,'Données projet'!$A$191:$I$211,9,0)</f>
        <v>3</v>
      </c>
      <c r="EI113" s="13">
        <f t="array" ref="EI113">INDEX(EH:EH,MIN(IF(ISNUMBER(EH113:EH309),ROW(EH113:EH309),"")))</f>
        <v>3</v>
      </c>
      <c r="EJ113" s="13">
        <f>IF('Données projet'!$A$192&gt;35,EJ112+EI113-ER112,IF(A113&lt;'Données projet'!$A$192,$EG$205^A113,IF(A113='Données projet'!$A$192,'Données projet'!$B$192,EJ112+EI113-ER112)))</f>
        <v>221.99999999999986</v>
      </c>
      <c r="EK113" s="18">
        <f>EJ113*VLOOKUP('Données projet'!$B$15,Paramètres!$A$1:$I$89,3,0)*VLOOKUP('Données projet'!$B$15,Paramètres!$A$1:$I$89,5,0)</f>
        <v>214.71839999999986</v>
      </c>
      <c r="EL113" s="14">
        <f t="shared" si="99"/>
        <v>52.965337627912696</v>
      </c>
      <c r="EM113" s="22">
        <f t="shared" si="73"/>
        <v>466.21584303528101</v>
      </c>
      <c r="EN113" s="62">
        <f t="shared" si="74"/>
        <v>759.54917636861433</v>
      </c>
      <c r="EO113" s="62">
        <f ca="1">AVERAGE(OFFSET($EN$3,0,0,'Données projet'!$E$15+1,1))-AVERAGE(OFFSET($H$3,0,0,'Données projet'!$E$15+1,1))</f>
        <v>146.90952320473599</v>
      </c>
      <c r="EP113" s="62">
        <f t="shared" si="100"/>
        <v>56.347130462109817</v>
      </c>
      <c r="EQ113" s="16">
        <f>IF(ISNA(VLOOKUP(A113,'Données projet'!$A$191:$I$211,3,0)),0,VLOOKUP(A113,'Données projet'!$A$191:$I$211,3,0))</f>
        <v>18</v>
      </c>
      <c r="ER113" s="16">
        <f>IF(ISNA(VLOOKUP(A113,'Données projet'!$A$191:$I$211,4,0)),0,VLOOKUP(A113,'Données projet'!$A$191:$I$211,4,0))</f>
        <v>13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222</v>
      </c>
      <c r="FC113" s="13">
        <f>VLOOKUP(A113,'Données projet'!$A$217:$I$237,9,0)</f>
        <v>3</v>
      </c>
      <c r="FD113" s="13">
        <f t="array" ref="FD113">INDEX(FC:FC,MIN(IF(ISNUMBER(FC113:FC309),ROW(FC113:FC309),"")))</f>
        <v>3</v>
      </c>
      <c r="FE113" s="13">
        <f>IF('Données projet'!$A$218&gt;35,FE112+FD113-FM112,IF(A113&lt;'Données projet'!$A$218,$FB$205^A113,IF(A113='Données projet'!$A$218,'Données projet'!$B$218,FE112+FD113-FM112)))</f>
        <v>221.99999999999986</v>
      </c>
      <c r="FF113" s="18">
        <f>FE113*VLOOKUP('Données projet'!$B$16,Paramètres!$A$1:$I$89,3,0)*VLOOKUP('Données projet'!$B$16,Paramètres!$A$1:$I$89,5,0)</f>
        <v>238.96079999999984</v>
      </c>
      <c r="FG113" s="14">
        <f t="shared" si="101"/>
        <v>58.215885103108292</v>
      </c>
      <c r="FH113" s="22">
        <f t="shared" si="76"/>
        <v>517.58272655457995</v>
      </c>
      <c r="FI113" s="62">
        <f t="shared" si="77"/>
        <v>810.91605988791321</v>
      </c>
      <c r="FJ113" s="62">
        <f ca="1">AVERAGE(OFFSET($FI$3,0,0,'Données projet'!$E$16+1,1))-AVERAGE(OFFSET($H$3,0,0,'Données projet'!$E$16+1,1))</f>
        <v>176.21892815766847</v>
      </c>
      <c r="FK113" s="62">
        <f t="shared" si="102"/>
        <v>69.239647548491234</v>
      </c>
      <c r="FL113" s="16">
        <f>IF(ISNA(VLOOKUP(A113,'Données projet'!$A$217:$I$237,3,0)),0,VLOOKUP(A113,'Données projet'!$A$217:$I$237,3,0))</f>
        <v>18</v>
      </c>
      <c r="FM113" s="16">
        <f>IF(ISNA(VLOOKUP(A113,'Données projet'!$A$217:$I$237,4,0)),0,VLOOKUP(A113,'Données projet'!$A$217:$I$237,4,0))</f>
        <v>13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-1.1368683772161603E-13</v>
      </c>
      <c r="GA113" s="18">
        <f>FZ113*VLOOKUP('Données projet'!$B$17,Paramètres!$A$1:$I$89,3,0)*VLOOKUP('Données projet'!$B$17,Paramètres!$A$1:$I$89,5,0)</f>
        <v>-9.0449248091317723E-14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70.834027458412379</v>
      </c>
      <c r="GF113" s="62">
        <f t="shared" si="104"/>
        <v>74.346987922112362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1.1311903106813866E-11</v>
      </c>
      <c r="GO113" s="23">
        <f t="shared" si="81"/>
        <v>1.1311903106813866E-11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-1.1368683772161603E-13</v>
      </c>
      <c r="GV113" s="18">
        <f>GU113*VLOOKUP('Données projet'!$B$18,Paramètres!$A$1:$I$89,3,0)*VLOOKUP('Données projet'!$B$18,Paramètres!$A$1:$I$89,5,0)</f>
        <v>-8.8675733422860506E-14</v>
      </c>
      <c r="GW113" s="14" t="e">
        <f t="shared" si="105"/>
        <v>#NUM!</v>
      </c>
      <c r="GX113" s="22" t="e">
        <f t="shared" si="82"/>
        <v>#NUM!</v>
      </c>
      <c r="GY113" s="62" t="e">
        <f t="shared" si="83"/>
        <v>#NUM!</v>
      </c>
      <c r="GZ113" s="62">
        <f ca="1">AVERAGE(OFFSET($GY$3,0,0,'Données projet'!$E$18+1,1))-AVERAGE(OFFSET($H$3,0,0,'Données projet'!$E$18+1,1))</f>
        <v>99.222094917553648</v>
      </c>
      <c r="HA113" s="62">
        <f t="shared" si="106"/>
        <v>98.371477396766352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2.3535807667346269E-12</v>
      </c>
      <c r="HJ113" s="24">
        <f t="shared" si="84"/>
        <v>2.3535807667346269E-12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1.5961632016114892E-13</v>
      </c>
      <c r="P114" s="14">
        <f t="shared" si="87"/>
        <v>2.2708641912150958E-12</v>
      </c>
      <c r="Q114" s="22">
        <f t="shared" si="107"/>
        <v>4.2330868906469593E-12</v>
      </c>
      <c r="R114" s="62">
        <f t="shared" si="55"/>
        <v>293.33333333333752</v>
      </c>
      <c r="S114" s="62">
        <f ca="1">AVERAGE(OFFSET($R$3,0,0,'Données projet'!$E$9+1,1))-AVERAGE(OFFSET($H$3,0,0,'Données projet'!$E$9+1,1))</f>
        <v>181.48161394994878</v>
      </c>
      <c r="T114" s="62">
        <f t="shared" si="88"/>
        <v>141.1874974464024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315.96239999999989</v>
      </c>
      <c r="AK114" s="14">
        <f t="shared" si="89"/>
        <v>74.512632625562503</v>
      </c>
      <c r="AL114" s="22">
        <f t="shared" si="58"/>
        <v>680.07734848952111</v>
      </c>
      <c r="AM114" s="62">
        <f t="shared" si="59"/>
        <v>973.41068182285449</v>
      </c>
      <c r="AN114" s="62">
        <f ca="1">AVERAGE(OFFSET($AM$3,0,0,'Données projet'!$E$10+1,1))-AVERAGE(OFFSET($H$3,0,0,'Données projet'!$E$10+1,1))</f>
        <v>340.81036749486179</v>
      </c>
      <c r="AO114" s="62">
        <f t="shared" si="90"/>
        <v>208.88199836488013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257.96727373333601</v>
      </c>
      <c r="BJ114" s="62">
        <f t="shared" si="92"/>
        <v>194.52809733694494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0.6397943956063975</v>
      </c>
      <c r="BR114" s="23">
        <f>EXP(-LN(2)/2)*BR113+(1-EXP(-LN(2)/2))/(LN(2)/2)*BL114*BO114*VLOOKUP('Données projet'!$B$11,Paramètres!$A$1:$I$89,3,0)*0.475*44/12</f>
        <v>9.1463706905111551E-12</v>
      </c>
      <c r="BS114" s="24">
        <f t="shared" si="63"/>
        <v>0.63979439561554385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281.93567999999988</v>
      </c>
      <c r="CA114" s="14">
        <f t="shared" si="93"/>
        <v>67.375909546040361</v>
      </c>
      <c r="CB114" s="22">
        <f t="shared" si="64"/>
        <v>608.38435179268674</v>
      </c>
      <c r="CC114" s="62">
        <f t="shared" si="65"/>
        <v>901.71768512602011</v>
      </c>
      <c r="CD114" s="62">
        <f ca="1">AVERAGE(OFFSET($CC$3,0,0,'Données projet'!$E$12+1,1))-AVERAGE(OFFSET($H$3,0,0,'Données projet'!$E$12+1,1))</f>
        <v>292.83612296867898</v>
      </c>
      <c r="CE114" s="62">
        <f t="shared" si="94"/>
        <v>180.48047802041276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1.8193174780678019E-11</v>
      </c>
      <c r="CN114" s="24">
        <f t="shared" si="66"/>
        <v>1.8193174780678019E-11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211.79999999999987</v>
      </c>
      <c r="CU114" s="18">
        <f>CT114*VLOOKUP('Données projet'!$B$13,Paramètres!$A$1:$I$89,3,0)*VLOOKUP('Données projet'!$B$13,Paramètres!$A$1:$I$89,5,0)</f>
        <v>241.19783999999984</v>
      </c>
      <c r="CV114" s="14">
        <f t="shared" si="95"/>
        <v>58.69717687018985</v>
      </c>
      <c r="CW114" s="22">
        <f t="shared" si="67"/>
        <v>522.31715438224694</v>
      </c>
      <c r="CX114" s="62">
        <f t="shared" si="68"/>
        <v>815.65048771558031</v>
      </c>
      <c r="CY114" s="62">
        <f ca="1">AVERAGE(OFFSET($CX$3,0,0,'Données projet'!$E$13+1,1))-AVERAGE(OFFSET($H$3,0,0,'Données projet'!$E$13+1,1))</f>
        <v>192.93829651668403</v>
      </c>
      <c r="CZ114" s="62">
        <f t="shared" si="96"/>
        <v>76.592736352376903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</v>
      </c>
      <c r="DO114" s="13">
        <f>IF('Données projet'!$A$166&gt;35,DO113+DN114-DW113,IF(A114&lt;'Données projet'!$A$166,$DL$205^A114,IF(A114='Données projet'!$A$166,'Données projet'!$B$166,DO113+DN114-DW113)))</f>
        <v>211.79999999999987</v>
      </c>
      <c r="DP114" s="18">
        <f>DO114*VLOOKUP('Données projet'!$B$14,Paramètres!$A$1:$I$89,3,0)*VLOOKUP('Données projet'!$B$14,Paramètres!$A$1:$I$89,5,0)</f>
        <v>142.0754399999999</v>
      </c>
      <c r="DQ114" s="14">
        <f t="shared" si="97"/>
        <v>36.772051683063594</v>
      </c>
      <c r="DR114" s="22">
        <f t="shared" si="70"/>
        <v>311.49271468133554</v>
      </c>
      <c r="DS114" s="62">
        <f t="shared" si="71"/>
        <v>604.82604801466891</v>
      </c>
      <c r="DT114" s="62">
        <f ca="1">AVERAGE(OFFSET($DS$3,0,0,'Données projet'!$E$14+1,1))-AVERAGE(OFFSET($H$3,0,0,'Données projet'!$E$14+1,1))</f>
        <v>66.964554307546564</v>
      </c>
      <c r="DU114" s="62">
        <f t="shared" si="98"/>
        <v>21.162700178818568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2.8</v>
      </c>
      <c r="EJ114" s="13">
        <f>IF('Données projet'!$A$192&gt;35,EJ113+EI114-ER113,IF(A114&lt;'Données projet'!$A$192,$EG$205^A114,IF(A114='Données projet'!$A$192,'Données projet'!$B$192,EJ113+EI114-ER113)))</f>
        <v>211.79999999999987</v>
      </c>
      <c r="EK114" s="18">
        <f>EJ114*VLOOKUP('Données projet'!$B$15,Paramètres!$A$1:$I$89,3,0)*VLOOKUP('Données projet'!$B$15,Paramètres!$A$1:$I$89,5,0)</f>
        <v>204.85295999999988</v>
      </c>
      <c r="EL114" s="14">
        <f t="shared" si="99"/>
        <v>50.809208706178609</v>
      </c>
      <c r="EM114" s="22">
        <f t="shared" si="73"/>
        <v>445.27827716326078</v>
      </c>
      <c r="EN114" s="62">
        <f t="shared" si="74"/>
        <v>738.61161049659404</v>
      </c>
      <c r="EO114" s="62">
        <f ca="1">AVERAGE(OFFSET($EN$3,0,0,'Données projet'!$E$15+1,1))-AVERAGE(OFFSET($H$3,0,0,'Données projet'!$E$15+1,1))</f>
        <v>146.90952320473599</v>
      </c>
      <c r="EP114" s="62">
        <f t="shared" si="100"/>
        <v>56.347130462109817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2.8</v>
      </c>
      <c r="FE114" s="13">
        <f>IF('Données projet'!$A$218&gt;35,FE113+FD114-FM113,IF(A114&lt;'Données projet'!$A$218,$FB$205^A114,IF(A114='Données projet'!$A$218,'Données projet'!$B$218,FE113+FD114-FM113)))</f>
        <v>211.79999999999987</v>
      </c>
      <c r="FF114" s="18">
        <f>FE114*VLOOKUP('Données projet'!$B$16,Paramètres!$A$1:$I$89,3,0)*VLOOKUP('Données projet'!$B$16,Paramètres!$A$1:$I$89,5,0)</f>
        <v>227.98151999999988</v>
      </c>
      <c r="FG114" s="14">
        <f t="shared" si="101"/>
        <v>55.846015312851193</v>
      </c>
      <c r="FH114" s="22">
        <f t="shared" si="76"/>
        <v>494.33295733654887</v>
      </c>
      <c r="FI114" s="62">
        <f t="shared" si="77"/>
        <v>787.66629066988219</v>
      </c>
      <c r="FJ114" s="62">
        <f ca="1">AVERAGE(OFFSET($FI$3,0,0,'Données projet'!$E$16+1,1))-AVERAGE(OFFSET($H$3,0,0,'Données projet'!$E$16+1,1))</f>
        <v>176.21892815766847</v>
      </c>
      <c r="FK114" s="62">
        <f t="shared" si="102"/>
        <v>69.239647548491234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-1.1368683772161603E-13</v>
      </c>
      <c r="GA114" s="18">
        <f>FZ114*VLOOKUP('Données projet'!$B$17,Paramètres!$A$1:$I$89,3,0)*VLOOKUP('Données projet'!$B$17,Paramètres!$A$1:$I$89,5,0)</f>
        <v>-9.0449248091317723E-14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70.834027458412379</v>
      </c>
      <c r="GF114" s="62">
        <f t="shared" si="104"/>
        <v>74.346987922112362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7.9987233949532592E-12</v>
      </c>
      <c r="GO114" s="23">
        <f t="shared" si="81"/>
        <v>7.9987233949532592E-12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-1.1368683772161603E-13</v>
      </c>
      <c r="GV114" s="18">
        <f>GU114*VLOOKUP('Données projet'!$B$18,Paramètres!$A$1:$I$89,3,0)*VLOOKUP('Données projet'!$B$18,Paramètres!$A$1:$I$89,5,0)</f>
        <v>-8.8675733422860506E-14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99.222094917553648</v>
      </c>
      <c r="HA114" s="62">
        <f t="shared" si="106"/>
        <v>98.371477396766352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1.6642329202282886E-12</v>
      </c>
      <c r="HJ114" s="24">
        <f t="shared" si="84"/>
        <v>1.6642329202282886E-12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1.5961632016114892E-13</v>
      </c>
      <c r="P115" s="14">
        <f t="shared" si="87"/>
        <v>2.2708641912150958E-12</v>
      </c>
      <c r="Q115" s="22">
        <f t="shared" si="107"/>
        <v>4.2330868906469593E-12</v>
      </c>
      <c r="R115" s="62">
        <f t="shared" si="55"/>
        <v>293.33333333333752</v>
      </c>
      <c r="S115" s="62">
        <f ca="1">AVERAGE(OFFSET($R$3,0,0,'Données projet'!$E$9+1,1))-AVERAGE(OFFSET($H$3,0,0,'Données projet'!$E$9+1,1))</f>
        <v>181.48161394994878</v>
      </c>
      <c r="T115" s="62">
        <f t="shared" si="88"/>
        <v>141.1874974464024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320.62679999999995</v>
      </c>
      <c r="AK115" s="14">
        <f t="shared" si="89"/>
        <v>75.483756735990909</v>
      </c>
      <c r="AL115" s="22">
        <f t="shared" si="58"/>
        <v>689.89255298185071</v>
      </c>
      <c r="AM115" s="62">
        <f t="shared" si="59"/>
        <v>983.22588631518397</v>
      </c>
      <c r="AN115" s="62">
        <f ca="1">AVERAGE(OFFSET($AM$3,0,0,'Données projet'!$E$10+1,1))-AVERAGE(OFFSET($H$3,0,0,'Données projet'!$E$10+1,1))</f>
        <v>340.81036749486179</v>
      </c>
      <c r="AO115" s="62">
        <f t="shared" si="90"/>
        <v>208.88199836488013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257.96727373333601</v>
      </c>
      <c r="BJ115" s="62">
        <f t="shared" si="92"/>
        <v>194.52809733694494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0.62229918421321562</v>
      </c>
      <c r="BR115" s="23">
        <f>EXP(-LN(2)/2)*BR114+(1-EXP(-LN(2)/2))/(LN(2)/2)*BL115*BO115*VLOOKUP('Données projet'!$B$11,Paramètres!$A$1:$I$89,3,0)*0.475*44/12</f>
        <v>6.467460738506323E-12</v>
      </c>
      <c r="BS115" s="24">
        <f t="shared" si="63"/>
        <v>0.62229918421968311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286.09775999999994</v>
      </c>
      <c r="CA115" s="14">
        <f t="shared" si="93"/>
        <v>68.254020651723678</v>
      </c>
      <c r="CB115" s="22">
        <f t="shared" si="64"/>
        <v>617.16268463508527</v>
      </c>
      <c r="CC115" s="62">
        <f t="shared" si="65"/>
        <v>910.49601796841853</v>
      </c>
      <c r="CD115" s="62">
        <f ca="1">AVERAGE(OFFSET($CC$3,0,0,'Données projet'!$E$12+1,1))-AVERAGE(OFFSET($H$3,0,0,'Données projet'!$E$12+1,1))</f>
        <v>292.83612296867898</v>
      </c>
      <c r="CE115" s="62">
        <f t="shared" si="94"/>
        <v>180.48047802041276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1.2864517258729507E-11</v>
      </c>
      <c r="CN115" s="24">
        <f t="shared" si="66"/>
        <v>1.2864517258729507E-11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214.59999999999988</v>
      </c>
      <c r="CU115" s="18">
        <f>CT115*VLOOKUP('Données projet'!$B$13,Paramètres!$A$1:$I$89,3,0)*VLOOKUP('Données projet'!$B$13,Paramètres!$A$1:$I$89,5,0)</f>
        <v>244.38647999999986</v>
      </c>
      <c r="CV115" s="14">
        <f t="shared" si="95"/>
        <v>59.382305874225068</v>
      </c>
      <c r="CW115" s="22">
        <f t="shared" si="67"/>
        <v>529.06396873094172</v>
      </c>
      <c r="CX115" s="62">
        <f t="shared" si="68"/>
        <v>822.39730206427498</v>
      </c>
      <c r="CY115" s="62">
        <f ca="1">AVERAGE(OFFSET($CX$3,0,0,'Données projet'!$E$13+1,1))-AVERAGE(OFFSET($H$3,0,0,'Données projet'!$E$13+1,1))</f>
        <v>192.93829651668403</v>
      </c>
      <c r="CZ115" s="62">
        <f t="shared" si="96"/>
        <v>76.592736352376903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</v>
      </c>
      <c r="DO115" s="13">
        <f>IF('Données projet'!$A$166&gt;35,DO114+DN115-DW114,IF(A115&lt;'Données projet'!$A$166,$DL$205^A115,IF(A115='Données projet'!$A$166,'Données projet'!$B$166,DO114+DN115-DW114)))</f>
        <v>214.59999999999988</v>
      </c>
      <c r="DP115" s="18">
        <f>DO115*VLOOKUP('Données projet'!$B$14,Paramètres!$A$1:$I$89,3,0)*VLOOKUP('Données projet'!$B$14,Paramètres!$A$1:$I$89,5,0)</f>
        <v>143.95367999999993</v>
      </c>
      <c r="DQ115" s="14">
        <f t="shared" si="97"/>
        <v>37.20126481543732</v>
      </c>
      <c r="DR115" s="22">
        <f t="shared" si="70"/>
        <v>315.51152888688654</v>
      </c>
      <c r="DS115" s="62">
        <f t="shared" si="71"/>
        <v>608.84486222021985</v>
      </c>
      <c r="DT115" s="62">
        <f ca="1">AVERAGE(OFFSET($DS$3,0,0,'Données projet'!$E$14+1,1))-AVERAGE(OFFSET($H$3,0,0,'Données projet'!$E$14+1,1))</f>
        <v>66.964554307546564</v>
      </c>
      <c r="DU115" s="62">
        <f t="shared" si="98"/>
        <v>21.162700178818568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2.8</v>
      </c>
      <c r="EJ115" s="13">
        <f>IF('Données projet'!$A$192&gt;35,EJ114+EI115-ER114,IF(A115&lt;'Données projet'!$A$192,$EG$205^A115,IF(A115='Données projet'!$A$192,'Données projet'!$B$192,EJ114+EI115-ER114)))</f>
        <v>214.59999999999988</v>
      </c>
      <c r="EK115" s="18">
        <f>EJ115*VLOOKUP('Données projet'!$B$15,Paramètres!$A$1:$I$89,3,0)*VLOOKUP('Données projet'!$B$15,Paramètres!$A$1:$I$89,5,0)</f>
        <v>207.5611199999999</v>
      </c>
      <c r="EL115" s="14">
        <f t="shared" si="99"/>
        <v>51.40226725537709</v>
      </c>
      <c r="EM115" s="22">
        <f t="shared" si="73"/>
        <v>451.02789946978152</v>
      </c>
      <c r="EN115" s="62">
        <f t="shared" si="74"/>
        <v>744.36123280311483</v>
      </c>
      <c r="EO115" s="62">
        <f ca="1">AVERAGE(OFFSET($EN$3,0,0,'Données projet'!$E$15+1,1))-AVERAGE(OFFSET($H$3,0,0,'Données projet'!$E$15+1,1))</f>
        <v>146.90952320473599</v>
      </c>
      <c r="EP115" s="62">
        <f t="shared" si="100"/>
        <v>56.347130462109817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2.8</v>
      </c>
      <c r="FE115" s="13">
        <f>IF('Données projet'!$A$218&gt;35,FE114+FD115-FM114,IF(A115&lt;'Données projet'!$A$218,$FB$205^A115,IF(A115='Données projet'!$A$218,'Données projet'!$B$218,FE114+FD115-FM114)))</f>
        <v>214.59999999999988</v>
      </c>
      <c r="FF115" s="18">
        <f>FE115*VLOOKUP('Données projet'!$B$16,Paramètres!$A$1:$I$89,3,0)*VLOOKUP('Données projet'!$B$16,Paramètres!$A$1:$I$89,5,0)</f>
        <v>230.99543999999986</v>
      </c>
      <c r="FG115" s="14">
        <f t="shared" si="101"/>
        <v>56.497864803589785</v>
      </c>
      <c r="FH115" s="22">
        <f t="shared" si="76"/>
        <v>500.71750586625194</v>
      </c>
      <c r="FI115" s="62">
        <f t="shared" si="77"/>
        <v>794.0508391995852</v>
      </c>
      <c r="FJ115" s="62">
        <f ca="1">AVERAGE(OFFSET($FI$3,0,0,'Données projet'!$E$16+1,1))-AVERAGE(OFFSET($H$3,0,0,'Données projet'!$E$16+1,1))</f>
        <v>176.21892815766847</v>
      </c>
      <c r="FK115" s="62">
        <f t="shared" si="102"/>
        <v>69.239647548491234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-1.1368683772161603E-13</v>
      </c>
      <c r="GA115" s="18">
        <f>FZ115*VLOOKUP('Données projet'!$B$17,Paramètres!$A$1:$I$89,3,0)*VLOOKUP('Données projet'!$B$17,Paramètres!$A$1:$I$89,5,0)</f>
        <v>-9.0449248091317723E-14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70.834027458412379</v>
      </c>
      <c r="GF115" s="62">
        <f t="shared" si="104"/>
        <v>74.346987922112362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5.6559515534069328E-12</v>
      </c>
      <c r="GO115" s="23">
        <f t="shared" si="81"/>
        <v>5.6559515534069328E-12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-1.1368683772161603E-13</v>
      </c>
      <c r="GV115" s="18">
        <f>GU115*VLOOKUP('Données projet'!$B$18,Paramètres!$A$1:$I$89,3,0)*VLOOKUP('Données projet'!$B$18,Paramètres!$A$1:$I$89,5,0)</f>
        <v>-8.8675733422860506E-14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99.222094917553648</v>
      </c>
      <c r="HA115" s="62">
        <f t="shared" si="106"/>
        <v>98.371477396766352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1.1767903833673135E-12</v>
      </c>
      <c r="HJ115" s="24">
        <f t="shared" si="84"/>
        <v>1.1767903833673135E-12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1.5961632016114892E-13</v>
      </c>
      <c r="P116" s="14">
        <f t="shared" si="87"/>
        <v>2.2708641912150958E-12</v>
      </c>
      <c r="Q116" s="22">
        <f t="shared" si="107"/>
        <v>4.2330868906469593E-12</v>
      </c>
      <c r="R116" s="62">
        <f t="shared" si="55"/>
        <v>293.33333333333752</v>
      </c>
      <c r="S116" s="62">
        <f ca="1">AVERAGE(OFFSET($R$3,0,0,'Données projet'!$E$9+1,1))-AVERAGE(OFFSET($H$3,0,0,'Données projet'!$E$9+1,1))</f>
        <v>181.48161394994878</v>
      </c>
      <c r="T116" s="62">
        <f t="shared" si="88"/>
        <v>141.1874974464024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325.2912</v>
      </c>
      <c r="AK116" s="14">
        <f t="shared" si="89"/>
        <v>76.453237715285965</v>
      </c>
      <c r="AL116" s="22">
        <f t="shared" si="58"/>
        <v>699.70489568745631</v>
      </c>
      <c r="AM116" s="62">
        <f t="shared" si="59"/>
        <v>993.03822902078969</v>
      </c>
      <c r="AN116" s="62">
        <f ca="1">AVERAGE(OFFSET($AM$3,0,0,'Données projet'!$E$10+1,1))-AVERAGE(OFFSET($H$3,0,0,'Données projet'!$E$10+1,1))</f>
        <v>340.81036749486179</v>
      </c>
      <c r="AO116" s="62">
        <f t="shared" si="90"/>
        <v>208.88199836488013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257.96727373333601</v>
      </c>
      <c r="BJ116" s="62">
        <f t="shared" si="92"/>
        <v>194.52809733694494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0.60528238029561343</v>
      </c>
      <c r="BR116" s="23">
        <f>EXP(-LN(2)/2)*BR115+(1-EXP(-LN(2)/2))/(LN(2)/2)*BL116*BO116*VLOOKUP('Données projet'!$B$11,Paramètres!$A$1:$I$89,3,0)*0.475*44/12</f>
        <v>4.5731853452555775E-12</v>
      </c>
      <c r="BS116" s="24">
        <f t="shared" si="63"/>
        <v>0.60528238030018666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290.25983999999994</v>
      </c>
      <c r="CA116" s="14">
        <f t="shared" si="93"/>
        <v>69.130646003237317</v>
      </c>
      <c r="CB116" s="22">
        <f t="shared" si="64"/>
        <v>625.93842978897146</v>
      </c>
      <c r="CC116" s="62">
        <f t="shared" si="65"/>
        <v>919.27176312230472</v>
      </c>
      <c r="CD116" s="62">
        <f ca="1">AVERAGE(OFFSET($CC$3,0,0,'Données projet'!$E$12+1,1))-AVERAGE(OFFSET($H$3,0,0,'Données projet'!$E$12+1,1))</f>
        <v>292.83612296867898</v>
      </c>
      <c r="CE116" s="62">
        <f t="shared" si="94"/>
        <v>180.48047802041276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9.0965873903390093E-12</v>
      </c>
      <c r="CN116" s="24">
        <f t="shared" si="66"/>
        <v>9.0965873903390093E-12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217.39999999999989</v>
      </c>
      <c r="CU116" s="18">
        <f>CT116*VLOOKUP('Données projet'!$B$13,Paramètres!$A$1:$I$89,3,0)*VLOOKUP('Données projet'!$B$13,Paramètres!$A$1:$I$89,5,0)</f>
        <v>247.57511999999988</v>
      </c>
      <c r="CV116" s="14">
        <f t="shared" si="95"/>
        <v>60.066395109103439</v>
      </c>
      <c r="CW116" s="22">
        <f t="shared" si="67"/>
        <v>535.808972148355</v>
      </c>
      <c r="CX116" s="62">
        <f t="shared" si="68"/>
        <v>829.14230548168825</v>
      </c>
      <c r="CY116" s="62">
        <f ca="1">AVERAGE(OFFSET($CX$3,0,0,'Données projet'!$E$13+1,1))-AVERAGE(OFFSET($H$3,0,0,'Données projet'!$E$13+1,1))</f>
        <v>192.93829651668403</v>
      </c>
      <c r="CZ116" s="62">
        <f t="shared" si="96"/>
        <v>76.592736352376903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</v>
      </c>
      <c r="DO116" s="13">
        <f>IF('Données projet'!$A$166&gt;35,DO115+DN116-DW115,IF(A116&lt;'Données projet'!$A$166,$DL$205^A116,IF(A116='Données projet'!$A$166,'Données projet'!$B$166,DO115+DN116-DW115)))</f>
        <v>217.39999999999989</v>
      </c>
      <c r="DP116" s="18">
        <f>DO116*VLOOKUP('Données projet'!$B$14,Paramètres!$A$1:$I$89,3,0)*VLOOKUP('Données projet'!$B$14,Paramètres!$A$1:$I$89,5,0)</f>
        <v>145.83191999999994</v>
      </c>
      <c r="DQ116" s="14">
        <f t="shared" si="97"/>
        <v>37.629826563073067</v>
      </c>
      <c r="DR116" s="22">
        <f t="shared" si="70"/>
        <v>319.52920859735212</v>
      </c>
      <c r="DS116" s="62">
        <f t="shared" si="71"/>
        <v>612.86254193068544</v>
      </c>
      <c r="DT116" s="62">
        <f ca="1">AVERAGE(OFFSET($DS$3,0,0,'Données projet'!$E$14+1,1))-AVERAGE(OFFSET($H$3,0,0,'Données projet'!$E$14+1,1))</f>
        <v>66.964554307546564</v>
      </c>
      <c r="DU116" s="62">
        <f t="shared" si="98"/>
        <v>21.162700178818568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2.8</v>
      </c>
      <c r="EJ116" s="13">
        <f>IF('Données projet'!$A$192&gt;35,EJ115+EI116-ER115,IF(A116&lt;'Données projet'!$A$192,$EG$205^A116,IF(A116='Données projet'!$A$192,'Données projet'!$B$192,EJ115+EI116-ER115)))</f>
        <v>217.39999999999989</v>
      </c>
      <c r="EK116" s="18">
        <f>EJ116*VLOOKUP('Données projet'!$B$15,Paramètres!$A$1:$I$89,3,0)*VLOOKUP('Données projet'!$B$15,Paramètres!$A$1:$I$89,5,0)</f>
        <v>210.2692799999999</v>
      </c>
      <c r="EL116" s="14">
        <f t="shared" si="99"/>
        <v>51.994425763876635</v>
      </c>
      <c r="EM116" s="22">
        <f t="shared" si="73"/>
        <v>456.77595420541826</v>
      </c>
      <c r="EN116" s="62">
        <f t="shared" si="74"/>
        <v>750.10928753875157</v>
      </c>
      <c r="EO116" s="62">
        <f ca="1">AVERAGE(OFFSET($EN$3,0,0,'Données projet'!$E$15+1,1))-AVERAGE(OFFSET($H$3,0,0,'Données projet'!$E$15+1,1))</f>
        <v>146.90952320473599</v>
      </c>
      <c r="EP116" s="62">
        <f t="shared" si="100"/>
        <v>56.347130462109817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2.8</v>
      </c>
      <c r="FE116" s="13">
        <f>IF('Données projet'!$A$218&gt;35,FE115+FD116-FM115,IF(A116&lt;'Données projet'!$A$218,$FB$205^A116,IF(A116='Données projet'!$A$218,'Données projet'!$B$218,FE115+FD116-FM115)))</f>
        <v>217.39999999999989</v>
      </c>
      <c r="FF116" s="18">
        <f>FE116*VLOOKUP('Données projet'!$B$16,Paramètres!$A$1:$I$89,3,0)*VLOOKUP('Données projet'!$B$16,Paramètres!$A$1:$I$89,5,0)</f>
        <v>234.00935999999987</v>
      </c>
      <c r="FG116" s="14">
        <f t="shared" si="101"/>
        <v>57.148725031005199</v>
      </c>
      <c r="FH116" s="22">
        <f t="shared" si="76"/>
        <v>507.10033142900039</v>
      </c>
      <c r="FI116" s="62">
        <f t="shared" si="77"/>
        <v>800.43366476233371</v>
      </c>
      <c r="FJ116" s="62">
        <f ca="1">AVERAGE(OFFSET($FI$3,0,0,'Données projet'!$E$16+1,1))-AVERAGE(OFFSET($H$3,0,0,'Données projet'!$E$16+1,1))</f>
        <v>176.21892815766847</v>
      </c>
      <c r="FK116" s="62">
        <f t="shared" si="102"/>
        <v>69.239647548491234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-1.1368683772161603E-13</v>
      </c>
      <c r="GA116" s="18">
        <f>FZ116*VLOOKUP('Données projet'!$B$17,Paramètres!$A$1:$I$89,3,0)*VLOOKUP('Données projet'!$B$17,Paramètres!$A$1:$I$89,5,0)</f>
        <v>-9.0449248091317723E-14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70.834027458412379</v>
      </c>
      <c r="GF116" s="62">
        <f t="shared" si="104"/>
        <v>74.346987922112362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3.9993616974766296E-12</v>
      </c>
      <c r="GO116" s="23">
        <f t="shared" si="81"/>
        <v>3.9993616974766296E-12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-1.1368683772161603E-13</v>
      </c>
      <c r="GV116" s="18">
        <f>GU116*VLOOKUP('Données projet'!$B$18,Paramètres!$A$1:$I$89,3,0)*VLOOKUP('Données projet'!$B$18,Paramètres!$A$1:$I$89,5,0)</f>
        <v>-8.8675733422860506E-14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99.222094917553648</v>
      </c>
      <c r="HA116" s="62">
        <f t="shared" si="106"/>
        <v>98.371477396766352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8.3211646011414431E-13</v>
      </c>
      <c r="HJ116" s="24">
        <f t="shared" si="84"/>
        <v>8.3211646011414431E-13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1.5961632016114892E-13</v>
      </c>
      <c r="P117" s="14">
        <f t="shared" si="87"/>
        <v>2.2708641912150958E-12</v>
      </c>
      <c r="Q117" s="22">
        <f t="shared" si="107"/>
        <v>4.2330868906469593E-12</v>
      </c>
      <c r="R117" s="62">
        <f t="shared" si="55"/>
        <v>293.33333333333752</v>
      </c>
      <c r="S117" s="62">
        <f ca="1">AVERAGE(OFFSET($R$3,0,0,'Données projet'!$E$9+1,1))-AVERAGE(OFFSET($H$3,0,0,'Données projet'!$E$9+1,1))</f>
        <v>181.48161394994878</v>
      </c>
      <c r="T117" s="62">
        <f t="shared" si="88"/>
        <v>141.1874974464024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329.9556</v>
      </c>
      <c r="AK117" s="14">
        <f t="shared" si="89"/>
        <v>77.421101846941795</v>
      </c>
      <c r="AL117" s="22">
        <f t="shared" si="58"/>
        <v>709.51442238342361</v>
      </c>
      <c r="AM117" s="62">
        <f t="shared" si="59"/>
        <v>1002.8477557167569</v>
      </c>
      <c r="AN117" s="62">
        <f ca="1">AVERAGE(OFFSET($AM$3,0,0,'Données projet'!$E$10+1,1))-AVERAGE(OFFSET($H$3,0,0,'Données projet'!$E$10+1,1))</f>
        <v>340.81036749486179</v>
      </c>
      <c r="AO117" s="62">
        <f t="shared" si="90"/>
        <v>208.88199836488013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257.96727373333601</v>
      </c>
      <c r="BJ117" s="62">
        <f t="shared" si="92"/>
        <v>194.52809733694494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0.58873090177601295</v>
      </c>
      <c r="BR117" s="23">
        <f>EXP(-LN(2)/2)*BR116+(1-EXP(-LN(2)/2))/(LN(2)/2)*BL117*BO117*VLOOKUP('Données projet'!$B$11,Paramètres!$A$1:$I$89,3,0)*0.475*44/12</f>
        <v>3.2337303692531615E-12</v>
      </c>
      <c r="BS117" s="24">
        <f t="shared" si="63"/>
        <v>0.5887309017792467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294.42191999999994</v>
      </c>
      <c r="CA117" s="14">
        <f t="shared" si="93"/>
        <v>70.005809366676559</v>
      </c>
      <c r="CB117" s="22">
        <f t="shared" si="64"/>
        <v>634.71162864696146</v>
      </c>
      <c r="CC117" s="62">
        <f t="shared" si="65"/>
        <v>928.04496198029483</v>
      </c>
      <c r="CD117" s="62">
        <f ca="1">AVERAGE(OFFSET($CC$3,0,0,'Données projet'!$E$12+1,1))-AVERAGE(OFFSET($H$3,0,0,'Données projet'!$E$12+1,1))</f>
        <v>292.83612296867898</v>
      </c>
      <c r="CE117" s="62">
        <f t="shared" si="94"/>
        <v>180.48047802041276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6.4322586293647533E-12</v>
      </c>
      <c r="CN117" s="24">
        <f t="shared" si="66"/>
        <v>6.4322586293647533E-12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220.1999999999999</v>
      </c>
      <c r="CU117" s="18">
        <f>CT117*VLOOKUP('Données projet'!$B$13,Paramètres!$A$1:$I$89,3,0)*VLOOKUP('Données projet'!$B$13,Paramètres!$A$1:$I$89,5,0)</f>
        <v>250.76375999999988</v>
      </c>
      <c r="CV117" s="14">
        <f t="shared" si="95"/>
        <v>60.749459514938685</v>
      </c>
      <c r="CW117" s="22">
        <f t="shared" si="67"/>
        <v>542.55219065518463</v>
      </c>
      <c r="CX117" s="62">
        <f t="shared" si="68"/>
        <v>835.88552398851789</v>
      </c>
      <c r="CY117" s="62">
        <f ca="1">AVERAGE(OFFSET($CX$3,0,0,'Données projet'!$E$13+1,1))-AVERAGE(OFFSET($H$3,0,0,'Données projet'!$E$13+1,1))</f>
        <v>192.93829651668403</v>
      </c>
      <c r="CZ117" s="62">
        <f t="shared" si="96"/>
        <v>76.592736352376903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</v>
      </c>
      <c r="DO117" s="13">
        <f>IF('Données projet'!$A$166&gt;35,DO116+DN117-DW116,IF(A117&lt;'Données projet'!$A$166,$DL$205^A117,IF(A117='Données projet'!$A$166,'Données projet'!$B$166,DO116+DN117-DW116)))</f>
        <v>220.1999999999999</v>
      </c>
      <c r="DP117" s="18">
        <f>DO117*VLOOKUP('Données projet'!$B$14,Paramètres!$A$1:$I$89,3,0)*VLOOKUP('Données projet'!$B$14,Paramètres!$A$1:$I$89,5,0)</f>
        <v>147.71015999999992</v>
      </c>
      <c r="DQ117" s="14">
        <f t="shared" si="97"/>
        <v>38.057746285511904</v>
      </c>
      <c r="DR117" s="22">
        <f t="shared" si="70"/>
        <v>323.54577011393309</v>
      </c>
      <c r="DS117" s="62">
        <f t="shared" si="71"/>
        <v>616.8791034472664</v>
      </c>
      <c r="DT117" s="62">
        <f ca="1">AVERAGE(OFFSET($DS$3,0,0,'Données projet'!$E$14+1,1))-AVERAGE(OFFSET($H$3,0,0,'Données projet'!$E$14+1,1))</f>
        <v>66.964554307546564</v>
      </c>
      <c r="DU117" s="62">
        <f t="shared" si="98"/>
        <v>21.162700178818568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2.8</v>
      </c>
      <c r="EJ117" s="13">
        <f>IF('Données projet'!$A$192&gt;35,EJ116+EI117-ER116,IF(A117&lt;'Données projet'!$A$192,$EG$205^A117,IF(A117='Données projet'!$A$192,'Données projet'!$B$192,EJ116+EI117-ER116)))</f>
        <v>220.1999999999999</v>
      </c>
      <c r="EK117" s="18">
        <f>EJ117*VLOOKUP('Données projet'!$B$15,Paramètres!$A$1:$I$89,3,0)*VLOOKUP('Données projet'!$B$15,Paramètres!$A$1:$I$89,5,0)</f>
        <v>212.97743999999992</v>
      </c>
      <c r="EL117" s="14">
        <f t="shared" si="99"/>
        <v>52.585697164076983</v>
      </c>
      <c r="EM117" s="22">
        <f t="shared" si="73"/>
        <v>462.52246389410061</v>
      </c>
      <c r="EN117" s="62">
        <f t="shared" si="74"/>
        <v>755.85579722743387</v>
      </c>
      <c r="EO117" s="62">
        <f ca="1">AVERAGE(OFFSET($EN$3,0,0,'Données projet'!$E$15+1,1))-AVERAGE(OFFSET($H$3,0,0,'Données projet'!$E$15+1,1))</f>
        <v>146.90952320473599</v>
      </c>
      <c r="EP117" s="62">
        <f t="shared" si="100"/>
        <v>56.347130462109817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2.8</v>
      </c>
      <c r="FE117" s="13">
        <f>IF('Données projet'!$A$218&gt;35,FE116+FD117-FM116,IF(A117&lt;'Données projet'!$A$218,$FB$205^A117,IF(A117='Données projet'!$A$218,'Données projet'!$B$218,FE116+FD117-FM116)))</f>
        <v>220.1999999999999</v>
      </c>
      <c r="FF117" s="18">
        <f>FE117*VLOOKUP('Données projet'!$B$16,Paramètres!$A$1:$I$89,3,0)*VLOOKUP('Données projet'!$B$16,Paramètres!$A$1:$I$89,5,0)</f>
        <v>237.02327999999991</v>
      </c>
      <c r="FG117" s="14">
        <f t="shared" si="101"/>
        <v>57.798610209508759</v>
      </c>
      <c r="FH117" s="22">
        <f t="shared" si="76"/>
        <v>513.48145878156095</v>
      </c>
      <c r="FI117" s="62">
        <f t="shared" si="77"/>
        <v>806.81479211489432</v>
      </c>
      <c r="FJ117" s="62">
        <f ca="1">AVERAGE(OFFSET($FI$3,0,0,'Données projet'!$E$16+1,1))-AVERAGE(OFFSET($H$3,0,0,'Données projet'!$E$16+1,1))</f>
        <v>176.21892815766847</v>
      </c>
      <c r="FK117" s="62">
        <f t="shared" si="102"/>
        <v>69.239647548491234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-1.1368683772161603E-13</v>
      </c>
      <c r="GA117" s="18">
        <f>FZ117*VLOOKUP('Données projet'!$B$17,Paramètres!$A$1:$I$89,3,0)*VLOOKUP('Données projet'!$B$17,Paramètres!$A$1:$I$89,5,0)</f>
        <v>-9.0449248091317723E-14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70.834027458412379</v>
      </c>
      <c r="GF117" s="62">
        <f t="shared" si="104"/>
        <v>74.346987922112362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2.8279757767034664E-12</v>
      </c>
      <c r="GO117" s="23">
        <f t="shared" si="81"/>
        <v>2.8279757767034664E-12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-1.1368683772161603E-13</v>
      </c>
      <c r="GV117" s="18">
        <f>GU117*VLOOKUP('Données projet'!$B$18,Paramètres!$A$1:$I$89,3,0)*VLOOKUP('Données projet'!$B$18,Paramètres!$A$1:$I$89,5,0)</f>
        <v>-8.8675733422860506E-14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99.222094917553648</v>
      </c>
      <c r="HA117" s="62">
        <f t="shared" si="106"/>
        <v>98.371477396766352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5.8839519168365673E-13</v>
      </c>
      <c r="HJ117" s="24">
        <f t="shared" si="84"/>
        <v>5.8839519168365673E-13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1.5961632016114892E-13</v>
      </c>
      <c r="P118" s="14">
        <f t="shared" si="87"/>
        <v>2.2708641912150958E-12</v>
      </c>
      <c r="Q118" s="22">
        <f t="shared" si="107"/>
        <v>4.2330868906469593E-12</v>
      </c>
      <c r="R118" s="62">
        <f t="shared" si="55"/>
        <v>293.33333333333752</v>
      </c>
      <c r="S118" s="62">
        <f ca="1">AVERAGE(OFFSET($R$3,0,0,'Données projet'!$E$9+1,1))-AVERAGE(OFFSET($H$3,0,0,'Données projet'!$E$9+1,1))</f>
        <v>181.48161394994878</v>
      </c>
      <c r="T118" s="62">
        <f t="shared" si="88"/>
        <v>141.1874974464024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334.62</v>
      </c>
      <c r="AK118" s="14">
        <f t="shared" si="89"/>
        <v>78.387374628661505</v>
      </c>
      <c r="AL118" s="22">
        <f t="shared" si="58"/>
        <v>719.32117747825214</v>
      </c>
      <c r="AM118" s="62">
        <f t="shared" si="59"/>
        <v>1012.6545108115854</v>
      </c>
      <c r="AN118" s="62">
        <f ca="1">AVERAGE(OFFSET($AM$3,0,0,'Données projet'!$E$10+1,1))-AVERAGE(OFFSET($H$3,0,0,'Données projet'!$E$10+1,1))</f>
        <v>340.81036749486179</v>
      </c>
      <c r="AO118" s="62">
        <f t="shared" si="90"/>
        <v>208.88199836488013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257.96727373333601</v>
      </c>
      <c r="BJ118" s="62">
        <f t="shared" si="92"/>
        <v>194.52809733694494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0.57263202430693527</v>
      </c>
      <c r="BR118" s="23">
        <f>EXP(-LN(2)/2)*BR117+(1-EXP(-LN(2)/2))/(LN(2)/2)*BL118*BO118*VLOOKUP('Données projet'!$B$11,Paramètres!$A$1:$I$89,3,0)*0.475*44/12</f>
        <v>2.2865926726277888E-12</v>
      </c>
      <c r="BS118" s="24">
        <f t="shared" si="63"/>
        <v>0.57263202430922189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298.58399999999995</v>
      </c>
      <c r="CA118" s="14">
        <f t="shared" si="93"/>
        <v>70.879533797607607</v>
      </c>
      <c r="CB118" s="22">
        <f t="shared" si="64"/>
        <v>643.48232136416652</v>
      </c>
      <c r="CC118" s="62">
        <f t="shared" si="65"/>
        <v>936.81565469749989</v>
      </c>
      <c r="CD118" s="62">
        <f ca="1">AVERAGE(OFFSET($CC$3,0,0,'Données projet'!$E$12+1,1))-AVERAGE(OFFSET($H$3,0,0,'Données projet'!$E$12+1,1))</f>
        <v>292.83612296867898</v>
      </c>
      <c r="CE118" s="62">
        <f t="shared" si="94"/>
        <v>180.48047802041276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4.5482936951695046E-12</v>
      </c>
      <c r="CN118" s="24">
        <f t="shared" si="66"/>
        <v>4.5482936951695046E-12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223</v>
      </c>
      <c r="CR118" s="13">
        <f>VLOOKUP(A118,'Données projet'!$A$139:$I$159,9,0)</f>
        <v>2.8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222.99999999999991</v>
      </c>
      <c r="CU118" s="18">
        <f>CT118*VLOOKUP('Données projet'!$B$13,Paramètres!$A$1:$I$89,3,0)*VLOOKUP('Données projet'!$B$13,Paramètres!$A$1:$I$89,5,0)</f>
        <v>253.9523999999999</v>
      </c>
      <c r="CV118" s="14">
        <f t="shared" si="95"/>
        <v>61.431513630048308</v>
      </c>
      <c r="CW118" s="22">
        <f t="shared" si="67"/>
        <v>549.29364957233395</v>
      </c>
      <c r="CX118" s="62">
        <f t="shared" si="68"/>
        <v>842.62698290566732</v>
      </c>
      <c r="CY118" s="62">
        <f ca="1">AVERAGE(OFFSET($CX$3,0,0,'Données projet'!$E$13+1,1))-AVERAGE(OFFSET($H$3,0,0,'Données projet'!$E$13+1,1))</f>
        <v>192.93829651668403</v>
      </c>
      <c r="CZ118" s="62">
        <f t="shared" si="96"/>
        <v>76.592736352376903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13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223</v>
      </c>
      <c r="DM118" s="13">
        <f>VLOOKUP(A118,'Données projet'!$A$165:$I$185,9,0)</f>
        <v>2.8</v>
      </c>
      <c r="DN118" s="13">
        <f t="array" ref="DN118">INDEX(DM:DM,MIN(IF(ISNUMBER(DM118:DM314),ROW(DM118:DM314),"")))</f>
        <v>2.8</v>
      </c>
      <c r="DO118" s="13">
        <f>IF('Données projet'!$A$166&gt;35,DO117+DN118-DW117,IF(A118&lt;'Données projet'!$A$166,$DL$205^A118,IF(A118='Données projet'!$A$166,'Données projet'!$B$166,DO117+DN118-DW117)))</f>
        <v>222.99999999999991</v>
      </c>
      <c r="DP118" s="18">
        <f>DO118*VLOOKUP('Données projet'!$B$14,Paramètres!$A$1:$I$89,3,0)*VLOOKUP('Données projet'!$B$14,Paramètres!$A$1:$I$89,5,0)</f>
        <v>149.58839999999995</v>
      </c>
      <c r="DQ118" s="14">
        <f t="shared" si="97"/>
        <v>38.485033090581311</v>
      </c>
      <c r="DR118" s="22">
        <f t="shared" si="70"/>
        <v>327.56122929942904</v>
      </c>
      <c r="DS118" s="62">
        <f t="shared" si="71"/>
        <v>620.89456263276236</v>
      </c>
      <c r="DT118" s="62">
        <f ca="1">AVERAGE(OFFSET($DS$3,0,0,'Données projet'!$E$14+1,1))-AVERAGE(OFFSET($H$3,0,0,'Données projet'!$E$14+1,1))</f>
        <v>66.964554307546564</v>
      </c>
      <c r="DU118" s="62">
        <f t="shared" si="98"/>
        <v>21.162700178818568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13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223</v>
      </c>
      <c r="EH118" s="13">
        <f>VLOOKUP(A118,'Données projet'!$A$191:$I$211,9,0)</f>
        <v>2.8</v>
      </c>
      <c r="EI118" s="13">
        <f t="array" ref="EI118">INDEX(EH:EH,MIN(IF(ISNUMBER(EH118:EH314),ROW(EH118:EH314),"")))</f>
        <v>2.8</v>
      </c>
      <c r="EJ118" s="13">
        <f>IF('Données projet'!$A$192&gt;35,EJ117+EI118-ER117,IF(A118&lt;'Données projet'!$A$192,$EG$205^A118,IF(A118='Données projet'!$A$192,'Données projet'!$B$192,EJ117+EI118-ER117)))</f>
        <v>222.99999999999991</v>
      </c>
      <c r="EK118" s="18">
        <f>EJ118*VLOOKUP('Données projet'!$B$15,Paramètres!$A$1:$I$89,3,0)*VLOOKUP('Données projet'!$B$15,Paramètres!$A$1:$I$89,5,0)</f>
        <v>215.68559999999991</v>
      </c>
      <c r="EL118" s="14">
        <f t="shared" si="99"/>
        <v>53.176094040576679</v>
      </c>
      <c r="EM118" s="22">
        <f t="shared" si="73"/>
        <v>468.26745045400418</v>
      </c>
      <c r="EN118" s="62">
        <f t="shared" si="74"/>
        <v>761.60078378733749</v>
      </c>
      <c r="EO118" s="62">
        <f ca="1">AVERAGE(OFFSET($EN$3,0,0,'Données projet'!$E$15+1,1))-AVERAGE(OFFSET($H$3,0,0,'Données projet'!$E$15+1,1))</f>
        <v>146.90952320473599</v>
      </c>
      <c r="EP118" s="62">
        <f t="shared" si="100"/>
        <v>56.347130462109817</v>
      </c>
      <c r="EQ118" s="16">
        <f>IF(ISNA(VLOOKUP(A118,'Données projet'!$A$191:$I$211,3,0)),0,VLOOKUP(A118,'Données projet'!$A$191:$I$211,3,0))</f>
        <v>19</v>
      </c>
      <c r="ER118" s="16">
        <f>IF(ISNA(VLOOKUP(A118,'Données projet'!$A$191:$I$211,4,0)),0,VLOOKUP(A118,'Données projet'!$A$191:$I$211,4,0))</f>
        <v>13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223</v>
      </c>
      <c r="FC118" s="13">
        <f>VLOOKUP(A118,'Données projet'!$A$217:$I$237,9,0)</f>
        <v>2.8</v>
      </c>
      <c r="FD118" s="13">
        <f t="array" ref="FD118">INDEX(FC:FC,MIN(IF(ISNUMBER(FC118:FC314),ROW(FC118:FC314),"")))</f>
        <v>2.8</v>
      </c>
      <c r="FE118" s="13">
        <f>IF('Données projet'!$A$218&gt;35,FE117+FD118-FM117,IF(A118&lt;'Données projet'!$A$218,$FB$205^A118,IF(A118='Données projet'!$A$218,'Données projet'!$B$218,FE117+FD118-FM117)))</f>
        <v>222.99999999999991</v>
      </c>
      <c r="FF118" s="18">
        <f>FE118*VLOOKUP('Données projet'!$B$16,Paramètres!$A$1:$I$89,3,0)*VLOOKUP('Données projet'!$B$16,Paramètres!$A$1:$I$89,5,0)</f>
        <v>240.03719999999987</v>
      </c>
      <c r="FG118" s="14">
        <f t="shared" si="101"/>
        <v>58.447534171232491</v>
      </c>
      <c r="FH118" s="22">
        <f t="shared" si="76"/>
        <v>519.86091201489637</v>
      </c>
      <c r="FI118" s="62">
        <f t="shared" si="77"/>
        <v>813.19424534822974</v>
      </c>
      <c r="FJ118" s="62">
        <f ca="1">AVERAGE(OFFSET($FI$3,0,0,'Données projet'!$E$16+1,1))-AVERAGE(OFFSET($H$3,0,0,'Données projet'!$E$16+1,1))</f>
        <v>176.21892815766847</v>
      </c>
      <c r="FK118" s="62">
        <f t="shared" si="102"/>
        <v>69.239647548491234</v>
      </c>
      <c r="FL118" s="16">
        <f>IF(ISNA(VLOOKUP(A118,'Données projet'!$A$217:$I$237,3,0)),0,VLOOKUP(A118,'Données projet'!$A$217:$I$237,3,0))</f>
        <v>19</v>
      </c>
      <c r="FM118" s="16">
        <f>IF(ISNA(VLOOKUP(A118,'Données projet'!$A$217:$I$237,4,0)),0,VLOOKUP(A118,'Données projet'!$A$217:$I$237,4,0))</f>
        <v>13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-1.1368683772161603E-13</v>
      </c>
      <c r="GA118" s="18">
        <f>FZ118*VLOOKUP('Données projet'!$B$17,Paramètres!$A$1:$I$89,3,0)*VLOOKUP('Données projet'!$B$17,Paramètres!$A$1:$I$89,5,0)</f>
        <v>-9.0449248091317723E-14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70.834027458412379</v>
      </c>
      <c r="GF118" s="62">
        <f t="shared" si="104"/>
        <v>74.346987922112362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1.9996808487383148E-12</v>
      </c>
      <c r="GO118" s="23">
        <f t="shared" si="81"/>
        <v>1.9996808487383148E-12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-1.1368683772161603E-13</v>
      </c>
      <c r="GV118" s="18">
        <f>GU118*VLOOKUP('Données projet'!$B$18,Paramètres!$A$1:$I$89,3,0)*VLOOKUP('Données projet'!$B$18,Paramètres!$A$1:$I$89,5,0)</f>
        <v>-8.8675733422860506E-14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99.222094917553648</v>
      </c>
      <c r="HA118" s="62">
        <f t="shared" si="106"/>
        <v>98.371477396766352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4.1605823005707215E-13</v>
      </c>
      <c r="HJ118" s="24">
        <f t="shared" si="84"/>
        <v>4.1605823005707215E-13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1.5961632016114892E-13</v>
      </c>
      <c r="P119" s="14">
        <f t="shared" si="87"/>
        <v>2.2708641912150958E-12</v>
      </c>
      <c r="Q119" s="22">
        <f t="shared" si="107"/>
        <v>4.2330868906469593E-12</v>
      </c>
      <c r="R119" s="62">
        <f t="shared" si="55"/>
        <v>293.33333333333752</v>
      </c>
      <c r="S119" s="62">
        <f ca="1">AVERAGE(OFFSET($R$3,0,0,'Données projet'!$E$9+1,1))-AVERAGE(OFFSET($H$3,0,0,'Données projet'!$E$9+1,1))</f>
        <v>181.48161394994878</v>
      </c>
      <c r="T119" s="62">
        <f t="shared" si="88"/>
        <v>141.1874974464024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340.81036749486179</v>
      </c>
      <c r="AO119" s="62">
        <f t="shared" si="90"/>
        <v>208.88199836488013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257.96727373333601</v>
      </c>
      <c r="BJ119" s="62">
        <f t="shared" si="92"/>
        <v>194.52809733694494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0.55697337148885273</v>
      </c>
      <c r="BR119" s="23">
        <f>EXP(-LN(2)/2)*BR118+(1-EXP(-LN(2)/2))/(LN(2)/2)*BL119*BO119*VLOOKUP('Données projet'!$B$11,Paramètres!$A$1:$I$89,3,0)*0.475*44/12</f>
        <v>1.6168651846265807E-12</v>
      </c>
      <c r="BS119" s="24">
        <f t="shared" si="63"/>
        <v>0.55697337149046955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292.83612296867898</v>
      </c>
      <c r="CE119" s="62">
        <f t="shared" si="94"/>
        <v>180.48047802041276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3.2161293146823767E-12</v>
      </c>
      <c r="CN119" s="24">
        <f t="shared" si="66"/>
        <v>3.2161293146823767E-12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</v>
      </c>
      <c r="CT119" s="13">
        <f>IF('Données projet'!$A$140&gt;35,CT118+CS119-DB118,IF(A119&lt;'Données projet'!$A$140,$CQ$205^A119,IF(A119='Données projet'!$A$140,'Données projet'!$B$140,CT118+CS119-DB118)))</f>
        <v>212.39999999999992</v>
      </c>
      <c r="CU119" s="18">
        <f>CT119*VLOOKUP('Données projet'!$B$13,Paramètres!$A$1:$I$89,3,0)*VLOOKUP('Données projet'!$B$13,Paramètres!$A$1:$I$89,5,0)</f>
        <v>241.8811199999999</v>
      </c>
      <c r="CV119" s="14">
        <f t="shared" si="95"/>
        <v>58.84407852287837</v>
      </c>
      <c r="CW119" s="22">
        <f t="shared" si="67"/>
        <v>523.76305409401289</v>
      </c>
      <c r="CX119" s="62">
        <f t="shared" si="68"/>
        <v>817.09638742734614</v>
      </c>
      <c r="CY119" s="62">
        <f ca="1">AVERAGE(OFFSET($CX$3,0,0,'Données projet'!$E$13+1,1))-AVERAGE(OFFSET($H$3,0,0,'Données projet'!$E$13+1,1))</f>
        <v>192.93829651668403</v>
      </c>
      <c r="CZ119" s="62">
        <f t="shared" si="96"/>
        <v>76.592736352376903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2.4</v>
      </c>
      <c r="DO119" s="13">
        <f>IF('Données projet'!$A$166&gt;35,DO118+DN119-DW118,IF(A119&lt;'Données projet'!$A$166,$DL$205^A119,IF(A119='Données projet'!$A$166,'Données projet'!$B$166,DO118+DN119-DW118)))</f>
        <v>212.39999999999992</v>
      </c>
      <c r="DP119" s="18">
        <f>DO119*VLOOKUP('Données projet'!$B$14,Paramètres!$A$1:$I$89,3,0)*VLOOKUP('Données projet'!$B$14,Paramètres!$A$1:$I$89,5,0)</f>
        <v>142.47791999999995</v>
      </c>
      <c r="DQ119" s="14">
        <f t="shared" si="97"/>
        <v>36.864081239730965</v>
      </c>
      <c r="DR119" s="22">
        <f t="shared" si="70"/>
        <v>312.35398549253131</v>
      </c>
      <c r="DS119" s="62">
        <f t="shared" si="71"/>
        <v>605.68731882586462</v>
      </c>
      <c r="DT119" s="62">
        <f ca="1">AVERAGE(OFFSET($DS$3,0,0,'Données projet'!$E$14+1,1))-AVERAGE(OFFSET($H$3,0,0,'Données projet'!$E$14+1,1))</f>
        <v>66.964554307546564</v>
      </c>
      <c r="DU119" s="62">
        <f t="shared" si="98"/>
        <v>21.162700178818568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2.4</v>
      </c>
      <c r="EJ119" s="13">
        <f>IF('Données projet'!$A$192&gt;35,EJ118+EI119-ER118,IF(A119&lt;'Données projet'!$A$192,$EG$205^A119,IF(A119='Données projet'!$A$192,'Données projet'!$B$192,EJ118+EI119-ER118)))</f>
        <v>212.39999999999992</v>
      </c>
      <c r="EK119" s="18">
        <f>EJ119*VLOOKUP('Données projet'!$B$15,Paramètres!$A$1:$I$89,3,0)*VLOOKUP('Données projet'!$B$15,Paramètres!$A$1:$I$89,5,0)</f>
        <v>205.43327999999994</v>
      </c>
      <c r="EL119" s="14">
        <f t="shared" si="99"/>
        <v>50.93636911028532</v>
      </c>
      <c r="EM119" s="22">
        <f t="shared" si="73"/>
        <v>446.51047220041346</v>
      </c>
      <c r="EN119" s="62">
        <f t="shared" si="74"/>
        <v>739.84380553374672</v>
      </c>
      <c r="EO119" s="62">
        <f ca="1">AVERAGE(OFFSET($EN$3,0,0,'Données projet'!$E$15+1,1))-AVERAGE(OFFSET($H$3,0,0,'Données projet'!$E$15+1,1))</f>
        <v>146.90952320473599</v>
      </c>
      <c r="EP119" s="62">
        <f t="shared" si="100"/>
        <v>56.347130462109817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2.4</v>
      </c>
      <c r="FE119" s="13">
        <f>IF('Données projet'!$A$218&gt;35,FE118+FD119-FM118,IF(A119&lt;'Données projet'!$A$218,$FB$205^A119,IF(A119='Données projet'!$A$218,'Données projet'!$B$218,FE118+FD119-FM118)))</f>
        <v>212.39999999999992</v>
      </c>
      <c r="FF119" s="18">
        <f>FE119*VLOOKUP('Données projet'!$B$16,Paramètres!$A$1:$I$89,3,0)*VLOOKUP('Données projet'!$B$16,Paramètres!$A$1:$I$89,5,0)</f>
        <v>228.6273599999999</v>
      </c>
      <c r="FG119" s="14">
        <f t="shared" si="101"/>
        <v>55.985781352428646</v>
      </c>
      <c r="FH119" s="22">
        <f t="shared" si="76"/>
        <v>495.70122118881301</v>
      </c>
      <c r="FI119" s="62">
        <f t="shared" si="77"/>
        <v>789.03455452214632</v>
      </c>
      <c r="FJ119" s="62">
        <f ca="1">AVERAGE(OFFSET($FI$3,0,0,'Données projet'!$E$16+1,1))-AVERAGE(OFFSET($H$3,0,0,'Données projet'!$E$16+1,1))</f>
        <v>176.21892815766847</v>
      </c>
      <c r="FK119" s="62">
        <f t="shared" si="102"/>
        <v>69.239647548491234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-1.1368683772161603E-13</v>
      </c>
      <c r="GA119" s="18">
        <f>FZ119*VLOOKUP('Données projet'!$B$17,Paramètres!$A$1:$I$89,3,0)*VLOOKUP('Données projet'!$B$17,Paramètres!$A$1:$I$89,5,0)</f>
        <v>-9.0449248091317723E-14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70.834027458412379</v>
      </c>
      <c r="GF119" s="62">
        <f t="shared" si="104"/>
        <v>74.346987922112362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1.4139878883517332E-12</v>
      </c>
      <c r="GO119" s="23">
        <f t="shared" si="81"/>
        <v>1.4139878883517332E-12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-1.1368683772161603E-13</v>
      </c>
      <c r="GV119" s="18">
        <f>GU119*VLOOKUP('Données projet'!$B$18,Paramètres!$A$1:$I$89,3,0)*VLOOKUP('Données projet'!$B$18,Paramètres!$A$1:$I$89,5,0)</f>
        <v>-8.8675733422860506E-14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99.222094917553648</v>
      </c>
      <c r="HA119" s="62">
        <f t="shared" si="106"/>
        <v>98.371477396766352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2.9419759584182837E-13</v>
      </c>
      <c r="HJ119" s="24">
        <f t="shared" si="84"/>
        <v>2.9419759584182837E-13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1.5961632016114892E-13</v>
      </c>
      <c r="P120" s="14">
        <f t="shared" si="87"/>
        <v>2.2708641912150958E-12</v>
      </c>
      <c r="Q120" s="22">
        <f t="shared" si="107"/>
        <v>4.2330868906469593E-12</v>
      </c>
      <c r="R120" s="62">
        <f t="shared" si="55"/>
        <v>293.33333333333752</v>
      </c>
      <c r="S120" s="62">
        <f ca="1">AVERAGE(OFFSET($R$3,0,0,'Données projet'!$E$9+1,1))-AVERAGE(OFFSET($H$3,0,0,'Données projet'!$E$9+1,1))</f>
        <v>181.48161394994878</v>
      </c>
      <c r="T120" s="62">
        <f t="shared" si="88"/>
        <v>141.1874974464024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340.81036749486179</v>
      </c>
      <c r="AO120" s="62">
        <f t="shared" si="90"/>
        <v>208.88199836488013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257.96727373333601</v>
      </c>
      <c r="BJ120" s="62">
        <f t="shared" si="92"/>
        <v>194.52809733694494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0.54174290535553338</v>
      </c>
      <c r="BR120" s="23">
        <f>EXP(-LN(2)/2)*BR119+(1-EXP(-LN(2)/2))/(LN(2)/2)*BL120*BO120*VLOOKUP('Données projet'!$B$11,Paramètres!$A$1:$I$89,3,0)*0.475*44/12</f>
        <v>1.1432963363138944E-12</v>
      </c>
      <c r="BS120" s="24">
        <f t="shared" si="63"/>
        <v>0.54174290535667669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292.83612296867898</v>
      </c>
      <c r="CE120" s="62">
        <f t="shared" si="94"/>
        <v>180.48047802041276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2.2741468475847523E-12</v>
      </c>
      <c r="CN120" s="24">
        <f t="shared" si="66"/>
        <v>2.2741468475847523E-12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</v>
      </c>
      <c r="CT120" s="13">
        <f>IF('Données projet'!$A$140&gt;35,CT119+CS120-DB119,IF(A120&lt;'Données projet'!$A$140,$CQ$205^A120,IF(A120='Données projet'!$A$140,'Données projet'!$B$140,CT119+CS120-DB119)))</f>
        <v>214.79999999999993</v>
      </c>
      <c r="CU120" s="18">
        <f>CT120*VLOOKUP('Données projet'!$B$13,Paramètres!$A$1:$I$89,3,0)*VLOOKUP('Données projet'!$B$13,Paramètres!$A$1:$I$89,5,0)</f>
        <v>244.61423999999991</v>
      </c>
      <c r="CV120" s="14">
        <f t="shared" si="95"/>
        <v>59.431203693842598</v>
      </c>
      <c r="CW120" s="22">
        <f t="shared" si="67"/>
        <v>529.54581443344239</v>
      </c>
      <c r="CX120" s="62">
        <f t="shared" si="68"/>
        <v>822.87914776677576</v>
      </c>
      <c r="CY120" s="62">
        <f ca="1">AVERAGE(OFFSET($CX$3,0,0,'Données projet'!$E$13+1,1))-AVERAGE(OFFSET($H$3,0,0,'Données projet'!$E$13+1,1))</f>
        <v>192.93829651668403</v>
      </c>
      <c r="CZ120" s="62">
        <f t="shared" si="96"/>
        <v>76.592736352376903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2.4</v>
      </c>
      <c r="DO120" s="13">
        <f>IF('Données projet'!$A$166&gt;35,DO119+DN120-DW119,IF(A120&lt;'Données projet'!$A$166,$DL$205^A120,IF(A120='Données projet'!$A$166,'Données projet'!$B$166,DO119+DN120-DW119)))</f>
        <v>214.79999999999993</v>
      </c>
      <c r="DP120" s="18">
        <f>DO120*VLOOKUP('Données projet'!$B$14,Paramètres!$A$1:$I$89,3,0)*VLOOKUP('Données projet'!$B$14,Paramètres!$A$1:$I$89,5,0)</f>
        <v>144.08783999999994</v>
      </c>
      <c r="DQ120" s="14">
        <f t="shared" si="97"/>
        <v>37.231897858558654</v>
      </c>
      <c r="DR120" s="22">
        <f t="shared" si="70"/>
        <v>315.79854343698958</v>
      </c>
      <c r="DS120" s="62">
        <f t="shared" si="71"/>
        <v>609.13187677032283</v>
      </c>
      <c r="DT120" s="62">
        <f ca="1">AVERAGE(OFFSET($DS$3,0,0,'Données projet'!$E$14+1,1))-AVERAGE(OFFSET($H$3,0,0,'Données projet'!$E$14+1,1))</f>
        <v>66.964554307546564</v>
      </c>
      <c r="DU120" s="62">
        <f t="shared" si="98"/>
        <v>21.162700178818568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2.4</v>
      </c>
      <c r="EJ120" s="13">
        <f>IF('Données projet'!$A$192&gt;35,EJ119+EI120-ER119,IF(A120&lt;'Données projet'!$A$192,$EG$205^A120,IF(A120='Données projet'!$A$192,'Données projet'!$B$192,EJ119+EI120-ER119)))</f>
        <v>214.79999999999993</v>
      </c>
      <c r="EK120" s="18">
        <f>EJ120*VLOOKUP('Données projet'!$B$15,Paramètres!$A$1:$I$89,3,0)*VLOOKUP('Données projet'!$B$15,Paramètres!$A$1:$I$89,5,0)</f>
        <v>207.75455999999994</v>
      </c>
      <c r="EL120" s="14">
        <f t="shared" si="99"/>
        <v>51.444593984782131</v>
      </c>
      <c r="EM120" s="22">
        <f t="shared" si="73"/>
        <v>451.43852652349545</v>
      </c>
      <c r="EN120" s="62">
        <f t="shared" si="74"/>
        <v>744.77185985682877</v>
      </c>
      <c r="EO120" s="62">
        <f ca="1">AVERAGE(OFFSET($EN$3,0,0,'Données projet'!$E$15+1,1))-AVERAGE(OFFSET($H$3,0,0,'Données projet'!$E$15+1,1))</f>
        <v>146.90952320473599</v>
      </c>
      <c r="EP120" s="62">
        <f t="shared" si="100"/>
        <v>56.347130462109817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2.4</v>
      </c>
      <c r="FE120" s="13">
        <f>IF('Données projet'!$A$218&gt;35,FE119+FD120-FM119,IF(A120&lt;'Données projet'!$A$218,$FB$205^A120,IF(A120='Données projet'!$A$218,'Données projet'!$B$218,FE119+FD120-FM119)))</f>
        <v>214.79999999999993</v>
      </c>
      <c r="FF120" s="18">
        <f>FE120*VLOOKUP('Données projet'!$B$16,Paramètres!$A$1:$I$89,3,0)*VLOOKUP('Données projet'!$B$16,Paramètres!$A$1:$I$89,5,0)</f>
        <v>231.2107199999999</v>
      </c>
      <c r="FG120" s="14">
        <f t="shared" si="101"/>
        <v>56.544387456445222</v>
      </c>
      <c r="FH120" s="22">
        <f t="shared" si="76"/>
        <v>501.17347881997517</v>
      </c>
      <c r="FI120" s="62">
        <f t="shared" si="77"/>
        <v>794.50681215330849</v>
      </c>
      <c r="FJ120" s="62">
        <f ca="1">AVERAGE(OFFSET($FI$3,0,0,'Données projet'!$E$16+1,1))-AVERAGE(OFFSET($H$3,0,0,'Données projet'!$E$16+1,1))</f>
        <v>176.21892815766847</v>
      </c>
      <c r="FK120" s="62">
        <f t="shared" si="102"/>
        <v>69.239647548491234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-1.1368683772161603E-13</v>
      </c>
      <c r="GA120" s="18">
        <f>FZ120*VLOOKUP('Données projet'!$B$17,Paramètres!$A$1:$I$89,3,0)*VLOOKUP('Données projet'!$B$17,Paramètres!$A$1:$I$89,5,0)</f>
        <v>-9.0449248091317723E-14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70.834027458412379</v>
      </c>
      <c r="GF120" s="62">
        <f t="shared" si="104"/>
        <v>74.346987922112362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9.998404243691574E-13</v>
      </c>
      <c r="GO120" s="23">
        <f t="shared" si="81"/>
        <v>9.998404243691574E-13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-1.1368683772161603E-13</v>
      </c>
      <c r="GV120" s="18">
        <f>GU120*VLOOKUP('Données projet'!$B$18,Paramètres!$A$1:$I$89,3,0)*VLOOKUP('Données projet'!$B$18,Paramètres!$A$1:$I$89,5,0)</f>
        <v>-8.8675733422860506E-14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99.222094917553648</v>
      </c>
      <c r="HA120" s="62">
        <f t="shared" si="106"/>
        <v>98.371477396766352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2.0802911502853608E-13</v>
      </c>
      <c r="HJ120" s="24">
        <f t="shared" si="84"/>
        <v>2.0802911502853608E-13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1.5961632016114892E-13</v>
      </c>
      <c r="P121" s="14">
        <f t="shared" si="87"/>
        <v>2.2708641912150958E-12</v>
      </c>
      <c r="Q121" s="22">
        <f t="shared" si="107"/>
        <v>4.2330868906469593E-12</v>
      </c>
      <c r="R121" s="62">
        <f t="shared" si="55"/>
        <v>293.33333333333752</v>
      </c>
      <c r="S121" s="62">
        <f ca="1">AVERAGE(OFFSET($R$3,0,0,'Données projet'!$E$9+1,1))-AVERAGE(OFFSET($H$3,0,0,'Données projet'!$E$9+1,1))</f>
        <v>181.48161394994878</v>
      </c>
      <c r="T121" s="62">
        <f t="shared" si="88"/>
        <v>141.1874974464024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340.81036749486179</v>
      </c>
      <c r="AO121" s="62">
        <f t="shared" si="90"/>
        <v>208.88199836488013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257.96727373333601</v>
      </c>
      <c r="BJ121" s="62">
        <f t="shared" si="92"/>
        <v>194.52809733694494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0.52692891711956513</v>
      </c>
      <c r="BR121" s="23">
        <f>EXP(-LN(2)/2)*BR120+(1-EXP(-LN(2)/2))/(LN(2)/2)*BL121*BO121*VLOOKUP('Données projet'!$B$11,Paramètres!$A$1:$I$89,3,0)*0.475*44/12</f>
        <v>8.0843259231329037E-13</v>
      </c>
      <c r="BS121" s="24">
        <f t="shared" si="63"/>
        <v>0.5269289171203736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292.83612296867898</v>
      </c>
      <c r="CE121" s="62">
        <f t="shared" si="94"/>
        <v>180.48047802041276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1.6080646573411883E-12</v>
      </c>
      <c r="CN121" s="24">
        <f t="shared" si="66"/>
        <v>1.6080646573411883E-12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</v>
      </c>
      <c r="CT121" s="13">
        <f>IF('Données projet'!$A$140&gt;35,CT120+CS121-DB120,IF(A121&lt;'Données projet'!$A$140,$CQ$205^A121,IF(A121='Données projet'!$A$140,'Données projet'!$B$140,CT120+CS121-DB120)))</f>
        <v>217.19999999999993</v>
      </c>
      <c r="CU121" s="18">
        <f>CT121*VLOOKUP('Données projet'!$B$13,Paramètres!$A$1:$I$89,3,0)*VLOOKUP('Données projet'!$B$13,Paramètres!$A$1:$I$89,5,0)</f>
        <v>247.34735999999992</v>
      </c>
      <c r="CV121" s="14">
        <f t="shared" si="95"/>
        <v>60.017565753622286</v>
      </c>
      <c r="CW121" s="22">
        <f t="shared" si="67"/>
        <v>535.32724568755873</v>
      </c>
      <c r="CX121" s="62">
        <f t="shared" si="68"/>
        <v>828.6605790208921</v>
      </c>
      <c r="CY121" s="62">
        <f ca="1">AVERAGE(OFFSET($CX$3,0,0,'Données projet'!$E$13+1,1))-AVERAGE(OFFSET($H$3,0,0,'Données projet'!$E$13+1,1))</f>
        <v>192.93829651668403</v>
      </c>
      <c r="CZ121" s="62">
        <f t="shared" si="96"/>
        <v>76.592736352376903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2.4</v>
      </c>
      <c r="DO121" s="13">
        <f>IF('Données projet'!$A$166&gt;35,DO120+DN121-DW120,IF(A121&lt;'Données projet'!$A$166,$DL$205^A121,IF(A121='Données projet'!$A$166,'Données projet'!$B$166,DO120+DN121-DW120)))</f>
        <v>217.19999999999993</v>
      </c>
      <c r="DP121" s="18">
        <f>DO121*VLOOKUP('Données projet'!$B$14,Paramètres!$A$1:$I$89,3,0)*VLOOKUP('Données projet'!$B$14,Paramètres!$A$1:$I$89,5,0)</f>
        <v>145.69775999999996</v>
      </c>
      <c r="DQ121" s="14">
        <f t="shared" si="97"/>
        <v>37.599236410715747</v>
      </c>
      <c r="DR121" s="22">
        <f t="shared" si="70"/>
        <v>319.24226874866315</v>
      </c>
      <c r="DS121" s="62">
        <f t="shared" si="71"/>
        <v>612.57560208199652</v>
      </c>
      <c r="DT121" s="62">
        <f ca="1">AVERAGE(OFFSET($DS$3,0,0,'Données projet'!$E$14+1,1))-AVERAGE(OFFSET($H$3,0,0,'Données projet'!$E$14+1,1))</f>
        <v>66.964554307546564</v>
      </c>
      <c r="DU121" s="62">
        <f t="shared" si="98"/>
        <v>21.162700178818568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2.4</v>
      </c>
      <c r="EJ121" s="13">
        <f>IF('Données projet'!$A$192&gt;35,EJ120+EI121-ER120,IF(A121&lt;'Données projet'!$A$192,$EG$205^A121,IF(A121='Données projet'!$A$192,'Données projet'!$B$192,EJ120+EI121-ER120)))</f>
        <v>217.19999999999993</v>
      </c>
      <c r="EK121" s="18">
        <f>EJ121*VLOOKUP('Données projet'!$B$15,Paramètres!$A$1:$I$89,3,0)*VLOOKUP('Données projet'!$B$15,Paramètres!$A$1:$I$89,5,0)</f>
        <v>210.07583999999994</v>
      </c>
      <c r="EL121" s="14">
        <f t="shared" si="99"/>
        <v>51.952158298115599</v>
      </c>
      <c r="EM121" s="22">
        <f t="shared" si="73"/>
        <v>456.3654303692179</v>
      </c>
      <c r="EN121" s="62">
        <f t="shared" si="74"/>
        <v>749.69876370255122</v>
      </c>
      <c r="EO121" s="62">
        <f ca="1">AVERAGE(OFFSET($EN$3,0,0,'Données projet'!$E$15+1,1))-AVERAGE(OFFSET($H$3,0,0,'Données projet'!$E$15+1,1))</f>
        <v>146.90952320473599</v>
      </c>
      <c r="EP121" s="62">
        <f t="shared" si="100"/>
        <v>56.347130462109817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2.4</v>
      </c>
      <c r="FE121" s="13">
        <f>IF('Données projet'!$A$218&gt;35,FE120+FD121-FM120,IF(A121&lt;'Données projet'!$A$218,$FB$205^A121,IF(A121='Données projet'!$A$218,'Données projet'!$B$218,FE120+FD121-FM120)))</f>
        <v>217.19999999999993</v>
      </c>
      <c r="FF121" s="18">
        <f>FE121*VLOOKUP('Données projet'!$B$16,Paramètres!$A$1:$I$89,3,0)*VLOOKUP('Données projet'!$B$16,Paramètres!$A$1:$I$89,5,0)</f>
        <v>233.79407999999992</v>
      </c>
      <c r="FG121" s="14">
        <f t="shared" si="101"/>
        <v>57.102267516703527</v>
      </c>
      <c r="FH121" s="22">
        <f t="shared" si="76"/>
        <v>506.64447192492509</v>
      </c>
      <c r="FI121" s="62">
        <f t="shared" si="77"/>
        <v>799.9778052582584</v>
      </c>
      <c r="FJ121" s="62">
        <f ca="1">AVERAGE(OFFSET($FI$3,0,0,'Données projet'!$E$16+1,1))-AVERAGE(OFFSET($H$3,0,0,'Données projet'!$E$16+1,1))</f>
        <v>176.21892815766847</v>
      </c>
      <c r="FK121" s="62">
        <f t="shared" si="102"/>
        <v>69.239647548491234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-1.1368683772161603E-13</v>
      </c>
      <c r="GA121" s="18">
        <f>FZ121*VLOOKUP('Données projet'!$B$17,Paramètres!$A$1:$I$89,3,0)*VLOOKUP('Données projet'!$B$17,Paramètres!$A$1:$I$89,5,0)</f>
        <v>-9.0449248091317723E-14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70.834027458412379</v>
      </c>
      <c r="GF121" s="62">
        <f t="shared" si="104"/>
        <v>74.346987922112362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7.069939441758666E-13</v>
      </c>
      <c r="GO121" s="23">
        <f t="shared" si="81"/>
        <v>7.069939441758666E-13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-1.1368683772161603E-13</v>
      </c>
      <c r="GV121" s="18">
        <f>GU121*VLOOKUP('Données projet'!$B$18,Paramètres!$A$1:$I$89,3,0)*VLOOKUP('Données projet'!$B$18,Paramètres!$A$1:$I$89,5,0)</f>
        <v>-8.8675733422860506E-14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99.222094917553648</v>
      </c>
      <c r="HA121" s="62">
        <f t="shared" si="106"/>
        <v>98.371477396766352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1.4709879792091418E-13</v>
      </c>
      <c r="HJ121" s="24">
        <f t="shared" si="84"/>
        <v>1.4709879792091418E-13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1.5961632016114892E-13</v>
      </c>
      <c r="P122" s="14">
        <f t="shared" si="87"/>
        <v>2.2708641912150958E-12</v>
      </c>
      <c r="Q122" s="22">
        <f t="shared" si="107"/>
        <v>4.2330868906469593E-12</v>
      </c>
      <c r="R122" s="62">
        <f t="shared" si="55"/>
        <v>293.33333333333752</v>
      </c>
      <c r="S122" s="62">
        <f ca="1">AVERAGE(OFFSET($R$3,0,0,'Données projet'!$E$9+1,1))-AVERAGE(OFFSET($H$3,0,0,'Données projet'!$E$9+1,1))</f>
        <v>181.48161394994878</v>
      </c>
      <c r="T122" s="62">
        <f t="shared" si="88"/>
        <v>141.1874974464024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340.81036749486179</v>
      </c>
      <c r="AO122" s="62">
        <f t="shared" si="90"/>
        <v>208.88199836488013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257.96727373333601</v>
      </c>
      <c r="BJ122" s="62">
        <f t="shared" si="92"/>
        <v>194.52809733694494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0.51252001817094317</v>
      </c>
      <c r="BR122" s="23">
        <f>EXP(-LN(2)/2)*BR121+(1-EXP(-LN(2)/2))/(LN(2)/2)*BL122*BO122*VLOOKUP('Données projet'!$B$11,Paramètres!$A$1:$I$89,3,0)*0.475*44/12</f>
        <v>5.7164816815694719E-13</v>
      </c>
      <c r="BS122" s="24">
        <f t="shared" si="63"/>
        <v>0.51252001817151482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292.83612296867898</v>
      </c>
      <c r="CE122" s="62">
        <f t="shared" si="94"/>
        <v>180.48047802041276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1.1370734237923762E-12</v>
      </c>
      <c r="CN122" s="24">
        <f t="shared" si="66"/>
        <v>1.1370734237923762E-12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</v>
      </c>
      <c r="CT122" s="13">
        <f>IF('Données projet'!$A$140&gt;35,CT121+CS122-DB121,IF(A122&lt;'Données projet'!$A$140,$CQ$205^A122,IF(A122='Données projet'!$A$140,'Données projet'!$B$140,CT121+CS122-DB121)))</f>
        <v>219.59999999999994</v>
      </c>
      <c r="CU122" s="18">
        <f>CT122*VLOOKUP('Données projet'!$B$13,Paramètres!$A$1:$I$89,3,0)*VLOOKUP('Données projet'!$B$13,Paramètres!$A$1:$I$89,5,0)</f>
        <v>250.08047999999997</v>
      </c>
      <c r="CV122" s="14">
        <f t="shared" si="95"/>
        <v>60.603174110223023</v>
      </c>
      <c r="CW122" s="22">
        <f t="shared" si="67"/>
        <v>541.1073642419716</v>
      </c>
      <c r="CX122" s="62">
        <f t="shared" si="68"/>
        <v>834.44069757530497</v>
      </c>
      <c r="CY122" s="62">
        <f ca="1">AVERAGE(OFFSET($CX$3,0,0,'Données projet'!$E$13+1,1))-AVERAGE(OFFSET($H$3,0,0,'Données projet'!$E$13+1,1))</f>
        <v>192.93829651668403</v>
      </c>
      <c r="CZ122" s="62">
        <f t="shared" si="96"/>
        <v>76.592736352376903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2.4</v>
      </c>
      <c r="DO122" s="13">
        <f>IF('Données projet'!$A$166&gt;35,DO121+DN122-DW121,IF(A122&lt;'Données projet'!$A$166,$DL$205^A122,IF(A122='Données projet'!$A$166,'Données projet'!$B$166,DO121+DN122-DW121)))</f>
        <v>219.59999999999994</v>
      </c>
      <c r="DP122" s="18">
        <f>DO122*VLOOKUP('Données projet'!$B$14,Paramètres!$A$1:$I$89,3,0)*VLOOKUP('Données projet'!$B$14,Paramètres!$A$1:$I$89,5,0)</f>
        <v>147.30767999999995</v>
      </c>
      <c r="DQ122" s="14">
        <f t="shared" si="97"/>
        <v>37.966102790040587</v>
      </c>
      <c r="DR122" s="22">
        <f t="shared" si="70"/>
        <v>322.68517169265391</v>
      </c>
      <c r="DS122" s="62">
        <f t="shared" si="71"/>
        <v>616.01850502598722</v>
      </c>
      <c r="DT122" s="62">
        <f ca="1">AVERAGE(OFFSET($DS$3,0,0,'Données projet'!$E$14+1,1))-AVERAGE(OFFSET($H$3,0,0,'Données projet'!$E$14+1,1))</f>
        <v>66.964554307546564</v>
      </c>
      <c r="DU122" s="62">
        <f t="shared" si="98"/>
        <v>21.162700178818568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2.4</v>
      </c>
      <c r="EJ122" s="13">
        <f>IF('Données projet'!$A$192&gt;35,EJ121+EI122-ER121,IF(A122&lt;'Données projet'!$A$192,$EG$205^A122,IF(A122='Données projet'!$A$192,'Données projet'!$B$192,EJ121+EI122-ER121)))</f>
        <v>219.59999999999994</v>
      </c>
      <c r="EK122" s="18">
        <f>EJ122*VLOOKUP('Données projet'!$B$15,Paramètres!$A$1:$I$89,3,0)*VLOOKUP('Données projet'!$B$15,Paramètres!$A$1:$I$89,5,0)</f>
        <v>212.39711999999994</v>
      </c>
      <c r="EL122" s="14">
        <f t="shared" si="99"/>
        <v>52.459070194004759</v>
      </c>
      <c r="EM122" s="22">
        <f t="shared" si="73"/>
        <v>461.29119792122486</v>
      </c>
      <c r="EN122" s="62">
        <f t="shared" si="74"/>
        <v>754.62453125455818</v>
      </c>
      <c r="EO122" s="62">
        <f ca="1">AVERAGE(OFFSET($EN$3,0,0,'Données projet'!$E$15+1,1))-AVERAGE(OFFSET($H$3,0,0,'Données projet'!$E$15+1,1))</f>
        <v>146.90952320473599</v>
      </c>
      <c r="EP122" s="62">
        <f t="shared" si="100"/>
        <v>56.347130462109817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2.4</v>
      </c>
      <c r="FE122" s="13">
        <f>IF('Données projet'!$A$218&gt;35,FE121+FD122-FM121,IF(A122&lt;'Données projet'!$A$218,$FB$205^A122,IF(A122='Données projet'!$A$218,'Données projet'!$B$218,FE121+FD122-FM121)))</f>
        <v>219.59999999999994</v>
      </c>
      <c r="FF122" s="18">
        <f>FE122*VLOOKUP('Données projet'!$B$16,Paramètres!$A$1:$I$89,3,0)*VLOOKUP('Données projet'!$B$16,Paramètres!$A$1:$I$89,5,0)</f>
        <v>236.37743999999992</v>
      </c>
      <c r="FG122" s="14">
        <f t="shared" si="101"/>
        <v>57.659430484223769</v>
      </c>
      <c r="FH122" s="22">
        <f t="shared" si="76"/>
        <v>512.11421609335628</v>
      </c>
      <c r="FI122" s="62">
        <f t="shared" si="77"/>
        <v>805.44754942668965</v>
      </c>
      <c r="FJ122" s="62">
        <f ca="1">AVERAGE(OFFSET($FI$3,0,0,'Données projet'!$E$16+1,1))-AVERAGE(OFFSET($H$3,0,0,'Données projet'!$E$16+1,1))</f>
        <v>176.21892815766847</v>
      </c>
      <c r="FK122" s="62">
        <f t="shared" si="102"/>
        <v>69.239647548491234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-1.1368683772161603E-13</v>
      </c>
      <c r="GA122" s="18">
        <f>FZ122*VLOOKUP('Données projet'!$B$17,Paramètres!$A$1:$I$89,3,0)*VLOOKUP('Données projet'!$B$17,Paramètres!$A$1:$I$89,5,0)</f>
        <v>-9.0449248091317723E-14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70.834027458412379</v>
      </c>
      <c r="GF122" s="62">
        <f t="shared" si="104"/>
        <v>74.346987922112362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4.999202121845787E-13</v>
      </c>
      <c r="GO122" s="23">
        <f t="shared" si="81"/>
        <v>4.999202121845787E-13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-1.1368683772161603E-13</v>
      </c>
      <c r="GV122" s="18">
        <f>GU122*VLOOKUP('Données projet'!$B$18,Paramètres!$A$1:$I$89,3,0)*VLOOKUP('Données projet'!$B$18,Paramètres!$A$1:$I$89,5,0)</f>
        <v>-8.8675733422860506E-14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99.222094917553648</v>
      </c>
      <c r="HA122" s="62">
        <f t="shared" si="106"/>
        <v>98.371477396766352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1.0401455751426804E-13</v>
      </c>
      <c r="HJ122" s="24">
        <f t="shared" si="84"/>
        <v>1.0401455751426804E-13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1.5961632016114892E-13</v>
      </c>
      <c r="P123" s="14">
        <f t="shared" si="87"/>
        <v>2.2708641912150958E-12</v>
      </c>
      <c r="Q123" s="22">
        <f t="shared" si="107"/>
        <v>4.2330868906469593E-12</v>
      </c>
      <c r="R123" s="62">
        <f t="shared" si="55"/>
        <v>293.33333333333752</v>
      </c>
      <c r="S123" s="62">
        <f ca="1">AVERAGE(OFFSET($R$3,0,0,'Données projet'!$E$9+1,1))-AVERAGE(OFFSET($H$3,0,0,'Données projet'!$E$9+1,1))</f>
        <v>181.48161394994878</v>
      </c>
      <c r="T123" s="62">
        <f t="shared" si="88"/>
        <v>141.1874974464024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340.81036749486179</v>
      </c>
      <c r="AO123" s="62">
        <f t="shared" si="90"/>
        <v>208.88199836488013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257.96727373333601</v>
      </c>
      <c r="BJ123" s="62">
        <f t="shared" si="92"/>
        <v>194.52809733694494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0.49850513132180235</v>
      </c>
      <c r="BR123" s="23">
        <f>EXP(-LN(2)/2)*BR122+(1-EXP(-LN(2)/2))/(LN(2)/2)*BL123*BO123*VLOOKUP('Données projet'!$B$11,Paramètres!$A$1:$I$89,3,0)*0.475*44/12</f>
        <v>4.0421629615664519E-13</v>
      </c>
      <c r="BS123" s="24">
        <f t="shared" si="63"/>
        <v>0.49850513132220658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292.83612296867898</v>
      </c>
      <c r="CE123" s="62">
        <f t="shared" si="94"/>
        <v>180.48047802041276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8.0403232867059416E-13</v>
      </c>
      <c r="CN123" s="24">
        <f t="shared" si="66"/>
        <v>8.0403232867059416E-13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222</v>
      </c>
      <c r="CR123" s="13">
        <f>VLOOKUP(A123,'Données projet'!$A$139:$I$159,9,0)</f>
        <v>2.4</v>
      </c>
      <c r="CS123" s="13">
        <f t="array" ref="CS123">INDEX(CR:CR,MIN(IF(ISNUMBER(CR123:CR319),ROW(CR123:CR319),"")))</f>
        <v>2.4</v>
      </c>
      <c r="CT123" s="13">
        <f>IF('Données projet'!$A$140&gt;35,CT122+CS123-DB122,IF(A123&lt;'Données projet'!$A$140,$CQ$205^A123,IF(A123='Données projet'!$A$140,'Données projet'!$B$140,CT122+CS123-DB122)))</f>
        <v>221.99999999999994</v>
      </c>
      <c r="CU123" s="18">
        <f>CT123*VLOOKUP('Données projet'!$B$13,Paramètres!$A$1:$I$89,3,0)*VLOOKUP('Données projet'!$B$13,Paramètres!$A$1:$I$89,5,0)</f>
        <v>252.81359999999992</v>
      </c>
      <c r="CV123" s="14">
        <f t="shared" si="95"/>
        <v>61.188037954168315</v>
      </c>
      <c r="CW123" s="22">
        <f t="shared" si="67"/>
        <v>546.88618610350966</v>
      </c>
      <c r="CX123" s="62">
        <f t="shared" si="68"/>
        <v>840.21951943684303</v>
      </c>
      <c r="CY123" s="62">
        <f ca="1">AVERAGE(OFFSET($CX$3,0,0,'Données projet'!$E$13+1,1))-AVERAGE(OFFSET($H$3,0,0,'Données projet'!$E$13+1,1))</f>
        <v>192.93829651668403</v>
      </c>
      <c r="CZ123" s="62">
        <f t="shared" si="96"/>
        <v>76.592736352376903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222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222</v>
      </c>
      <c r="DM123" s="13">
        <f>VLOOKUP(A123,'Données projet'!$A$165:$I$185,9,0)</f>
        <v>2.4</v>
      </c>
      <c r="DN123" s="13">
        <f t="array" ref="DN123">INDEX(DM:DM,MIN(IF(ISNUMBER(DM123:DM319),ROW(DM123:DM319),"")))</f>
        <v>2.4</v>
      </c>
      <c r="DO123" s="13">
        <f>IF('Données projet'!$A$166&gt;35,DO122+DN123-DW122,IF(A123&lt;'Données projet'!$A$166,$DL$205^A123,IF(A123='Données projet'!$A$166,'Données projet'!$B$166,DO122+DN123-DW122)))</f>
        <v>221.99999999999994</v>
      </c>
      <c r="DP123" s="18">
        <f>DO123*VLOOKUP('Données projet'!$B$14,Paramètres!$A$1:$I$89,3,0)*VLOOKUP('Données projet'!$B$14,Paramètres!$A$1:$I$89,5,0)</f>
        <v>148.91759999999996</v>
      </c>
      <c r="DQ123" s="14">
        <f t="shared" si="97"/>
        <v>38.332502754125301</v>
      </c>
      <c r="DR123" s="22">
        <f t="shared" si="70"/>
        <v>326.12726229676815</v>
      </c>
      <c r="DS123" s="62">
        <f t="shared" si="71"/>
        <v>619.46059563010147</v>
      </c>
      <c r="DT123" s="62">
        <f ca="1">AVERAGE(OFFSET($DS$3,0,0,'Données projet'!$E$14+1,1))-AVERAGE(OFFSET($H$3,0,0,'Données projet'!$E$14+1,1))</f>
        <v>66.964554307546564</v>
      </c>
      <c r="DU123" s="62">
        <f t="shared" si="98"/>
        <v>21.162700178818568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222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222</v>
      </c>
      <c r="EH123" s="13">
        <f>VLOOKUP(A123,'Données projet'!$A$191:$I$211,9,0)</f>
        <v>2.4</v>
      </c>
      <c r="EI123" s="13">
        <f t="array" ref="EI123">INDEX(EH:EH,MIN(IF(ISNUMBER(EH123:EH319),ROW(EH123:EH319),"")))</f>
        <v>2.4</v>
      </c>
      <c r="EJ123" s="13">
        <f>IF('Données projet'!$A$192&gt;35,EJ122+EI123-ER122,IF(A123&lt;'Données projet'!$A$192,$EG$205^A123,IF(A123='Données projet'!$A$192,'Données projet'!$B$192,EJ122+EI123-ER122)))</f>
        <v>221.99999999999994</v>
      </c>
      <c r="EK123" s="18">
        <f>EJ123*VLOOKUP('Données projet'!$B$15,Paramètres!$A$1:$I$89,3,0)*VLOOKUP('Données projet'!$B$15,Paramètres!$A$1:$I$89,5,0)</f>
        <v>214.71839999999995</v>
      </c>
      <c r="EL123" s="14">
        <f t="shared" si="99"/>
        <v>52.965337627912746</v>
      </c>
      <c r="EM123" s="22">
        <f t="shared" si="73"/>
        <v>466.2158430352813</v>
      </c>
      <c r="EN123" s="62">
        <f t="shared" si="74"/>
        <v>759.54917636861455</v>
      </c>
      <c r="EO123" s="62">
        <f ca="1">AVERAGE(OFFSET($EN$3,0,0,'Données projet'!$E$15+1,1))-AVERAGE(OFFSET($H$3,0,0,'Données projet'!$E$15+1,1))</f>
        <v>146.90952320473599</v>
      </c>
      <c r="EP123" s="62">
        <f t="shared" si="100"/>
        <v>56.347130462109817</v>
      </c>
      <c r="EQ123" s="16">
        <f>IF(ISNA(VLOOKUP(A123,'Données projet'!$A$191:$I$211,3,0)),0,VLOOKUP(A123,'Données projet'!$A$191:$I$211,3,0))</f>
        <v>20</v>
      </c>
      <c r="ER123" s="16">
        <f>IF(ISNA(VLOOKUP(A123,'Données projet'!$A$191:$I$211,4,0)),0,VLOOKUP(A123,'Données projet'!$A$191:$I$211,4,0))</f>
        <v>222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222</v>
      </c>
      <c r="FC123" s="13">
        <f>VLOOKUP(A123,'Données projet'!$A$217:$I$237,9,0)</f>
        <v>2.4</v>
      </c>
      <c r="FD123" s="13">
        <f t="array" ref="FD123">INDEX(FC:FC,MIN(IF(ISNUMBER(FC123:FC319),ROW(FC123:FC319),"")))</f>
        <v>2.4</v>
      </c>
      <c r="FE123" s="13">
        <f>IF('Données projet'!$A$218&gt;35,FE122+FD123-FM122,IF(A123&lt;'Données projet'!$A$218,$FB$205^A123,IF(A123='Données projet'!$A$218,'Données projet'!$B$218,FE122+FD123-FM122)))</f>
        <v>221.99999999999994</v>
      </c>
      <c r="FF123" s="18">
        <f>FE123*VLOOKUP('Données projet'!$B$16,Paramètres!$A$1:$I$89,3,0)*VLOOKUP('Données projet'!$B$16,Paramètres!$A$1:$I$89,5,0)</f>
        <v>238.96079999999992</v>
      </c>
      <c r="FG123" s="14">
        <f t="shared" si="101"/>
        <v>58.215885103108292</v>
      </c>
      <c r="FH123" s="22">
        <f t="shared" si="76"/>
        <v>517.58272655458006</v>
      </c>
      <c r="FI123" s="62">
        <f t="shared" si="77"/>
        <v>810.91605988791343</v>
      </c>
      <c r="FJ123" s="62">
        <f ca="1">AVERAGE(OFFSET($FI$3,0,0,'Données projet'!$E$16+1,1))-AVERAGE(OFFSET($H$3,0,0,'Données projet'!$E$16+1,1))</f>
        <v>176.21892815766847</v>
      </c>
      <c r="FK123" s="62">
        <f t="shared" si="102"/>
        <v>69.239647548491234</v>
      </c>
      <c r="FL123" s="16">
        <f>IF(ISNA(VLOOKUP(A123,'Données projet'!$A$217:$I$237,3,0)),0,VLOOKUP(A123,'Données projet'!$A$217:$I$237,3,0))</f>
        <v>20</v>
      </c>
      <c r="FM123" s="16">
        <f>IF(ISNA(VLOOKUP(A123,'Données projet'!$A$217:$I$237,4,0)),0,VLOOKUP(A123,'Données projet'!$A$217:$I$237,4,0))</f>
        <v>222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-1.1368683772161603E-13</v>
      </c>
      <c r="GA123" s="18">
        <f>FZ123*VLOOKUP('Données projet'!$B$17,Paramètres!$A$1:$I$89,3,0)*VLOOKUP('Données projet'!$B$17,Paramètres!$A$1:$I$89,5,0)</f>
        <v>-9.0449248091317723E-14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70.834027458412379</v>
      </c>
      <c r="GF123" s="62">
        <f t="shared" si="104"/>
        <v>74.346987922112362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3.534969720879333E-13</v>
      </c>
      <c r="GO123" s="23">
        <f t="shared" si="81"/>
        <v>3.534969720879333E-13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-1.1368683772161603E-13</v>
      </c>
      <c r="GV123" s="18">
        <f>GU123*VLOOKUP('Données projet'!$B$18,Paramètres!$A$1:$I$89,3,0)*VLOOKUP('Données projet'!$B$18,Paramètres!$A$1:$I$89,5,0)</f>
        <v>-8.8675733422860506E-14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99.222094917553648</v>
      </c>
      <c r="HA123" s="62">
        <f t="shared" si="106"/>
        <v>98.371477396766352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7.3549398960457092E-14</v>
      </c>
      <c r="HJ123" s="24">
        <f t="shared" si="84"/>
        <v>7.3549398960457092E-14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1.5961632016114892E-13</v>
      </c>
      <c r="P124" s="14">
        <f t="shared" si="87"/>
        <v>2.2708641912150958E-12</v>
      </c>
      <c r="Q124" s="22">
        <f t="shared" si="107"/>
        <v>4.2330868906469593E-12</v>
      </c>
      <c r="R124" s="62">
        <f t="shared" si="55"/>
        <v>293.33333333333752</v>
      </c>
      <c r="S124" s="62">
        <f ca="1">AVERAGE(OFFSET($R$3,0,0,'Données projet'!$E$9+1,1))-AVERAGE(OFFSET($H$3,0,0,'Données projet'!$E$9+1,1))</f>
        <v>181.48161394994878</v>
      </c>
      <c r="T124" s="62">
        <f t="shared" si="88"/>
        <v>141.1874974464024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340.81036749486179</v>
      </c>
      <c r="AO124" s="62">
        <f t="shared" si="90"/>
        <v>208.88199836488013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257.96727373333601</v>
      </c>
      <c r="BJ124" s="62">
        <f t="shared" si="92"/>
        <v>194.52809733694494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0.48487348229056215</v>
      </c>
      <c r="BR124" s="23">
        <f>EXP(-LN(2)/2)*BR123+(1-EXP(-LN(2)/2))/(LN(2)/2)*BL124*BO124*VLOOKUP('Données projet'!$B$11,Paramètres!$A$1:$I$89,3,0)*0.475*44/12</f>
        <v>2.858240840784736E-13</v>
      </c>
      <c r="BS124" s="24">
        <f t="shared" si="63"/>
        <v>0.48487348229084798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292.83612296867898</v>
      </c>
      <c r="CE124" s="62">
        <f t="shared" si="94"/>
        <v>180.48047802041276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5.6853671189618808E-13</v>
      </c>
      <c r="CN124" s="24">
        <f t="shared" si="66"/>
        <v>5.6853671189618808E-13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-6.4733285398688169E-14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192.93829651668403</v>
      </c>
      <c r="CZ124" s="62">
        <f t="shared" si="96"/>
        <v>76.592736352376903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-3.813056537183002E-14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66.964554307546564</v>
      </c>
      <c r="DU124" s="62">
        <f t="shared" si="98"/>
        <v>21.162700178818568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-5.4978954722173515E-14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146.90952320473599</v>
      </c>
      <c r="EP124" s="62">
        <f t="shared" si="100"/>
        <v>56.347130462109817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-5.6843418860808015E-14</v>
      </c>
      <c r="FF124" s="18">
        <f>FE124*VLOOKUP('Données projet'!$B$16,Paramètres!$A$1:$I$89,3,0)*VLOOKUP('Données projet'!$B$16,Paramètres!$A$1:$I$89,5,0)</f>
        <v>-6.1186256061773749E-14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176.21892815766847</v>
      </c>
      <c r="FK124" s="62">
        <f t="shared" si="102"/>
        <v>69.239647548491234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-1.1368683772161603E-13</v>
      </c>
      <c r="GA124" s="18">
        <f>FZ124*VLOOKUP('Données projet'!$B$17,Paramètres!$A$1:$I$89,3,0)*VLOOKUP('Données projet'!$B$17,Paramètres!$A$1:$I$89,5,0)</f>
        <v>-9.0449248091317723E-14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70.834027458412379</v>
      </c>
      <c r="GF124" s="62">
        <f t="shared" si="104"/>
        <v>74.346987922112362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2.4996010609228935E-13</v>
      </c>
      <c r="GO124" s="23">
        <f t="shared" si="81"/>
        <v>2.4996010609228935E-13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-1.1368683772161603E-13</v>
      </c>
      <c r="GV124" s="18">
        <f>GU124*VLOOKUP('Données projet'!$B$18,Paramètres!$A$1:$I$89,3,0)*VLOOKUP('Données projet'!$B$18,Paramètres!$A$1:$I$89,5,0)</f>
        <v>-8.8675733422860506E-14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99.222094917553648</v>
      </c>
      <c r="HA124" s="62">
        <f t="shared" si="106"/>
        <v>98.371477396766352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5.2007278757134019E-14</v>
      </c>
      <c r="HJ124" s="24">
        <f t="shared" si="84"/>
        <v>5.2007278757134019E-14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1.5961632016114892E-13</v>
      </c>
      <c r="P125" s="14">
        <f t="shared" si="87"/>
        <v>2.2708641912150958E-12</v>
      </c>
      <c r="Q125" s="22">
        <f t="shared" si="107"/>
        <v>4.2330868906469593E-12</v>
      </c>
      <c r="R125" s="62">
        <f t="shared" si="55"/>
        <v>293.33333333333752</v>
      </c>
      <c r="S125" s="62">
        <f ca="1">AVERAGE(OFFSET($R$3,0,0,'Données projet'!$E$9+1,1))-AVERAGE(OFFSET($H$3,0,0,'Données projet'!$E$9+1,1))</f>
        <v>181.48161394994878</v>
      </c>
      <c r="T125" s="62">
        <f t="shared" si="88"/>
        <v>141.1874974464024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340.81036749486179</v>
      </c>
      <c r="AO125" s="62">
        <f t="shared" si="90"/>
        <v>208.88199836488013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257.96727373333601</v>
      </c>
      <c r="BJ125" s="62">
        <f t="shared" si="92"/>
        <v>194.52809733694494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0.47161459141893847</v>
      </c>
      <c r="BR125" s="23">
        <f>EXP(-LN(2)/2)*BR124+(1-EXP(-LN(2)/2))/(LN(2)/2)*BL125*BO125*VLOOKUP('Données projet'!$B$11,Paramètres!$A$1:$I$89,3,0)*0.475*44/12</f>
        <v>2.0210814807832259E-13</v>
      </c>
      <c r="BS125" s="24">
        <f t="shared" si="63"/>
        <v>0.47161459141914058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292.83612296867898</v>
      </c>
      <c r="CE125" s="62">
        <f t="shared" si="94"/>
        <v>180.48047802041276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4.0201616433529708E-13</v>
      </c>
      <c r="CN125" s="24">
        <f t="shared" si="66"/>
        <v>4.0201616433529708E-13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-6.4733285398688169E-14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192.93829651668403</v>
      </c>
      <c r="CZ125" s="62">
        <f t="shared" si="96"/>
        <v>76.592736352376903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-3.813056537183002E-14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66.964554307546564</v>
      </c>
      <c r="DU125" s="62">
        <f t="shared" si="98"/>
        <v>21.162700178818568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-5.4978954722173515E-14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146.90952320473599</v>
      </c>
      <c r="EP125" s="62">
        <f t="shared" si="100"/>
        <v>56.347130462109817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-5.6843418860808015E-14</v>
      </c>
      <c r="FF125" s="18">
        <f>FE125*VLOOKUP('Données projet'!$B$16,Paramètres!$A$1:$I$89,3,0)*VLOOKUP('Données projet'!$B$16,Paramètres!$A$1:$I$89,5,0)</f>
        <v>-6.1186256061773749E-14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176.21892815766847</v>
      </c>
      <c r="FK125" s="62">
        <f t="shared" si="102"/>
        <v>69.239647548491234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-1.1368683772161603E-13</v>
      </c>
      <c r="GA125" s="18">
        <f>FZ125*VLOOKUP('Données projet'!$B$17,Paramètres!$A$1:$I$89,3,0)*VLOOKUP('Données projet'!$B$17,Paramètres!$A$1:$I$89,5,0)</f>
        <v>-9.0449248091317723E-14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70.834027458412379</v>
      </c>
      <c r="GF125" s="62">
        <f t="shared" si="104"/>
        <v>74.346987922112362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1.7674848604396665E-13</v>
      </c>
      <c r="GO125" s="23">
        <f t="shared" si="81"/>
        <v>1.7674848604396665E-13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-1.1368683772161603E-13</v>
      </c>
      <c r="GV125" s="18">
        <f>GU125*VLOOKUP('Données projet'!$B$18,Paramètres!$A$1:$I$89,3,0)*VLOOKUP('Données projet'!$B$18,Paramètres!$A$1:$I$89,5,0)</f>
        <v>-8.8675733422860506E-14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99.222094917553648</v>
      </c>
      <c r="HA125" s="62">
        <f t="shared" si="106"/>
        <v>98.371477396766352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3.6774699480228546E-14</v>
      </c>
      <c r="HJ125" s="24">
        <f t="shared" si="84"/>
        <v>3.6774699480228546E-14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1.5961632016114892E-13</v>
      </c>
      <c r="P126" s="14">
        <f t="shared" si="87"/>
        <v>2.2708641912150958E-12</v>
      </c>
      <c r="Q126" s="22">
        <f t="shared" si="107"/>
        <v>4.2330868906469593E-12</v>
      </c>
      <c r="R126" s="62">
        <f t="shared" si="55"/>
        <v>293.33333333333752</v>
      </c>
      <c r="S126" s="62">
        <f ca="1">AVERAGE(OFFSET($R$3,0,0,'Données projet'!$E$9+1,1))-AVERAGE(OFFSET($H$3,0,0,'Données projet'!$E$9+1,1))</f>
        <v>181.48161394994878</v>
      </c>
      <c r="T126" s="62">
        <f t="shared" si="88"/>
        <v>141.1874974464024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340.81036749486179</v>
      </c>
      <c r="AO126" s="62">
        <f t="shared" si="90"/>
        <v>208.88199836488013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257.96727373333601</v>
      </c>
      <c r="BJ126" s="62">
        <f t="shared" si="92"/>
        <v>194.52809733694494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0.45871826561545415</v>
      </c>
      <c r="BR126" s="23">
        <f>EXP(-LN(2)/2)*BR125+(1-EXP(-LN(2)/2))/(LN(2)/2)*BL126*BO126*VLOOKUP('Données projet'!$B$11,Paramètres!$A$1:$I$89,3,0)*0.475*44/12</f>
        <v>1.429120420392368E-13</v>
      </c>
      <c r="BS126" s="24">
        <f t="shared" si="63"/>
        <v>0.45871826561559703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292.83612296867898</v>
      </c>
      <c r="CE126" s="62">
        <f t="shared" si="94"/>
        <v>180.48047802041276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2.8426835594809404E-13</v>
      </c>
      <c r="CN126" s="24">
        <f t="shared" si="66"/>
        <v>2.8426835594809404E-13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-6.4733285398688169E-14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192.93829651668403</v>
      </c>
      <c r="CZ126" s="62">
        <f t="shared" si="96"/>
        <v>76.592736352376903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-3.813056537183002E-14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66.964554307546564</v>
      </c>
      <c r="DU126" s="62">
        <f t="shared" si="98"/>
        <v>21.162700178818568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-5.4978954722173515E-14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146.90952320473599</v>
      </c>
      <c r="EP126" s="62">
        <f t="shared" si="100"/>
        <v>56.347130462109817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-5.6843418860808015E-14</v>
      </c>
      <c r="FF126" s="18">
        <f>FE126*VLOOKUP('Données projet'!$B$16,Paramètres!$A$1:$I$89,3,0)*VLOOKUP('Données projet'!$B$16,Paramètres!$A$1:$I$89,5,0)</f>
        <v>-6.1186256061773749E-14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176.21892815766847</v>
      </c>
      <c r="FK126" s="62">
        <f t="shared" si="102"/>
        <v>69.239647548491234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-1.1368683772161603E-13</v>
      </c>
      <c r="GA126" s="18">
        <f>FZ126*VLOOKUP('Données projet'!$B$17,Paramètres!$A$1:$I$89,3,0)*VLOOKUP('Données projet'!$B$17,Paramètres!$A$1:$I$89,5,0)</f>
        <v>-9.0449248091317723E-14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70.834027458412379</v>
      </c>
      <c r="GF126" s="62">
        <f t="shared" si="104"/>
        <v>74.346987922112362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1.2498005304614468E-13</v>
      </c>
      <c r="GO126" s="23">
        <f t="shared" si="81"/>
        <v>1.2498005304614468E-13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-1.1368683772161603E-13</v>
      </c>
      <c r="GV126" s="18">
        <f>GU126*VLOOKUP('Données projet'!$B$18,Paramètres!$A$1:$I$89,3,0)*VLOOKUP('Données projet'!$B$18,Paramètres!$A$1:$I$89,5,0)</f>
        <v>-8.8675733422860506E-14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99.222094917553648</v>
      </c>
      <c r="HA126" s="62">
        <f t="shared" si="106"/>
        <v>98.371477396766352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2.600363937856701E-14</v>
      </c>
      <c r="HJ126" s="24">
        <f t="shared" si="84"/>
        <v>2.600363937856701E-14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1.5961632016114892E-13</v>
      </c>
      <c r="P127" s="14">
        <f t="shared" si="87"/>
        <v>2.2708641912150958E-12</v>
      </c>
      <c r="Q127" s="22">
        <f t="shared" si="107"/>
        <v>4.2330868906469593E-12</v>
      </c>
      <c r="R127" s="62">
        <f t="shared" si="55"/>
        <v>293.33333333333752</v>
      </c>
      <c r="S127" s="62">
        <f ca="1">AVERAGE(OFFSET($R$3,0,0,'Données projet'!$E$9+1,1))-AVERAGE(OFFSET($H$3,0,0,'Données projet'!$E$9+1,1))</f>
        <v>181.48161394994878</v>
      </c>
      <c r="T127" s="62">
        <f t="shared" si="88"/>
        <v>141.1874974464024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340.81036749486179</v>
      </c>
      <c r="AO127" s="62">
        <f t="shared" si="90"/>
        <v>208.88199836488013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257.96727373333601</v>
      </c>
      <c r="BJ127" s="62">
        <f t="shared" si="92"/>
        <v>194.52809733694494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0.4461745905192544</v>
      </c>
      <c r="BR127" s="23">
        <f>EXP(-LN(2)/2)*BR126+(1-EXP(-LN(2)/2))/(LN(2)/2)*BL127*BO127*VLOOKUP('Données projet'!$B$11,Paramètres!$A$1:$I$89,3,0)*0.475*44/12</f>
        <v>1.010540740391613E-13</v>
      </c>
      <c r="BS127" s="24">
        <f t="shared" si="63"/>
        <v>0.44617459051935543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292.83612296867898</v>
      </c>
      <c r="CE127" s="62">
        <f t="shared" si="94"/>
        <v>180.48047802041276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2.0100808216764854E-13</v>
      </c>
      <c r="CN127" s="24">
        <f t="shared" si="66"/>
        <v>2.0100808216764854E-13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-6.4733285398688169E-14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192.93829651668403</v>
      </c>
      <c r="CZ127" s="62">
        <f t="shared" si="96"/>
        <v>76.592736352376903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-3.813056537183002E-14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66.964554307546564</v>
      </c>
      <c r="DU127" s="62">
        <f t="shared" si="98"/>
        <v>21.162700178818568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-5.4978954722173515E-14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146.90952320473599</v>
      </c>
      <c r="EP127" s="62">
        <f t="shared" si="100"/>
        <v>56.347130462109817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-5.6843418860808015E-14</v>
      </c>
      <c r="FF127" s="18">
        <f>FE127*VLOOKUP('Données projet'!$B$16,Paramètres!$A$1:$I$89,3,0)*VLOOKUP('Données projet'!$B$16,Paramètres!$A$1:$I$89,5,0)</f>
        <v>-6.1186256061773749E-14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176.21892815766847</v>
      </c>
      <c r="FK127" s="62">
        <f t="shared" si="102"/>
        <v>69.239647548491234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-1.1368683772161603E-13</v>
      </c>
      <c r="GA127" s="18">
        <f>FZ127*VLOOKUP('Données projet'!$B$17,Paramètres!$A$1:$I$89,3,0)*VLOOKUP('Données projet'!$B$17,Paramètres!$A$1:$I$89,5,0)</f>
        <v>-9.0449248091317723E-14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70.834027458412379</v>
      </c>
      <c r="GF127" s="62">
        <f t="shared" si="104"/>
        <v>74.346987922112362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8.8374243021983325E-14</v>
      </c>
      <c r="GO127" s="23">
        <f t="shared" si="81"/>
        <v>8.8374243021983325E-14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-1.1368683772161603E-13</v>
      </c>
      <c r="GV127" s="18">
        <f>GU127*VLOOKUP('Données projet'!$B$18,Paramètres!$A$1:$I$89,3,0)*VLOOKUP('Données projet'!$B$18,Paramètres!$A$1:$I$89,5,0)</f>
        <v>-8.8675733422860506E-14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99.222094917553648</v>
      </c>
      <c r="HA127" s="62">
        <f t="shared" si="106"/>
        <v>98.371477396766352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1.8387349740114273E-14</v>
      </c>
      <c r="HJ127" s="24">
        <f t="shared" si="84"/>
        <v>1.8387349740114273E-14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1.5961632016114892E-13</v>
      </c>
      <c r="P128" s="14">
        <f t="shared" si="87"/>
        <v>2.2708641912150958E-12</v>
      </c>
      <c r="Q128" s="22">
        <f t="shared" si="107"/>
        <v>4.2330868906469593E-12</v>
      </c>
      <c r="R128" s="62">
        <f t="shared" si="55"/>
        <v>293.33333333333752</v>
      </c>
      <c r="S128" s="62">
        <f ca="1">AVERAGE(OFFSET($R$3,0,0,'Données projet'!$E$9+1,1))-AVERAGE(OFFSET($H$3,0,0,'Données projet'!$E$9+1,1))</f>
        <v>181.48161394994878</v>
      </c>
      <c r="T128" s="62">
        <f t="shared" si="88"/>
        <v>141.1874974464024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340.81036749486179</v>
      </c>
      <c r="AO128" s="62">
        <f t="shared" si="90"/>
        <v>208.88199836488013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257.96727373333601</v>
      </c>
      <c r="BJ128" s="62">
        <f t="shared" si="92"/>
        <v>194.52809733694494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0.43397392287820341</v>
      </c>
      <c r="BR128" s="23">
        <f>EXP(-LN(2)/2)*BR127+(1-EXP(-LN(2)/2))/(LN(2)/2)*BL128*BO128*VLOOKUP('Données projet'!$B$11,Paramètres!$A$1:$I$89,3,0)*0.475*44/12</f>
        <v>7.1456021019618399E-14</v>
      </c>
      <c r="BS128" s="24">
        <f t="shared" si="63"/>
        <v>0.43397392287827485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292.83612296867898</v>
      </c>
      <c r="CE128" s="62">
        <f t="shared" si="94"/>
        <v>180.48047802041276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1.4213417797404702E-13</v>
      </c>
      <c r="CN128" s="24">
        <f t="shared" si="66"/>
        <v>1.4213417797404702E-13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-6.4733285398688169E-14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192.93829651668403</v>
      </c>
      <c r="CZ128" s="62">
        <f t="shared" si="96"/>
        <v>76.592736352376903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-3.813056537183002E-14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66.964554307546564</v>
      </c>
      <c r="DU128" s="62">
        <f t="shared" si="98"/>
        <v>21.162700178818568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-5.4978954722173515E-14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146.90952320473599</v>
      </c>
      <c r="EP128" s="62">
        <f t="shared" si="100"/>
        <v>56.347130462109817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-5.6843418860808015E-14</v>
      </c>
      <c r="FF128" s="18">
        <f>FE128*VLOOKUP('Données projet'!$B$16,Paramètres!$A$1:$I$89,3,0)*VLOOKUP('Données projet'!$B$16,Paramètres!$A$1:$I$89,5,0)</f>
        <v>-6.1186256061773749E-14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176.21892815766847</v>
      </c>
      <c r="FK128" s="62">
        <f t="shared" si="102"/>
        <v>69.239647548491234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-1.1368683772161603E-13</v>
      </c>
      <c r="GA128" s="18">
        <f>FZ128*VLOOKUP('Données projet'!$B$17,Paramètres!$A$1:$I$89,3,0)*VLOOKUP('Données projet'!$B$17,Paramètres!$A$1:$I$89,5,0)</f>
        <v>-9.0449248091317723E-14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70.834027458412379</v>
      </c>
      <c r="GF128" s="62">
        <f t="shared" si="104"/>
        <v>74.346987922112362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6.2490026523072338E-14</v>
      </c>
      <c r="GO128" s="23">
        <f t="shared" si="81"/>
        <v>6.2490026523072338E-14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-1.1368683772161603E-13</v>
      </c>
      <c r="GV128" s="18">
        <f>GU128*VLOOKUP('Données projet'!$B$18,Paramètres!$A$1:$I$89,3,0)*VLOOKUP('Données projet'!$B$18,Paramètres!$A$1:$I$89,5,0)</f>
        <v>-8.8675733422860506E-14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99.222094917553648</v>
      </c>
      <c r="HA128" s="62">
        <f t="shared" si="106"/>
        <v>98.371477396766352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1.3001819689283505E-14</v>
      </c>
      <c r="HJ128" s="24">
        <f t="shared" si="84"/>
        <v>1.3001819689283505E-14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1.5961632016114892E-13</v>
      </c>
      <c r="P129" s="14">
        <f t="shared" si="87"/>
        <v>2.2708641912150958E-12</v>
      </c>
      <c r="Q129" s="22">
        <f t="shared" si="107"/>
        <v>4.2330868906469593E-12</v>
      </c>
      <c r="R129" s="62">
        <f t="shared" si="55"/>
        <v>293.33333333333752</v>
      </c>
      <c r="S129" s="62">
        <f ca="1">AVERAGE(OFFSET($R$3,0,0,'Données projet'!$E$9+1,1))-AVERAGE(OFFSET($H$3,0,0,'Données projet'!$E$9+1,1))</f>
        <v>181.48161394994878</v>
      </c>
      <c r="T129" s="62">
        <f t="shared" si="88"/>
        <v>141.1874974464024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340.81036749486179</v>
      </c>
      <c r="AO129" s="62">
        <f t="shared" si="90"/>
        <v>208.88199836488013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257.96727373333601</v>
      </c>
      <c r="BJ129" s="62">
        <f t="shared" si="92"/>
        <v>194.52809733694494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0.42210688313540218</v>
      </c>
      <c r="BR129" s="23">
        <f>EXP(-LN(2)/2)*BR128+(1-EXP(-LN(2)/2))/(LN(2)/2)*BL129*BO129*VLOOKUP('Données projet'!$B$11,Paramètres!$A$1:$I$89,3,0)*0.475*44/12</f>
        <v>5.0527037019580648E-14</v>
      </c>
      <c r="BS129" s="24">
        <f t="shared" si="63"/>
        <v>0.42210688313545269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292.83612296867898</v>
      </c>
      <c r="CE129" s="62">
        <f t="shared" si="94"/>
        <v>180.48047802041276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1.0050404108382427E-13</v>
      </c>
      <c r="CN129" s="24">
        <f t="shared" si="66"/>
        <v>1.0050404108382427E-13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-6.4733285398688169E-14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192.93829651668403</v>
      </c>
      <c r="CZ129" s="62">
        <f t="shared" si="96"/>
        <v>76.592736352376903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-3.813056537183002E-14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66.964554307546564</v>
      </c>
      <c r="DU129" s="62">
        <f t="shared" si="98"/>
        <v>21.162700178818568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-5.4978954722173515E-14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146.90952320473599</v>
      </c>
      <c r="EP129" s="62">
        <f t="shared" si="100"/>
        <v>56.347130462109817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-5.6843418860808015E-14</v>
      </c>
      <c r="FF129" s="18">
        <f>FE129*VLOOKUP('Données projet'!$B$16,Paramètres!$A$1:$I$89,3,0)*VLOOKUP('Données projet'!$B$16,Paramètres!$A$1:$I$89,5,0)</f>
        <v>-6.1186256061773749E-14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176.21892815766847</v>
      </c>
      <c r="FK129" s="62">
        <f t="shared" si="102"/>
        <v>69.239647548491234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-1.1368683772161603E-13</v>
      </c>
      <c r="GA129" s="18">
        <f>FZ129*VLOOKUP('Données projet'!$B$17,Paramètres!$A$1:$I$89,3,0)*VLOOKUP('Données projet'!$B$17,Paramètres!$A$1:$I$89,5,0)</f>
        <v>-9.0449248091317723E-14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70.834027458412379</v>
      </c>
      <c r="GF129" s="62">
        <f t="shared" si="104"/>
        <v>74.346987922112362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4.4187121510991663E-14</v>
      </c>
      <c r="GO129" s="23">
        <f t="shared" si="81"/>
        <v>4.4187121510991663E-14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-1.1368683772161603E-13</v>
      </c>
      <c r="GV129" s="18">
        <f>GU129*VLOOKUP('Données projet'!$B$18,Paramètres!$A$1:$I$89,3,0)*VLOOKUP('Données projet'!$B$18,Paramètres!$A$1:$I$89,5,0)</f>
        <v>-8.8675733422860506E-14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99.222094917553648</v>
      </c>
      <c r="HA129" s="62">
        <f t="shared" si="106"/>
        <v>98.371477396766352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9.1936748700571365E-15</v>
      </c>
      <c r="HJ129" s="24">
        <f t="shared" si="84"/>
        <v>9.1936748700571365E-15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1.5961632016114892E-13</v>
      </c>
      <c r="P130" s="14">
        <f t="shared" si="87"/>
        <v>2.2708641912150958E-12</v>
      </c>
      <c r="Q130" s="22">
        <f t="shared" si="107"/>
        <v>4.2330868906469593E-12</v>
      </c>
      <c r="R130" s="62">
        <f t="shared" si="55"/>
        <v>293.33333333333752</v>
      </c>
      <c r="S130" s="62">
        <f ca="1">AVERAGE(OFFSET($R$3,0,0,'Données projet'!$E$9+1,1))-AVERAGE(OFFSET($H$3,0,0,'Données projet'!$E$9+1,1))</f>
        <v>181.48161394994878</v>
      </c>
      <c r="T130" s="62">
        <f t="shared" si="88"/>
        <v>141.1874974464024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340.81036749486179</v>
      </c>
      <c r="AO130" s="62">
        <f t="shared" si="90"/>
        <v>208.88199836488013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257.96727373333601</v>
      </c>
      <c r="BJ130" s="62">
        <f t="shared" si="92"/>
        <v>194.52809733694494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0.41056434821842835</v>
      </c>
      <c r="BR130" s="23">
        <f>EXP(-LN(2)/2)*BR129+(1-EXP(-LN(2)/2))/(LN(2)/2)*BL130*BO130*VLOOKUP('Données projet'!$B$11,Paramètres!$A$1:$I$89,3,0)*0.475*44/12</f>
        <v>3.5728010509809199E-14</v>
      </c>
      <c r="BS130" s="24">
        <f t="shared" si="63"/>
        <v>0.4105643482184641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292.83612296867898</v>
      </c>
      <c r="CE130" s="62">
        <f t="shared" si="94"/>
        <v>180.48047802041276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7.106708898702351E-14</v>
      </c>
      <c r="CN130" s="24">
        <f t="shared" si="66"/>
        <v>7.106708898702351E-14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-6.4733285398688169E-14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192.93829651668403</v>
      </c>
      <c r="CZ130" s="62">
        <f t="shared" si="96"/>
        <v>76.592736352376903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-3.813056537183002E-14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66.964554307546564</v>
      </c>
      <c r="DU130" s="62">
        <f t="shared" si="98"/>
        <v>21.162700178818568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-5.4978954722173515E-14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146.90952320473599</v>
      </c>
      <c r="EP130" s="62">
        <f t="shared" si="100"/>
        <v>56.347130462109817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-5.6843418860808015E-14</v>
      </c>
      <c r="FF130" s="18">
        <f>FE130*VLOOKUP('Données projet'!$B$16,Paramètres!$A$1:$I$89,3,0)*VLOOKUP('Données projet'!$B$16,Paramètres!$A$1:$I$89,5,0)</f>
        <v>-6.1186256061773749E-14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176.21892815766847</v>
      </c>
      <c r="FK130" s="62">
        <f t="shared" si="102"/>
        <v>69.239647548491234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-1.1368683772161603E-13</v>
      </c>
      <c r="GA130" s="18">
        <f>FZ130*VLOOKUP('Données projet'!$B$17,Paramètres!$A$1:$I$89,3,0)*VLOOKUP('Données projet'!$B$17,Paramètres!$A$1:$I$89,5,0)</f>
        <v>-9.0449248091317723E-14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70.834027458412379</v>
      </c>
      <c r="GF130" s="62">
        <f t="shared" si="104"/>
        <v>74.346987922112362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3.1245013261536169E-14</v>
      </c>
      <c r="GO130" s="23">
        <f t="shared" si="81"/>
        <v>3.1245013261536169E-14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-1.1368683772161603E-13</v>
      </c>
      <c r="GV130" s="18">
        <f>GU130*VLOOKUP('Données projet'!$B$18,Paramètres!$A$1:$I$89,3,0)*VLOOKUP('Données projet'!$B$18,Paramètres!$A$1:$I$89,5,0)</f>
        <v>-8.8675733422860506E-14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99.222094917553648</v>
      </c>
      <c r="HA130" s="62">
        <f t="shared" si="106"/>
        <v>98.371477396766352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6.5009098446417524E-15</v>
      </c>
      <c r="HJ130" s="24">
        <f t="shared" si="84"/>
        <v>6.5009098446417524E-15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1.5961632016114892E-13</v>
      </c>
      <c r="P131" s="14">
        <f t="shared" si="87"/>
        <v>2.2708641912150958E-12</v>
      </c>
      <c r="Q131" s="22">
        <f t="shared" ref="Q131:Q153" si="108">(O131+P131)*0.475*44/12</f>
        <v>4.2330868906469593E-12</v>
      </c>
      <c r="R131" s="62">
        <f t="shared" ref="R131:R194" si="109">Q131+(I131+J131)*44/12</f>
        <v>293.33333333333752</v>
      </c>
      <c r="S131" s="62">
        <f ca="1">AVERAGE(OFFSET($R$3,0,0,'Données projet'!$E$9+1,1))-AVERAGE(OFFSET($H$3,0,0,'Données projet'!$E$9+1,1))</f>
        <v>181.48161394994878</v>
      </c>
      <c r="T131" s="62">
        <f t="shared" si="88"/>
        <v>141.1874974464024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340.81036749486179</v>
      </c>
      <c r="AO131" s="62">
        <f t="shared" si="90"/>
        <v>208.88199836488013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257.96727373333601</v>
      </c>
      <c r="BJ131" s="62">
        <f t="shared" si="92"/>
        <v>194.52809733694494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0.3993374445257547</v>
      </c>
      <c r="BR131" s="23">
        <f>EXP(-LN(2)/2)*BR130+(1-EXP(-LN(2)/2))/(LN(2)/2)*BL131*BO131*VLOOKUP('Données projet'!$B$11,Paramètres!$A$1:$I$89,3,0)*0.475*44/12</f>
        <v>2.5263518509790324E-14</v>
      </c>
      <c r="BS131" s="24">
        <f t="shared" si="63"/>
        <v>0.39933744452577996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292.83612296867898</v>
      </c>
      <c r="CE131" s="62">
        <f t="shared" si="94"/>
        <v>180.48047802041276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5.0252020541912135E-14</v>
      </c>
      <c r="CN131" s="24">
        <f t="shared" si="66"/>
        <v>5.0252020541912135E-14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-6.4733285398688169E-14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192.93829651668403</v>
      </c>
      <c r="CZ131" s="62">
        <f t="shared" si="96"/>
        <v>76.592736352376903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-3.813056537183002E-14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66.964554307546564</v>
      </c>
      <c r="DU131" s="62">
        <f t="shared" si="98"/>
        <v>21.162700178818568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-5.4978954722173515E-14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146.90952320473599</v>
      </c>
      <c r="EP131" s="62">
        <f t="shared" si="100"/>
        <v>56.347130462109817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-5.6843418860808015E-14</v>
      </c>
      <c r="FF131" s="18">
        <f>FE131*VLOOKUP('Données projet'!$B$16,Paramètres!$A$1:$I$89,3,0)*VLOOKUP('Données projet'!$B$16,Paramètres!$A$1:$I$89,5,0)</f>
        <v>-6.1186256061773749E-14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176.21892815766847</v>
      </c>
      <c r="FK131" s="62">
        <f t="shared" si="102"/>
        <v>69.239647548491234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-1.1368683772161603E-13</v>
      </c>
      <c r="GA131" s="18">
        <f>FZ131*VLOOKUP('Données projet'!$B$17,Paramètres!$A$1:$I$89,3,0)*VLOOKUP('Données projet'!$B$17,Paramètres!$A$1:$I$89,5,0)</f>
        <v>-9.0449248091317723E-14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70.834027458412379</v>
      </c>
      <c r="GF131" s="62">
        <f t="shared" si="104"/>
        <v>74.346987922112362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2.2093560755495831E-14</v>
      </c>
      <c r="GO131" s="23">
        <f t="shared" si="81"/>
        <v>2.2093560755495831E-14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-1.1368683772161603E-13</v>
      </c>
      <c r="GV131" s="18">
        <f>GU131*VLOOKUP('Données projet'!$B$18,Paramètres!$A$1:$I$89,3,0)*VLOOKUP('Données projet'!$B$18,Paramètres!$A$1:$I$89,5,0)</f>
        <v>-8.8675733422860506E-14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99.222094917553648</v>
      </c>
      <c r="HA131" s="62">
        <f t="shared" si="106"/>
        <v>98.371477396766352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4.5968374350285682E-15</v>
      </c>
      <c r="HJ131" s="24">
        <f t="shared" si="84"/>
        <v>4.5968374350285682E-15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1.5961632016114892E-13</v>
      </c>
      <c r="P132" s="14">
        <f t="shared" si="87"/>
        <v>2.2708641912150958E-12</v>
      </c>
      <c r="Q132" s="22">
        <f t="shared" si="108"/>
        <v>4.2330868906469593E-12</v>
      </c>
      <c r="R132" s="62">
        <f t="shared" si="109"/>
        <v>293.33333333333752</v>
      </c>
      <c r="S132" s="62">
        <f ca="1">AVERAGE(OFFSET($R$3,0,0,'Données projet'!$E$9+1,1))-AVERAGE(OFFSET($H$3,0,0,'Données projet'!$E$9+1,1))</f>
        <v>181.48161394994878</v>
      </c>
      <c r="T132" s="62">
        <f t="shared" si="88"/>
        <v>141.1874974464024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340.81036749486179</v>
      </c>
      <c r="AO132" s="62">
        <f t="shared" si="90"/>
        <v>208.88199836488013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257.96727373333601</v>
      </c>
      <c r="BJ132" s="62">
        <f t="shared" si="92"/>
        <v>194.52809733694494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0.38841754110495441</v>
      </c>
      <c r="BR132" s="23">
        <f>EXP(-LN(2)/2)*BR131+(1-EXP(-LN(2)/2))/(LN(2)/2)*BL132*BO132*VLOOKUP('Données projet'!$B$11,Paramètres!$A$1:$I$89,3,0)*0.475*44/12</f>
        <v>1.78640052549046E-14</v>
      </c>
      <c r="BS132" s="24">
        <f t="shared" ref="BS132:BS153" si="117">SUM(BP132:BR132)</f>
        <v>0.38841754110497229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292.83612296867898</v>
      </c>
      <c r="CE132" s="62">
        <f t="shared" si="94"/>
        <v>180.48047802041276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3.5533544493511755E-14</v>
      </c>
      <c r="CN132" s="24">
        <f t="shared" ref="CN132:CN153" si="120">SUM(CK132:CM132)</f>
        <v>3.5533544493511755E-14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-6.4733285398688169E-14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192.93829651668403</v>
      </c>
      <c r="CZ132" s="62">
        <f t="shared" si="96"/>
        <v>76.592736352376903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-3.813056537183002E-14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66.964554307546564</v>
      </c>
      <c r="DU132" s="62">
        <f t="shared" si="98"/>
        <v>21.162700178818568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-5.4978954722173515E-14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146.90952320473599</v>
      </c>
      <c r="EP132" s="62">
        <f t="shared" si="100"/>
        <v>56.347130462109817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-5.6843418860808015E-14</v>
      </c>
      <c r="FF132" s="18">
        <f>FE132*VLOOKUP('Données projet'!$B$16,Paramètres!$A$1:$I$89,3,0)*VLOOKUP('Données projet'!$B$16,Paramètres!$A$1:$I$89,5,0)</f>
        <v>-6.1186256061773749E-14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176.21892815766847</v>
      </c>
      <c r="FK132" s="62">
        <f t="shared" si="102"/>
        <v>69.239647548491234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-1.1368683772161603E-13</v>
      </c>
      <c r="GA132" s="18">
        <f>FZ132*VLOOKUP('Données projet'!$B$17,Paramètres!$A$1:$I$89,3,0)*VLOOKUP('Données projet'!$B$17,Paramètres!$A$1:$I$89,5,0)</f>
        <v>-9.0449248091317723E-14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70.834027458412379</v>
      </c>
      <c r="GF132" s="62">
        <f t="shared" si="104"/>
        <v>74.346987922112362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1.5622506630768084E-14</v>
      </c>
      <c r="GO132" s="23">
        <f t="shared" ref="GO132:GO153" si="135">SUM(GL132:GN132)</f>
        <v>1.5622506630768084E-14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-1.1368683772161603E-13</v>
      </c>
      <c r="GV132" s="18">
        <f>GU132*VLOOKUP('Données projet'!$B$18,Paramètres!$A$1:$I$89,3,0)*VLOOKUP('Données projet'!$B$18,Paramètres!$A$1:$I$89,5,0)</f>
        <v>-8.8675733422860506E-14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99.222094917553648</v>
      </c>
      <c r="HA132" s="62">
        <f t="shared" si="106"/>
        <v>98.371477396766352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3.2504549223208762E-15</v>
      </c>
      <c r="HJ132" s="24">
        <f t="shared" ref="HJ132:HJ153" si="138">SUM(HG132:HI132)</f>
        <v>3.2504549223208762E-15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1.5961632016114892E-13</v>
      </c>
      <c r="P133" s="14">
        <f t="shared" ref="P133:P196" si="141">EXP(-1.0587+0.8836*LN(O133)+0.284)</f>
        <v>2.2708641912150958E-12</v>
      </c>
      <c r="Q133" s="22">
        <f t="shared" si="108"/>
        <v>4.2330868906469593E-12</v>
      </c>
      <c r="R133" s="62">
        <f t="shared" si="109"/>
        <v>293.33333333333752</v>
      </c>
      <c r="S133" s="62">
        <f ca="1">AVERAGE(OFFSET($R$3,0,0,'Données projet'!$E$9+1,1))-AVERAGE(OFFSET($H$3,0,0,'Données projet'!$E$9+1,1))</f>
        <v>181.48161394994878</v>
      </c>
      <c r="T133" s="62">
        <f t="shared" ref="T133:T196" si="142">$T$3</f>
        <v>141.1874974464024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340.81036749486179</v>
      </c>
      <c r="AO133" s="62">
        <f t="shared" ref="AO133:AO196" si="144">$AO$3</f>
        <v>208.88199836488013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257.96727373333601</v>
      </c>
      <c r="BJ133" s="62">
        <f t="shared" ref="BJ133:BJ196" si="146">$BJ$3</f>
        <v>194.52809733694494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0.37779624301744869</v>
      </c>
      <c r="BR133" s="23">
        <f>EXP(-LN(2)/2)*BR132+(1-EXP(-LN(2)/2))/(LN(2)/2)*BL133*BO133*VLOOKUP('Données projet'!$B$11,Paramètres!$A$1:$I$89,3,0)*0.475*44/12</f>
        <v>1.2631759254895162E-14</v>
      </c>
      <c r="BS133" s="24">
        <f t="shared" si="117"/>
        <v>0.37779624301746134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292.83612296867898</v>
      </c>
      <c r="CE133" s="62">
        <f t="shared" ref="CE133:CE196" si="148">$CE$3</f>
        <v>180.48047802041276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2.5126010270956068E-14</v>
      </c>
      <c r="CN133" s="24">
        <f t="shared" si="120"/>
        <v>2.5126010270956068E-14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-6.4733285398688169E-14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192.93829651668403</v>
      </c>
      <c r="CZ133" s="62">
        <f t="shared" ref="CZ133:CZ196" si="150">$CZ$3</f>
        <v>76.592736352376903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-3.813056537183002E-14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66.964554307546564</v>
      </c>
      <c r="DU133" s="62">
        <f t="shared" ref="DU133:DU196" si="152">$DU$3</f>
        <v>21.162700178818568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-5.4978954722173515E-14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146.90952320473599</v>
      </c>
      <c r="EP133" s="62">
        <f t="shared" ref="EP133:EP196" si="154">$EP$3</f>
        <v>56.347130462109817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-5.6843418860808015E-14</v>
      </c>
      <c r="FF133" s="18">
        <f>FE133*VLOOKUP('Données projet'!$B$16,Paramètres!$A$1:$I$89,3,0)*VLOOKUP('Données projet'!$B$16,Paramètres!$A$1:$I$89,5,0)</f>
        <v>-6.1186256061773749E-14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176.21892815766847</v>
      </c>
      <c r="FK133" s="62">
        <f t="shared" ref="FK133:FK196" si="156">$FK$3</f>
        <v>69.239647548491234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-1.1368683772161603E-13</v>
      </c>
      <c r="GA133" s="18">
        <f>FZ133*VLOOKUP('Données projet'!$B$17,Paramètres!$A$1:$I$89,3,0)*VLOOKUP('Données projet'!$B$17,Paramètres!$A$1:$I$89,5,0)</f>
        <v>-9.0449248091317723E-14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70.834027458412379</v>
      </c>
      <c r="GF133" s="62">
        <f t="shared" ref="GF133:GF196" si="158">$GF$3</f>
        <v>74.346987922112362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1.1046780377747916E-14</v>
      </c>
      <c r="GO133" s="23">
        <f t="shared" si="135"/>
        <v>1.1046780377747916E-14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-1.1368683772161603E-13</v>
      </c>
      <c r="GV133" s="18">
        <f>GU133*VLOOKUP('Données projet'!$B$18,Paramètres!$A$1:$I$89,3,0)*VLOOKUP('Données projet'!$B$18,Paramètres!$A$1:$I$89,5,0)</f>
        <v>-8.8675733422860506E-14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99.222094917553648</v>
      </c>
      <c r="HA133" s="62">
        <f t="shared" ref="HA133:HA196" si="160">$HA$3</f>
        <v>98.371477396766352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2.2984187175142841E-15</v>
      </c>
      <c r="HJ133" s="24">
        <f t="shared" si="138"/>
        <v>2.2984187175142841E-15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1.5961632016114892E-13</v>
      </c>
      <c r="P134" s="14">
        <f t="shared" si="141"/>
        <v>2.2708641912150958E-12</v>
      </c>
      <c r="Q134" s="22">
        <f t="shared" si="108"/>
        <v>4.2330868906469593E-12</v>
      </c>
      <c r="R134" s="62">
        <f t="shared" si="109"/>
        <v>293.33333333333752</v>
      </c>
      <c r="S134" s="62">
        <f ca="1">AVERAGE(OFFSET($R$3,0,0,'Données projet'!$E$9+1,1))-AVERAGE(OFFSET($H$3,0,0,'Données projet'!$E$9+1,1))</f>
        <v>181.48161394994878</v>
      </c>
      <c r="T134" s="62">
        <f t="shared" si="142"/>
        <v>141.1874974464024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340.81036749486179</v>
      </c>
      <c r="AO134" s="62">
        <f t="shared" si="144"/>
        <v>208.88199836488013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257.96727373333601</v>
      </c>
      <c r="BJ134" s="62">
        <f t="shared" si="146"/>
        <v>194.52809733694494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0.3674653848846956</v>
      </c>
      <c r="BR134" s="23">
        <f>EXP(-LN(2)/2)*BR133+(1-EXP(-LN(2)/2))/(LN(2)/2)*BL134*BO134*VLOOKUP('Données projet'!$B$11,Paramètres!$A$1:$I$89,3,0)*0.475*44/12</f>
        <v>8.9320026274522999E-15</v>
      </c>
      <c r="BS134" s="24">
        <f t="shared" si="117"/>
        <v>0.36746538488470454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292.83612296867898</v>
      </c>
      <c r="CE134" s="62">
        <f t="shared" si="148"/>
        <v>180.48047802041276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1.7766772246755878E-14</v>
      </c>
      <c r="CN134" s="24">
        <f t="shared" si="120"/>
        <v>1.7766772246755878E-14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-6.4733285398688169E-14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192.93829651668403</v>
      </c>
      <c r="CZ134" s="62">
        <f t="shared" si="150"/>
        <v>76.592736352376903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-3.813056537183002E-14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66.964554307546564</v>
      </c>
      <c r="DU134" s="62">
        <f t="shared" si="152"/>
        <v>21.162700178818568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-5.4978954722173515E-14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146.90952320473599</v>
      </c>
      <c r="EP134" s="62">
        <f t="shared" si="154"/>
        <v>56.347130462109817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-5.6843418860808015E-14</v>
      </c>
      <c r="FF134" s="18">
        <f>FE134*VLOOKUP('Données projet'!$B$16,Paramètres!$A$1:$I$89,3,0)*VLOOKUP('Données projet'!$B$16,Paramètres!$A$1:$I$89,5,0)</f>
        <v>-6.1186256061773749E-14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176.21892815766847</v>
      </c>
      <c r="FK134" s="62">
        <f t="shared" si="156"/>
        <v>69.239647548491234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-1.1368683772161603E-13</v>
      </c>
      <c r="GA134" s="18">
        <f>FZ134*VLOOKUP('Données projet'!$B$17,Paramètres!$A$1:$I$89,3,0)*VLOOKUP('Données projet'!$B$17,Paramètres!$A$1:$I$89,5,0)</f>
        <v>-9.0449248091317723E-14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70.834027458412379</v>
      </c>
      <c r="GF134" s="62">
        <f t="shared" si="158"/>
        <v>74.346987922112362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7.8112533153840422E-15</v>
      </c>
      <c r="GO134" s="23">
        <f t="shared" si="135"/>
        <v>7.8112533153840422E-15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-1.1368683772161603E-13</v>
      </c>
      <c r="GV134" s="18">
        <f>GU134*VLOOKUP('Données projet'!$B$18,Paramètres!$A$1:$I$89,3,0)*VLOOKUP('Données projet'!$B$18,Paramètres!$A$1:$I$89,5,0)</f>
        <v>-8.8675733422860506E-14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99.222094917553648</v>
      </c>
      <c r="HA134" s="62">
        <f t="shared" si="160"/>
        <v>98.371477396766352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1.6252274611604381E-15</v>
      </c>
      <c r="HJ134" s="24">
        <f t="shared" si="138"/>
        <v>1.6252274611604381E-15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1.5961632016114892E-13</v>
      </c>
      <c r="P135" s="14">
        <f t="shared" si="141"/>
        <v>2.2708641912150958E-12</v>
      </c>
      <c r="Q135" s="22">
        <f t="shared" si="108"/>
        <v>4.2330868906469593E-12</v>
      </c>
      <c r="R135" s="62">
        <f t="shared" si="109"/>
        <v>293.33333333333752</v>
      </c>
      <c r="S135" s="62">
        <f ca="1">AVERAGE(OFFSET($R$3,0,0,'Données projet'!$E$9+1,1))-AVERAGE(OFFSET($H$3,0,0,'Données projet'!$E$9+1,1))</f>
        <v>181.48161394994878</v>
      </c>
      <c r="T135" s="62">
        <f t="shared" si="142"/>
        <v>141.1874974464024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340.81036749486179</v>
      </c>
      <c r="AO135" s="62">
        <f t="shared" si="144"/>
        <v>208.88199836488013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257.96727373333601</v>
      </c>
      <c r="BJ135" s="62">
        <f t="shared" si="146"/>
        <v>194.52809733694494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0.35741702461085884</v>
      </c>
      <c r="BR135" s="23">
        <f>EXP(-LN(2)/2)*BR134+(1-EXP(-LN(2)/2))/(LN(2)/2)*BL135*BO135*VLOOKUP('Données projet'!$B$11,Paramètres!$A$1:$I$89,3,0)*0.475*44/12</f>
        <v>6.315879627447581E-15</v>
      </c>
      <c r="BS135" s="24">
        <f t="shared" si="117"/>
        <v>0.35741702461086516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292.83612296867898</v>
      </c>
      <c r="CE135" s="62">
        <f t="shared" si="148"/>
        <v>180.48047802041276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1.2563005135478034E-14</v>
      </c>
      <c r="CN135" s="24">
        <f t="shared" si="120"/>
        <v>1.2563005135478034E-14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-6.4733285398688169E-14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192.93829651668403</v>
      </c>
      <c r="CZ135" s="62">
        <f t="shared" si="150"/>
        <v>76.592736352376903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-3.813056537183002E-14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66.964554307546564</v>
      </c>
      <c r="DU135" s="62">
        <f t="shared" si="152"/>
        <v>21.162700178818568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-5.4978954722173515E-14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146.90952320473599</v>
      </c>
      <c r="EP135" s="62">
        <f t="shared" si="154"/>
        <v>56.347130462109817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-5.6843418860808015E-14</v>
      </c>
      <c r="FF135" s="18">
        <f>FE135*VLOOKUP('Données projet'!$B$16,Paramètres!$A$1:$I$89,3,0)*VLOOKUP('Données projet'!$B$16,Paramètres!$A$1:$I$89,5,0)</f>
        <v>-6.1186256061773749E-14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176.21892815766847</v>
      </c>
      <c r="FK135" s="62">
        <f t="shared" si="156"/>
        <v>69.239647548491234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-1.1368683772161603E-13</v>
      </c>
      <c r="GA135" s="18">
        <f>FZ135*VLOOKUP('Données projet'!$B$17,Paramètres!$A$1:$I$89,3,0)*VLOOKUP('Données projet'!$B$17,Paramètres!$A$1:$I$89,5,0)</f>
        <v>-9.0449248091317723E-14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70.834027458412379</v>
      </c>
      <c r="GF135" s="62">
        <f t="shared" si="158"/>
        <v>74.346987922112362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5.5233901888739578E-15</v>
      </c>
      <c r="GO135" s="23">
        <f t="shared" si="135"/>
        <v>5.5233901888739578E-15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-1.1368683772161603E-13</v>
      </c>
      <c r="GV135" s="18">
        <f>GU135*VLOOKUP('Données projet'!$B$18,Paramètres!$A$1:$I$89,3,0)*VLOOKUP('Données projet'!$B$18,Paramètres!$A$1:$I$89,5,0)</f>
        <v>-8.8675733422860506E-14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99.222094917553648</v>
      </c>
      <c r="HA135" s="62">
        <f t="shared" si="160"/>
        <v>98.371477396766352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1.1492093587571421E-15</v>
      </c>
      <c r="HJ135" s="24">
        <f t="shared" si="138"/>
        <v>1.1492093587571421E-15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1.5961632016114892E-13</v>
      </c>
      <c r="P136" s="14">
        <f t="shared" si="141"/>
        <v>2.2708641912150958E-12</v>
      </c>
      <c r="Q136" s="22">
        <f t="shared" si="108"/>
        <v>4.2330868906469593E-12</v>
      </c>
      <c r="R136" s="62">
        <f t="shared" si="109"/>
        <v>293.33333333333752</v>
      </c>
      <c r="S136" s="62">
        <f ca="1">AVERAGE(OFFSET($R$3,0,0,'Données projet'!$E$9+1,1))-AVERAGE(OFFSET($H$3,0,0,'Données projet'!$E$9+1,1))</f>
        <v>181.48161394994878</v>
      </c>
      <c r="T136" s="62">
        <f t="shared" si="142"/>
        <v>141.1874974464024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340.81036749486179</v>
      </c>
      <c r="AO136" s="62">
        <f t="shared" si="144"/>
        <v>208.88199836488013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257.96727373333601</v>
      </c>
      <c r="BJ136" s="62">
        <f t="shared" si="146"/>
        <v>194.52809733694494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0.34764343727713048</v>
      </c>
      <c r="BR136" s="23">
        <f>EXP(-LN(2)/2)*BR135+(1-EXP(-LN(2)/2))/(LN(2)/2)*BL136*BO136*VLOOKUP('Données projet'!$B$11,Paramètres!$A$1:$I$89,3,0)*0.475*44/12</f>
        <v>4.4660013137261499E-15</v>
      </c>
      <c r="BS136" s="24">
        <f t="shared" si="117"/>
        <v>0.34764343727713493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292.83612296867898</v>
      </c>
      <c r="CE136" s="62">
        <f t="shared" si="148"/>
        <v>180.48047802041276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8.8833861233779388E-15</v>
      </c>
      <c r="CN136" s="24">
        <f t="shared" si="120"/>
        <v>8.8833861233779388E-15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-6.4733285398688169E-14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192.93829651668403</v>
      </c>
      <c r="CZ136" s="62">
        <f t="shared" si="150"/>
        <v>76.592736352376903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-3.813056537183002E-14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66.964554307546564</v>
      </c>
      <c r="DU136" s="62">
        <f t="shared" si="152"/>
        <v>21.162700178818568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-5.4978954722173515E-14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146.90952320473599</v>
      </c>
      <c r="EP136" s="62">
        <f t="shared" si="154"/>
        <v>56.347130462109817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-5.6843418860808015E-14</v>
      </c>
      <c r="FF136" s="18">
        <f>FE136*VLOOKUP('Données projet'!$B$16,Paramètres!$A$1:$I$89,3,0)*VLOOKUP('Données projet'!$B$16,Paramètres!$A$1:$I$89,5,0)</f>
        <v>-6.1186256061773749E-14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176.21892815766847</v>
      </c>
      <c r="FK136" s="62">
        <f t="shared" si="156"/>
        <v>69.239647548491234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-1.1368683772161603E-13</v>
      </c>
      <c r="GA136" s="18">
        <f>FZ136*VLOOKUP('Données projet'!$B$17,Paramètres!$A$1:$I$89,3,0)*VLOOKUP('Données projet'!$B$17,Paramètres!$A$1:$I$89,5,0)</f>
        <v>-9.0449248091317723E-14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70.834027458412379</v>
      </c>
      <c r="GF136" s="62">
        <f t="shared" si="158"/>
        <v>74.346987922112362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3.9056266576920211E-15</v>
      </c>
      <c r="GO136" s="23">
        <f t="shared" si="135"/>
        <v>3.9056266576920211E-15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-1.1368683772161603E-13</v>
      </c>
      <c r="GV136" s="18">
        <f>GU136*VLOOKUP('Données projet'!$B$18,Paramètres!$A$1:$I$89,3,0)*VLOOKUP('Données projet'!$B$18,Paramètres!$A$1:$I$89,5,0)</f>
        <v>-8.8675733422860506E-14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99.222094917553648</v>
      </c>
      <c r="HA136" s="62">
        <f t="shared" si="160"/>
        <v>98.371477396766352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8.1261373058021905E-16</v>
      </c>
      <c r="HJ136" s="24">
        <f t="shared" si="138"/>
        <v>8.1261373058021905E-16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1.5961632016114892E-13</v>
      </c>
      <c r="P137" s="14">
        <f t="shared" si="141"/>
        <v>2.2708641912150958E-12</v>
      </c>
      <c r="Q137" s="22">
        <f t="shared" si="108"/>
        <v>4.2330868906469593E-12</v>
      </c>
      <c r="R137" s="62">
        <f t="shared" si="109"/>
        <v>293.33333333333752</v>
      </c>
      <c r="S137" s="62">
        <f ca="1">AVERAGE(OFFSET($R$3,0,0,'Données projet'!$E$9+1,1))-AVERAGE(OFFSET($H$3,0,0,'Données projet'!$E$9+1,1))</f>
        <v>181.48161394994878</v>
      </c>
      <c r="T137" s="62">
        <f t="shared" si="142"/>
        <v>141.1874974464024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340.81036749486179</v>
      </c>
      <c r="AO137" s="62">
        <f t="shared" si="144"/>
        <v>208.88199836488013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257.96727373333601</v>
      </c>
      <c r="BJ137" s="62">
        <f t="shared" si="146"/>
        <v>194.52809733694494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0.33813710920301354</v>
      </c>
      <c r="BR137" s="23">
        <f>EXP(-LN(2)/2)*BR136+(1-EXP(-LN(2)/2))/(LN(2)/2)*BL137*BO137*VLOOKUP('Données projet'!$B$11,Paramètres!$A$1:$I$89,3,0)*0.475*44/12</f>
        <v>3.1579398137237905E-15</v>
      </c>
      <c r="BS137" s="24">
        <f t="shared" si="117"/>
        <v>0.33813710920301671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292.83612296867898</v>
      </c>
      <c r="CE137" s="62">
        <f t="shared" si="148"/>
        <v>180.48047802041276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6.2815025677390169E-15</v>
      </c>
      <c r="CN137" s="24">
        <f t="shared" si="120"/>
        <v>6.2815025677390169E-15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-6.4733285398688169E-14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192.93829651668403</v>
      </c>
      <c r="CZ137" s="62">
        <f t="shared" si="150"/>
        <v>76.592736352376903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-3.813056537183002E-14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66.964554307546564</v>
      </c>
      <c r="DU137" s="62">
        <f t="shared" si="152"/>
        <v>21.162700178818568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-5.4978954722173515E-14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146.90952320473599</v>
      </c>
      <c r="EP137" s="62">
        <f t="shared" si="154"/>
        <v>56.347130462109817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-5.6843418860808015E-14</v>
      </c>
      <c r="FF137" s="18">
        <f>FE137*VLOOKUP('Données projet'!$B$16,Paramètres!$A$1:$I$89,3,0)*VLOOKUP('Données projet'!$B$16,Paramètres!$A$1:$I$89,5,0)</f>
        <v>-6.1186256061773749E-14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176.21892815766847</v>
      </c>
      <c r="FK137" s="62">
        <f t="shared" si="156"/>
        <v>69.239647548491234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-1.1368683772161603E-13</v>
      </c>
      <c r="GA137" s="18">
        <f>FZ137*VLOOKUP('Données projet'!$B$17,Paramètres!$A$1:$I$89,3,0)*VLOOKUP('Données projet'!$B$17,Paramètres!$A$1:$I$89,5,0)</f>
        <v>-9.0449248091317723E-14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70.834027458412379</v>
      </c>
      <c r="GF137" s="62">
        <f t="shared" si="158"/>
        <v>74.346987922112362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2.7616950944369789E-15</v>
      </c>
      <c r="GO137" s="23">
        <f t="shared" si="135"/>
        <v>2.7616950944369789E-15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-1.1368683772161603E-13</v>
      </c>
      <c r="GV137" s="18">
        <f>GU137*VLOOKUP('Données projet'!$B$18,Paramètres!$A$1:$I$89,3,0)*VLOOKUP('Données projet'!$B$18,Paramètres!$A$1:$I$89,5,0)</f>
        <v>-8.8675733422860506E-14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99.222094917553648</v>
      </c>
      <c r="HA137" s="62">
        <f t="shared" si="160"/>
        <v>98.371477396766352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5.7460467937857103E-16</v>
      </c>
      <c r="HJ137" s="24">
        <f t="shared" si="138"/>
        <v>5.7460467937857103E-16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1.5961632016114892E-13</v>
      </c>
      <c r="P138" s="14">
        <f t="shared" si="141"/>
        <v>2.2708641912150958E-12</v>
      </c>
      <c r="Q138" s="22">
        <f t="shared" si="108"/>
        <v>4.2330868906469593E-12</v>
      </c>
      <c r="R138" s="62">
        <f t="shared" si="109"/>
        <v>293.33333333333752</v>
      </c>
      <c r="S138" s="62">
        <f ca="1">AVERAGE(OFFSET($R$3,0,0,'Données projet'!$E$9+1,1))-AVERAGE(OFFSET($H$3,0,0,'Données projet'!$E$9+1,1))</f>
        <v>181.48161394994878</v>
      </c>
      <c r="T138" s="62">
        <f t="shared" si="142"/>
        <v>141.1874974464024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340.81036749486179</v>
      </c>
      <c r="AO138" s="62">
        <f t="shared" si="144"/>
        <v>208.88199836488013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257.96727373333601</v>
      </c>
      <c r="BJ138" s="62">
        <f t="shared" si="146"/>
        <v>194.52809733694494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0.32889073216999937</v>
      </c>
      <c r="BR138" s="23">
        <f>EXP(-LN(2)/2)*BR137+(1-EXP(-LN(2)/2))/(LN(2)/2)*BL138*BO138*VLOOKUP('Données projet'!$B$11,Paramètres!$A$1:$I$89,3,0)*0.475*44/12</f>
        <v>2.233000656863075E-15</v>
      </c>
      <c r="BS138" s="24">
        <f t="shared" si="117"/>
        <v>0.32889073217000159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292.83612296867898</v>
      </c>
      <c r="CE138" s="62">
        <f t="shared" si="148"/>
        <v>180.48047802041276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4.4416930616889694E-15</v>
      </c>
      <c r="CN138" s="24">
        <f t="shared" si="120"/>
        <v>4.4416930616889694E-15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-6.4733285398688169E-14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192.93829651668403</v>
      </c>
      <c r="CZ138" s="62">
        <f t="shared" si="150"/>
        <v>76.592736352376903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-3.813056537183002E-14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66.964554307546564</v>
      </c>
      <c r="DU138" s="62">
        <f t="shared" si="152"/>
        <v>21.162700178818568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-5.4978954722173515E-14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146.90952320473599</v>
      </c>
      <c r="EP138" s="62">
        <f t="shared" si="154"/>
        <v>56.347130462109817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-5.6843418860808015E-14</v>
      </c>
      <c r="FF138" s="18">
        <f>FE138*VLOOKUP('Données projet'!$B$16,Paramètres!$A$1:$I$89,3,0)*VLOOKUP('Données projet'!$B$16,Paramètres!$A$1:$I$89,5,0)</f>
        <v>-6.1186256061773749E-14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176.21892815766847</v>
      </c>
      <c r="FK138" s="62">
        <f t="shared" si="156"/>
        <v>69.239647548491234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-1.1368683772161603E-13</v>
      </c>
      <c r="GA138" s="18">
        <f>FZ138*VLOOKUP('Données projet'!$B$17,Paramètres!$A$1:$I$89,3,0)*VLOOKUP('Données projet'!$B$17,Paramètres!$A$1:$I$89,5,0)</f>
        <v>-9.0449248091317723E-14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70.834027458412379</v>
      </c>
      <c r="GF138" s="62">
        <f t="shared" si="158"/>
        <v>74.346987922112362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1.9528133288460106E-15</v>
      </c>
      <c r="GO138" s="23">
        <f t="shared" si="135"/>
        <v>1.9528133288460106E-15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-1.1368683772161603E-13</v>
      </c>
      <c r="GV138" s="18">
        <f>GU138*VLOOKUP('Données projet'!$B$18,Paramètres!$A$1:$I$89,3,0)*VLOOKUP('Données projet'!$B$18,Paramètres!$A$1:$I$89,5,0)</f>
        <v>-8.8675733422860506E-14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99.222094917553648</v>
      </c>
      <c r="HA138" s="62">
        <f t="shared" si="160"/>
        <v>98.371477396766352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4.0630686529010953E-16</v>
      </c>
      <c r="HJ138" s="24">
        <f t="shared" si="138"/>
        <v>4.0630686529010953E-16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1.5961632016114892E-13</v>
      </c>
      <c r="P139" s="14">
        <f t="shared" si="141"/>
        <v>2.2708641912150958E-12</v>
      </c>
      <c r="Q139" s="22">
        <f t="shared" si="108"/>
        <v>4.2330868906469593E-12</v>
      </c>
      <c r="R139" s="62">
        <f t="shared" si="109"/>
        <v>293.33333333333752</v>
      </c>
      <c r="S139" s="62">
        <f ca="1">AVERAGE(OFFSET($R$3,0,0,'Données projet'!$E$9+1,1))-AVERAGE(OFFSET($H$3,0,0,'Données projet'!$E$9+1,1))</f>
        <v>181.48161394994878</v>
      </c>
      <c r="T139" s="62">
        <f t="shared" si="142"/>
        <v>141.1874974464024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340.81036749486179</v>
      </c>
      <c r="AO139" s="62">
        <f t="shared" si="144"/>
        <v>208.88199836488013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257.96727373333601</v>
      </c>
      <c r="BJ139" s="62">
        <f t="shared" si="146"/>
        <v>194.52809733694494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0.31989719780319881</v>
      </c>
      <c r="BR139" s="23">
        <f>EXP(-LN(2)/2)*BR138+(1-EXP(-LN(2)/2))/(LN(2)/2)*BL139*BO139*VLOOKUP('Données projet'!$B$11,Paramètres!$A$1:$I$89,3,0)*0.475*44/12</f>
        <v>1.5789699068618953E-15</v>
      </c>
      <c r="BS139" s="24">
        <f t="shared" si="117"/>
        <v>0.31989719780320036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292.83612296867898</v>
      </c>
      <c r="CE139" s="62">
        <f t="shared" si="148"/>
        <v>180.48047802041276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3.1407512838695085E-15</v>
      </c>
      <c r="CN139" s="24">
        <f t="shared" si="120"/>
        <v>3.1407512838695085E-15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-6.4733285398688169E-14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192.93829651668403</v>
      </c>
      <c r="CZ139" s="62">
        <f t="shared" si="150"/>
        <v>76.592736352376903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-3.813056537183002E-14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66.964554307546564</v>
      </c>
      <c r="DU139" s="62">
        <f t="shared" si="152"/>
        <v>21.162700178818568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-5.4978954722173515E-14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146.90952320473599</v>
      </c>
      <c r="EP139" s="62">
        <f t="shared" si="154"/>
        <v>56.347130462109817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-5.6843418860808015E-14</v>
      </c>
      <c r="FF139" s="18">
        <f>FE139*VLOOKUP('Données projet'!$B$16,Paramètres!$A$1:$I$89,3,0)*VLOOKUP('Données projet'!$B$16,Paramètres!$A$1:$I$89,5,0)</f>
        <v>-6.1186256061773749E-14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176.21892815766847</v>
      </c>
      <c r="FK139" s="62">
        <f t="shared" si="156"/>
        <v>69.239647548491234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-1.1368683772161603E-13</v>
      </c>
      <c r="GA139" s="18">
        <f>FZ139*VLOOKUP('Données projet'!$B$17,Paramètres!$A$1:$I$89,3,0)*VLOOKUP('Données projet'!$B$17,Paramètres!$A$1:$I$89,5,0)</f>
        <v>-9.0449248091317723E-14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70.834027458412379</v>
      </c>
      <c r="GF139" s="62">
        <f t="shared" si="158"/>
        <v>74.346987922112362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1.3808475472184895E-15</v>
      </c>
      <c r="GO139" s="23">
        <f t="shared" si="135"/>
        <v>1.3808475472184895E-15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-1.1368683772161603E-13</v>
      </c>
      <c r="GV139" s="18">
        <f>GU139*VLOOKUP('Données projet'!$B$18,Paramètres!$A$1:$I$89,3,0)*VLOOKUP('Données projet'!$B$18,Paramètres!$A$1:$I$89,5,0)</f>
        <v>-8.8675733422860506E-14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99.222094917553648</v>
      </c>
      <c r="HA139" s="62">
        <f t="shared" si="160"/>
        <v>98.371477396766352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2.8730233968928551E-16</v>
      </c>
      <c r="HJ139" s="24">
        <f t="shared" si="138"/>
        <v>2.8730233968928551E-16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1.5961632016114892E-13</v>
      </c>
      <c r="P140" s="14">
        <f t="shared" si="141"/>
        <v>2.2708641912150958E-12</v>
      </c>
      <c r="Q140" s="22">
        <f t="shared" si="108"/>
        <v>4.2330868906469593E-12</v>
      </c>
      <c r="R140" s="62">
        <f t="shared" si="109"/>
        <v>293.33333333333752</v>
      </c>
      <c r="S140" s="62">
        <f ca="1">AVERAGE(OFFSET($R$3,0,0,'Données projet'!$E$9+1,1))-AVERAGE(OFFSET($H$3,0,0,'Données projet'!$E$9+1,1))</f>
        <v>181.48161394994878</v>
      </c>
      <c r="T140" s="62">
        <f t="shared" si="142"/>
        <v>141.1874974464024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340.81036749486179</v>
      </c>
      <c r="AO140" s="62">
        <f t="shared" si="144"/>
        <v>208.88199836488013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257.96727373333601</v>
      </c>
      <c r="BJ140" s="62">
        <f t="shared" si="146"/>
        <v>194.52809733694494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0.31114959210660786</v>
      </c>
      <c r="BR140" s="23">
        <f>EXP(-LN(2)/2)*BR139+(1-EXP(-LN(2)/2))/(LN(2)/2)*BL140*BO140*VLOOKUP('Données projet'!$B$11,Paramètres!$A$1:$I$89,3,0)*0.475*44/12</f>
        <v>1.1165003284315375E-15</v>
      </c>
      <c r="BS140" s="24">
        <f t="shared" si="117"/>
        <v>0.31114959210660897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292.83612296867898</v>
      </c>
      <c r="CE140" s="62">
        <f t="shared" si="148"/>
        <v>180.48047802041276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2.2208465308444847E-15</v>
      </c>
      <c r="CN140" s="24">
        <f t="shared" si="120"/>
        <v>2.2208465308444847E-15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-6.4733285398688169E-14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192.93829651668403</v>
      </c>
      <c r="CZ140" s="62">
        <f t="shared" si="150"/>
        <v>76.592736352376903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-3.813056537183002E-14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66.964554307546564</v>
      </c>
      <c r="DU140" s="62">
        <f t="shared" si="152"/>
        <v>21.162700178818568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-5.4978954722173515E-14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146.90952320473599</v>
      </c>
      <c r="EP140" s="62">
        <f t="shared" si="154"/>
        <v>56.347130462109817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-5.6843418860808015E-14</v>
      </c>
      <c r="FF140" s="18">
        <f>FE140*VLOOKUP('Données projet'!$B$16,Paramètres!$A$1:$I$89,3,0)*VLOOKUP('Données projet'!$B$16,Paramètres!$A$1:$I$89,5,0)</f>
        <v>-6.1186256061773749E-14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176.21892815766847</v>
      </c>
      <c r="FK140" s="62">
        <f t="shared" si="156"/>
        <v>69.239647548491234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-1.1368683772161603E-13</v>
      </c>
      <c r="GA140" s="18">
        <f>FZ140*VLOOKUP('Données projet'!$B$17,Paramètres!$A$1:$I$89,3,0)*VLOOKUP('Données projet'!$B$17,Paramètres!$A$1:$I$89,5,0)</f>
        <v>-9.0449248091317723E-14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70.834027458412379</v>
      </c>
      <c r="GF140" s="62">
        <f t="shared" si="158"/>
        <v>74.346987922112362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9.7640666442300528E-16</v>
      </c>
      <c r="GO140" s="23">
        <f t="shared" si="135"/>
        <v>9.7640666442300528E-16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-1.1368683772161603E-13</v>
      </c>
      <c r="GV140" s="18">
        <f>GU140*VLOOKUP('Données projet'!$B$18,Paramètres!$A$1:$I$89,3,0)*VLOOKUP('Données projet'!$B$18,Paramètres!$A$1:$I$89,5,0)</f>
        <v>-8.8675733422860506E-14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99.222094917553648</v>
      </c>
      <c r="HA140" s="62">
        <f t="shared" si="160"/>
        <v>98.371477396766352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2.0315343264505476E-16</v>
      </c>
      <c r="HJ140" s="24">
        <f t="shared" si="138"/>
        <v>2.0315343264505476E-16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1.5961632016114892E-13</v>
      </c>
      <c r="P141" s="14">
        <f t="shared" si="141"/>
        <v>2.2708641912150958E-12</v>
      </c>
      <c r="Q141" s="22">
        <f t="shared" si="108"/>
        <v>4.2330868906469593E-12</v>
      </c>
      <c r="R141" s="62">
        <f t="shared" si="109"/>
        <v>293.33333333333752</v>
      </c>
      <c r="S141" s="62">
        <f ca="1">AVERAGE(OFFSET($R$3,0,0,'Données projet'!$E$9+1,1))-AVERAGE(OFFSET($H$3,0,0,'Données projet'!$E$9+1,1))</f>
        <v>181.48161394994878</v>
      </c>
      <c r="T141" s="62">
        <f t="shared" si="142"/>
        <v>141.1874974464024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340.81036749486179</v>
      </c>
      <c r="AO141" s="62">
        <f t="shared" si="144"/>
        <v>208.88199836488013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257.96727373333601</v>
      </c>
      <c r="BJ141" s="62">
        <f t="shared" si="146"/>
        <v>194.52809733694494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0.30264119014780677</v>
      </c>
      <c r="BR141" s="23">
        <f>EXP(-LN(2)/2)*BR140+(1-EXP(-LN(2)/2))/(LN(2)/2)*BL141*BO141*VLOOKUP('Données projet'!$B$11,Paramètres!$A$1:$I$89,3,0)*0.475*44/12</f>
        <v>7.8948495343094763E-16</v>
      </c>
      <c r="BS141" s="24">
        <f t="shared" si="117"/>
        <v>0.30264119014780755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292.83612296867898</v>
      </c>
      <c r="CE141" s="62">
        <f t="shared" si="148"/>
        <v>180.48047802041276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1.5703756419347542E-15</v>
      </c>
      <c r="CN141" s="24">
        <f t="shared" si="120"/>
        <v>1.5703756419347542E-15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-6.4733285398688169E-14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192.93829651668403</v>
      </c>
      <c r="CZ141" s="62">
        <f t="shared" si="150"/>
        <v>76.592736352376903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-3.813056537183002E-14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66.964554307546564</v>
      </c>
      <c r="DU141" s="62">
        <f t="shared" si="152"/>
        <v>21.162700178818568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-5.4978954722173515E-14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146.90952320473599</v>
      </c>
      <c r="EP141" s="62">
        <f t="shared" si="154"/>
        <v>56.347130462109817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-5.6843418860808015E-14</v>
      </c>
      <c r="FF141" s="18">
        <f>FE141*VLOOKUP('Données projet'!$B$16,Paramètres!$A$1:$I$89,3,0)*VLOOKUP('Données projet'!$B$16,Paramètres!$A$1:$I$89,5,0)</f>
        <v>-6.1186256061773749E-14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176.21892815766847</v>
      </c>
      <c r="FK141" s="62">
        <f t="shared" si="156"/>
        <v>69.239647548491234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-1.1368683772161603E-13</v>
      </c>
      <c r="GA141" s="18">
        <f>FZ141*VLOOKUP('Données projet'!$B$17,Paramètres!$A$1:$I$89,3,0)*VLOOKUP('Données projet'!$B$17,Paramètres!$A$1:$I$89,5,0)</f>
        <v>-9.0449248091317723E-14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70.834027458412379</v>
      </c>
      <c r="GF141" s="62">
        <f t="shared" si="158"/>
        <v>74.346987922112362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6.9042377360924473E-16</v>
      </c>
      <c r="GO141" s="23">
        <f t="shared" si="135"/>
        <v>6.9042377360924473E-16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-1.1368683772161603E-13</v>
      </c>
      <c r="GV141" s="18">
        <f>GU141*VLOOKUP('Données projet'!$B$18,Paramètres!$A$1:$I$89,3,0)*VLOOKUP('Données projet'!$B$18,Paramètres!$A$1:$I$89,5,0)</f>
        <v>-8.8675733422860506E-14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99.222094917553648</v>
      </c>
      <c r="HA141" s="62">
        <f t="shared" si="160"/>
        <v>98.371477396766352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1.4365116984464276E-16</v>
      </c>
      <c r="HJ141" s="24">
        <f t="shared" si="138"/>
        <v>1.4365116984464276E-16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1.5961632016114892E-13</v>
      </c>
      <c r="P142" s="14">
        <f t="shared" si="141"/>
        <v>2.2708641912150958E-12</v>
      </c>
      <c r="Q142" s="22">
        <f t="shared" si="108"/>
        <v>4.2330868906469593E-12</v>
      </c>
      <c r="R142" s="62">
        <f t="shared" si="109"/>
        <v>293.33333333333752</v>
      </c>
      <c r="S142" s="62">
        <f ca="1">AVERAGE(OFFSET($R$3,0,0,'Données projet'!$E$9+1,1))-AVERAGE(OFFSET($H$3,0,0,'Données projet'!$E$9+1,1))</f>
        <v>181.48161394994878</v>
      </c>
      <c r="T142" s="62">
        <f t="shared" si="142"/>
        <v>141.1874974464024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340.81036749486179</v>
      </c>
      <c r="AO142" s="62">
        <f t="shared" si="144"/>
        <v>208.88199836488013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257.96727373333601</v>
      </c>
      <c r="BJ142" s="62">
        <f t="shared" si="146"/>
        <v>194.52809733694494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0.29436545088800647</v>
      </c>
      <c r="BR142" s="23">
        <f>EXP(-LN(2)/2)*BR141+(1-EXP(-LN(2)/2))/(LN(2)/2)*BL142*BO142*VLOOKUP('Données projet'!$B$11,Paramètres!$A$1:$I$89,3,0)*0.475*44/12</f>
        <v>5.5825016421576874E-16</v>
      </c>
      <c r="BS142" s="24">
        <f t="shared" si="117"/>
        <v>0.29436545088800703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292.83612296867898</v>
      </c>
      <c r="CE142" s="62">
        <f t="shared" si="148"/>
        <v>180.48047802041276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1.1104232654222423E-15</v>
      </c>
      <c r="CN142" s="24">
        <f t="shared" si="120"/>
        <v>1.1104232654222423E-15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-6.4733285398688169E-14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192.93829651668403</v>
      </c>
      <c r="CZ142" s="62">
        <f t="shared" si="150"/>
        <v>76.592736352376903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-3.813056537183002E-14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66.964554307546564</v>
      </c>
      <c r="DU142" s="62">
        <f t="shared" si="152"/>
        <v>21.162700178818568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-5.4978954722173515E-14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146.90952320473599</v>
      </c>
      <c r="EP142" s="62">
        <f t="shared" si="154"/>
        <v>56.347130462109817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-5.6843418860808015E-14</v>
      </c>
      <c r="FF142" s="18">
        <f>FE142*VLOOKUP('Données projet'!$B$16,Paramètres!$A$1:$I$89,3,0)*VLOOKUP('Données projet'!$B$16,Paramètres!$A$1:$I$89,5,0)</f>
        <v>-6.1186256061773749E-14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176.21892815766847</v>
      </c>
      <c r="FK142" s="62">
        <f t="shared" si="156"/>
        <v>69.239647548491234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-1.1368683772161603E-13</v>
      </c>
      <c r="GA142" s="18">
        <f>FZ142*VLOOKUP('Données projet'!$B$17,Paramètres!$A$1:$I$89,3,0)*VLOOKUP('Données projet'!$B$17,Paramètres!$A$1:$I$89,5,0)</f>
        <v>-9.0449248091317723E-14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70.834027458412379</v>
      </c>
      <c r="GF142" s="62">
        <f t="shared" si="158"/>
        <v>74.346987922112362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4.8820333221150264E-16</v>
      </c>
      <c r="GO142" s="23">
        <f t="shared" si="135"/>
        <v>4.8820333221150264E-16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-1.1368683772161603E-13</v>
      </c>
      <c r="GV142" s="18">
        <f>GU142*VLOOKUP('Données projet'!$B$18,Paramètres!$A$1:$I$89,3,0)*VLOOKUP('Données projet'!$B$18,Paramètres!$A$1:$I$89,5,0)</f>
        <v>-8.8675733422860506E-14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99.222094917553648</v>
      </c>
      <c r="HA142" s="62">
        <f t="shared" si="160"/>
        <v>98.371477396766352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1.0157671632252738E-16</v>
      </c>
      <c r="HJ142" s="24">
        <f t="shared" si="138"/>
        <v>1.0157671632252738E-16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1.5961632016114892E-13</v>
      </c>
      <c r="P143" s="14">
        <f t="shared" si="141"/>
        <v>2.2708641912150958E-12</v>
      </c>
      <c r="Q143" s="22">
        <f t="shared" si="108"/>
        <v>4.2330868906469593E-12</v>
      </c>
      <c r="R143" s="62">
        <f t="shared" si="109"/>
        <v>293.33333333333752</v>
      </c>
      <c r="S143" s="62">
        <f ca="1">AVERAGE(OFFSET($R$3,0,0,'Données projet'!$E$9+1,1))-AVERAGE(OFFSET($H$3,0,0,'Données projet'!$E$9+1,1))</f>
        <v>181.48161394994878</v>
      </c>
      <c r="T143" s="62">
        <f t="shared" si="142"/>
        <v>141.1874974464024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340.81036749486179</v>
      </c>
      <c r="AO143" s="62">
        <f t="shared" si="144"/>
        <v>208.88199836488013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257.96727373333601</v>
      </c>
      <c r="BJ143" s="62">
        <f t="shared" si="146"/>
        <v>194.52809733694494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0.28631601215346764</v>
      </c>
      <c r="BR143" s="23">
        <f>EXP(-LN(2)/2)*BR142+(1-EXP(-LN(2)/2))/(LN(2)/2)*BL143*BO143*VLOOKUP('Données projet'!$B$11,Paramètres!$A$1:$I$89,3,0)*0.475*44/12</f>
        <v>3.9474247671547381E-16</v>
      </c>
      <c r="BS143" s="24">
        <f t="shared" si="117"/>
        <v>0.28631601215346802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292.83612296867898</v>
      </c>
      <c r="CE143" s="62">
        <f t="shared" si="148"/>
        <v>180.48047802041276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7.8518782096737711E-16</v>
      </c>
      <c r="CN143" s="24">
        <f t="shared" si="120"/>
        <v>7.8518782096737711E-16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-6.4733285398688169E-14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192.93829651668403</v>
      </c>
      <c r="CZ143" s="62">
        <f t="shared" si="150"/>
        <v>76.592736352376903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-3.813056537183002E-14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66.964554307546564</v>
      </c>
      <c r="DU143" s="62">
        <f t="shared" si="152"/>
        <v>21.162700178818568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-5.4978954722173515E-14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146.90952320473599</v>
      </c>
      <c r="EP143" s="62">
        <f t="shared" si="154"/>
        <v>56.347130462109817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-5.6843418860808015E-14</v>
      </c>
      <c r="FF143" s="18">
        <f>FE143*VLOOKUP('Données projet'!$B$16,Paramètres!$A$1:$I$89,3,0)*VLOOKUP('Données projet'!$B$16,Paramètres!$A$1:$I$89,5,0)</f>
        <v>-6.1186256061773749E-14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176.21892815766847</v>
      </c>
      <c r="FK143" s="62">
        <f t="shared" si="156"/>
        <v>69.239647548491234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-1.1368683772161603E-13</v>
      </c>
      <c r="GA143" s="18">
        <f>FZ143*VLOOKUP('Données projet'!$B$17,Paramètres!$A$1:$I$89,3,0)*VLOOKUP('Données projet'!$B$17,Paramètres!$A$1:$I$89,5,0)</f>
        <v>-9.0449248091317723E-14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70.834027458412379</v>
      </c>
      <c r="GF143" s="62">
        <f t="shared" si="158"/>
        <v>74.346987922112362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3.4521188680462236E-16</v>
      </c>
      <c r="GO143" s="23">
        <f t="shared" si="135"/>
        <v>3.4521188680462236E-16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-1.1368683772161603E-13</v>
      </c>
      <c r="GV143" s="18">
        <f>GU143*VLOOKUP('Données projet'!$B$18,Paramètres!$A$1:$I$89,3,0)*VLOOKUP('Données projet'!$B$18,Paramètres!$A$1:$I$89,5,0)</f>
        <v>-8.8675733422860506E-14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99.222094917553648</v>
      </c>
      <c r="HA143" s="62">
        <f t="shared" si="160"/>
        <v>98.371477396766352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7.1825584922321379E-17</v>
      </c>
      <c r="HJ143" s="24">
        <f t="shared" si="138"/>
        <v>7.1825584922321379E-17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1.5961632016114892E-13</v>
      </c>
      <c r="P144" s="14">
        <f t="shared" si="141"/>
        <v>2.2708641912150958E-12</v>
      </c>
      <c r="Q144" s="22">
        <f t="shared" si="108"/>
        <v>4.2330868906469593E-12</v>
      </c>
      <c r="R144" s="62">
        <f t="shared" si="109"/>
        <v>293.33333333333752</v>
      </c>
      <c r="S144" s="62">
        <f ca="1">AVERAGE(OFFSET($R$3,0,0,'Données projet'!$E$9+1,1))-AVERAGE(OFFSET($H$3,0,0,'Données projet'!$E$9+1,1))</f>
        <v>181.48161394994878</v>
      </c>
      <c r="T144" s="62">
        <f t="shared" si="142"/>
        <v>141.1874974464024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340.81036749486179</v>
      </c>
      <c r="AO144" s="62">
        <f t="shared" si="144"/>
        <v>208.88199836488013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257.96727373333601</v>
      </c>
      <c r="BJ144" s="62">
        <f t="shared" si="146"/>
        <v>194.52809733694494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0.27848668574442637</v>
      </c>
      <c r="BR144" s="23">
        <f>EXP(-LN(2)/2)*BR143+(1-EXP(-LN(2)/2))/(LN(2)/2)*BL144*BO144*VLOOKUP('Données projet'!$B$11,Paramètres!$A$1:$I$89,3,0)*0.475*44/12</f>
        <v>2.7912508210788437E-16</v>
      </c>
      <c r="BS144" s="24">
        <f t="shared" si="117"/>
        <v>0.27848668574442664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292.83612296867898</v>
      </c>
      <c r="CE144" s="62">
        <f t="shared" si="148"/>
        <v>180.48047802041276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5.5521163271112117E-16</v>
      </c>
      <c r="CN144" s="24">
        <f t="shared" si="120"/>
        <v>5.5521163271112117E-16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-6.4733285398688169E-14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192.93829651668403</v>
      </c>
      <c r="CZ144" s="62">
        <f t="shared" si="150"/>
        <v>76.592736352376903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-3.813056537183002E-14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66.964554307546564</v>
      </c>
      <c r="DU144" s="62">
        <f t="shared" si="152"/>
        <v>21.162700178818568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-5.4978954722173515E-14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146.90952320473599</v>
      </c>
      <c r="EP144" s="62">
        <f t="shared" si="154"/>
        <v>56.347130462109817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-5.6843418860808015E-14</v>
      </c>
      <c r="FF144" s="18">
        <f>FE144*VLOOKUP('Données projet'!$B$16,Paramètres!$A$1:$I$89,3,0)*VLOOKUP('Données projet'!$B$16,Paramètres!$A$1:$I$89,5,0)</f>
        <v>-6.1186256061773749E-14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176.21892815766847</v>
      </c>
      <c r="FK144" s="62">
        <f t="shared" si="156"/>
        <v>69.239647548491234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-1.1368683772161603E-13</v>
      </c>
      <c r="GA144" s="18">
        <f>FZ144*VLOOKUP('Données projet'!$B$17,Paramètres!$A$1:$I$89,3,0)*VLOOKUP('Données projet'!$B$17,Paramètres!$A$1:$I$89,5,0)</f>
        <v>-9.0449248091317723E-14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70.834027458412379</v>
      </c>
      <c r="GF144" s="62">
        <f t="shared" si="158"/>
        <v>74.346987922112362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2.4410166610575132E-16</v>
      </c>
      <c r="GO144" s="23">
        <f t="shared" si="135"/>
        <v>2.4410166610575132E-16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-1.1368683772161603E-13</v>
      </c>
      <c r="GV144" s="18">
        <f>GU144*VLOOKUP('Données projet'!$B$18,Paramètres!$A$1:$I$89,3,0)*VLOOKUP('Données projet'!$B$18,Paramètres!$A$1:$I$89,5,0)</f>
        <v>-8.8675733422860506E-14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99.222094917553648</v>
      </c>
      <c r="HA144" s="62">
        <f t="shared" si="160"/>
        <v>98.371477396766352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5.0788358161263691E-17</v>
      </c>
      <c r="HJ144" s="24">
        <f t="shared" si="138"/>
        <v>5.0788358161263691E-17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1.5961632016114892E-13</v>
      </c>
      <c r="P145" s="14">
        <f t="shared" si="141"/>
        <v>2.2708641912150958E-12</v>
      </c>
      <c r="Q145" s="22">
        <f t="shared" si="108"/>
        <v>4.2330868906469593E-12</v>
      </c>
      <c r="R145" s="62">
        <f t="shared" si="109"/>
        <v>293.33333333333752</v>
      </c>
      <c r="S145" s="62">
        <f ca="1">AVERAGE(OFFSET($R$3,0,0,'Données projet'!$E$9+1,1))-AVERAGE(OFFSET($H$3,0,0,'Données projet'!$E$9+1,1))</f>
        <v>181.48161394994878</v>
      </c>
      <c r="T145" s="62">
        <f t="shared" si="142"/>
        <v>141.1874974464024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340.81036749486179</v>
      </c>
      <c r="AO145" s="62">
        <f t="shared" si="144"/>
        <v>208.88199836488013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257.96727373333601</v>
      </c>
      <c r="BJ145" s="62">
        <f t="shared" si="146"/>
        <v>194.52809733694494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0.27087145267776669</v>
      </c>
      <c r="BR145" s="23">
        <f>EXP(-LN(2)/2)*BR144+(1-EXP(-LN(2)/2))/(LN(2)/2)*BL145*BO145*VLOOKUP('Données projet'!$B$11,Paramètres!$A$1:$I$89,3,0)*0.475*44/12</f>
        <v>1.9737123835773691E-16</v>
      </c>
      <c r="BS145" s="24">
        <f t="shared" si="117"/>
        <v>0.27087145267776691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292.83612296867898</v>
      </c>
      <c r="CE145" s="62">
        <f t="shared" si="148"/>
        <v>180.48047802041276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3.9259391048368856E-16</v>
      </c>
      <c r="CN145" s="24">
        <f t="shared" si="120"/>
        <v>3.9259391048368856E-16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-6.4733285398688169E-14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192.93829651668403</v>
      </c>
      <c r="CZ145" s="62">
        <f t="shared" si="150"/>
        <v>76.592736352376903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-3.813056537183002E-14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66.964554307546564</v>
      </c>
      <c r="DU145" s="62">
        <f t="shared" si="152"/>
        <v>21.162700178818568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-5.4978954722173515E-14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146.90952320473599</v>
      </c>
      <c r="EP145" s="62">
        <f t="shared" si="154"/>
        <v>56.347130462109817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-5.6843418860808015E-14</v>
      </c>
      <c r="FF145" s="18">
        <f>FE145*VLOOKUP('Données projet'!$B$16,Paramètres!$A$1:$I$89,3,0)*VLOOKUP('Données projet'!$B$16,Paramètres!$A$1:$I$89,5,0)</f>
        <v>-6.1186256061773749E-14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176.21892815766847</v>
      </c>
      <c r="FK145" s="62">
        <f t="shared" si="156"/>
        <v>69.239647548491234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-1.1368683772161603E-13</v>
      </c>
      <c r="GA145" s="18">
        <f>FZ145*VLOOKUP('Données projet'!$B$17,Paramètres!$A$1:$I$89,3,0)*VLOOKUP('Données projet'!$B$17,Paramètres!$A$1:$I$89,5,0)</f>
        <v>-9.0449248091317723E-14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70.834027458412379</v>
      </c>
      <c r="GF145" s="62">
        <f t="shared" si="158"/>
        <v>74.346987922112362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1.7260594340231118E-16</v>
      </c>
      <c r="GO145" s="23">
        <f t="shared" si="135"/>
        <v>1.7260594340231118E-16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-1.1368683772161603E-13</v>
      </c>
      <c r="GV145" s="18">
        <f>GU145*VLOOKUP('Données projet'!$B$18,Paramètres!$A$1:$I$89,3,0)*VLOOKUP('Données projet'!$B$18,Paramètres!$A$1:$I$89,5,0)</f>
        <v>-8.8675733422860506E-14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99.222094917553648</v>
      </c>
      <c r="HA145" s="62">
        <f t="shared" si="160"/>
        <v>98.371477396766352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3.5912792461160689E-17</v>
      </c>
      <c r="HJ145" s="24">
        <f t="shared" si="138"/>
        <v>3.5912792461160689E-17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1.5961632016114892E-13</v>
      </c>
      <c r="P146" s="14">
        <f t="shared" si="141"/>
        <v>2.2708641912150958E-12</v>
      </c>
      <c r="Q146" s="22">
        <f t="shared" si="108"/>
        <v>4.2330868906469593E-12</v>
      </c>
      <c r="R146" s="62">
        <f t="shared" si="109"/>
        <v>293.33333333333752</v>
      </c>
      <c r="S146" s="62">
        <f ca="1">AVERAGE(OFFSET($R$3,0,0,'Données projet'!$E$9+1,1))-AVERAGE(OFFSET($H$3,0,0,'Données projet'!$E$9+1,1))</f>
        <v>181.48161394994878</v>
      </c>
      <c r="T146" s="62">
        <f t="shared" si="142"/>
        <v>141.1874974464024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340.81036749486179</v>
      </c>
      <c r="AO146" s="62">
        <f t="shared" si="144"/>
        <v>208.88199836488013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257.96727373333601</v>
      </c>
      <c r="BJ146" s="62">
        <f t="shared" si="146"/>
        <v>194.52809733694494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0.26346445855978257</v>
      </c>
      <c r="BR146" s="23">
        <f>EXP(-LN(2)/2)*BR145+(1-EXP(-LN(2)/2))/(LN(2)/2)*BL146*BO146*VLOOKUP('Données projet'!$B$11,Paramètres!$A$1:$I$89,3,0)*0.475*44/12</f>
        <v>1.3956254105394219E-16</v>
      </c>
      <c r="BS146" s="24">
        <f t="shared" si="117"/>
        <v>0.26346445855978273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292.83612296867898</v>
      </c>
      <c r="CE146" s="62">
        <f t="shared" si="148"/>
        <v>180.48047802041276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2.7760581635556059E-16</v>
      </c>
      <c r="CN146" s="24">
        <f t="shared" si="120"/>
        <v>2.7760581635556059E-16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-6.4733285398688169E-14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192.93829651668403</v>
      </c>
      <c r="CZ146" s="62">
        <f t="shared" si="150"/>
        <v>76.592736352376903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-3.813056537183002E-14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66.964554307546564</v>
      </c>
      <c r="DU146" s="62">
        <f t="shared" si="152"/>
        <v>21.162700178818568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-5.4978954722173515E-14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146.90952320473599</v>
      </c>
      <c r="EP146" s="62">
        <f t="shared" si="154"/>
        <v>56.347130462109817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-5.6843418860808015E-14</v>
      </c>
      <c r="FF146" s="18">
        <f>FE146*VLOOKUP('Données projet'!$B$16,Paramètres!$A$1:$I$89,3,0)*VLOOKUP('Données projet'!$B$16,Paramètres!$A$1:$I$89,5,0)</f>
        <v>-6.1186256061773749E-14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176.21892815766847</v>
      </c>
      <c r="FK146" s="62">
        <f t="shared" si="156"/>
        <v>69.239647548491234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-1.1368683772161603E-13</v>
      </c>
      <c r="GA146" s="18">
        <f>FZ146*VLOOKUP('Données projet'!$B$17,Paramètres!$A$1:$I$89,3,0)*VLOOKUP('Données projet'!$B$17,Paramètres!$A$1:$I$89,5,0)</f>
        <v>-9.0449248091317723E-14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70.834027458412379</v>
      </c>
      <c r="GF146" s="62">
        <f t="shared" si="158"/>
        <v>74.346987922112362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1.2205083305287566E-16</v>
      </c>
      <c r="GO146" s="23">
        <f t="shared" si="135"/>
        <v>1.2205083305287566E-16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-1.1368683772161603E-13</v>
      </c>
      <c r="GV146" s="18">
        <f>GU146*VLOOKUP('Données projet'!$B$18,Paramètres!$A$1:$I$89,3,0)*VLOOKUP('Données projet'!$B$18,Paramètres!$A$1:$I$89,5,0)</f>
        <v>-8.8675733422860506E-14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99.222094917553648</v>
      </c>
      <c r="HA146" s="62">
        <f t="shared" si="160"/>
        <v>98.371477396766352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2.5394179080631845E-17</v>
      </c>
      <c r="HJ146" s="24">
        <f t="shared" si="138"/>
        <v>2.5394179080631845E-17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1.5961632016114892E-13</v>
      </c>
      <c r="P147" s="14">
        <f t="shared" si="141"/>
        <v>2.2708641912150958E-12</v>
      </c>
      <c r="Q147" s="22">
        <f t="shared" si="108"/>
        <v>4.2330868906469593E-12</v>
      </c>
      <c r="R147" s="62">
        <f t="shared" si="109"/>
        <v>293.33333333333752</v>
      </c>
      <c r="S147" s="62">
        <f ca="1">AVERAGE(OFFSET($R$3,0,0,'Données projet'!$E$9+1,1))-AVERAGE(OFFSET($H$3,0,0,'Données projet'!$E$9+1,1))</f>
        <v>181.48161394994878</v>
      </c>
      <c r="T147" s="62">
        <f t="shared" si="142"/>
        <v>141.1874974464024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340.81036749486179</v>
      </c>
      <c r="AO147" s="62">
        <f t="shared" si="144"/>
        <v>208.88199836488013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257.96727373333601</v>
      </c>
      <c r="BJ147" s="62">
        <f t="shared" si="146"/>
        <v>194.52809733694494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0.25626000908547159</v>
      </c>
      <c r="BR147" s="23">
        <f>EXP(-LN(2)/2)*BR146+(1-EXP(-LN(2)/2))/(LN(2)/2)*BL147*BO147*VLOOKUP('Données projet'!$B$11,Paramètres!$A$1:$I$89,3,0)*0.475*44/12</f>
        <v>9.8685619178868454E-17</v>
      </c>
      <c r="BS147" s="24">
        <f t="shared" si="117"/>
        <v>0.2562600090854717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292.83612296867898</v>
      </c>
      <c r="CE147" s="62">
        <f t="shared" si="148"/>
        <v>180.48047802041276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1.9629695524184428E-16</v>
      </c>
      <c r="CN147" s="24">
        <f t="shared" si="120"/>
        <v>1.9629695524184428E-16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-6.4733285398688169E-14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192.93829651668403</v>
      </c>
      <c r="CZ147" s="62">
        <f t="shared" si="150"/>
        <v>76.592736352376903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-3.813056537183002E-14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66.964554307546564</v>
      </c>
      <c r="DU147" s="62">
        <f t="shared" si="152"/>
        <v>21.162700178818568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-5.4978954722173515E-14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146.90952320473599</v>
      </c>
      <c r="EP147" s="62">
        <f t="shared" si="154"/>
        <v>56.347130462109817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-5.6843418860808015E-14</v>
      </c>
      <c r="FF147" s="18">
        <f>FE147*VLOOKUP('Données projet'!$B$16,Paramètres!$A$1:$I$89,3,0)*VLOOKUP('Données projet'!$B$16,Paramètres!$A$1:$I$89,5,0)</f>
        <v>-6.1186256061773749E-14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176.21892815766847</v>
      </c>
      <c r="FK147" s="62">
        <f t="shared" si="156"/>
        <v>69.239647548491234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-1.1368683772161603E-13</v>
      </c>
      <c r="GA147" s="18">
        <f>FZ147*VLOOKUP('Données projet'!$B$17,Paramètres!$A$1:$I$89,3,0)*VLOOKUP('Données projet'!$B$17,Paramètres!$A$1:$I$89,5,0)</f>
        <v>-9.0449248091317723E-14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70.834027458412379</v>
      </c>
      <c r="GF147" s="62">
        <f t="shared" si="158"/>
        <v>74.346987922112362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8.6302971701155591E-17</v>
      </c>
      <c r="GO147" s="23">
        <f t="shared" si="135"/>
        <v>8.6302971701155591E-17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-1.1368683772161603E-13</v>
      </c>
      <c r="GV147" s="18">
        <f>GU147*VLOOKUP('Données projet'!$B$18,Paramètres!$A$1:$I$89,3,0)*VLOOKUP('Données projet'!$B$18,Paramètres!$A$1:$I$89,5,0)</f>
        <v>-8.8675733422860506E-14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99.222094917553648</v>
      </c>
      <c r="HA147" s="62">
        <f t="shared" si="160"/>
        <v>98.371477396766352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1.7956396230580345E-17</v>
      </c>
      <c r="HJ147" s="24">
        <f t="shared" si="138"/>
        <v>1.7956396230580345E-17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1.5961632016114892E-13</v>
      </c>
      <c r="P148" s="14">
        <f t="shared" si="141"/>
        <v>2.2708641912150958E-12</v>
      </c>
      <c r="Q148" s="22">
        <f t="shared" si="108"/>
        <v>4.2330868906469593E-12</v>
      </c>
      <c r="R148" s="62">
        <f t="shared" si="109"/>
        <v>293.33333333333752</v>
      </c>
      <c r="S148" s="62">
        <f ca="1">AVERAGE(OFFSET($R$3,0,0,'Données projet'!$E$9+1,1))-AVERAGE(OFFSET($H$3,0,0,'Données projet'!$E$9+1,1))</f>
        <v>181.48161394994878</v>
      </c>
      <c r="T148" s="62">
        <f t="shared" si="142"/>
        <v>141.1874974464024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340.81036749486179</v>
      </c>
      <c r="AO148" s="62">
        <f t="shared" si="144"/>
        <v>208.88199836488013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257.96727373333601</v>
      </c>
      <c r="BJ148" s="62">
        <f t="shared" si="146"/>
        <v>194.52809733694494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0.24925256566090118</v>
      </c>
      <c r="BR148" s="23">
        <f>EXP(-LN(2)/2)*BR147+(1-EXP(-LN(2)/2))/(LN(2)/2)*BL148*BO148*VLOOKUP('Données projet'!$B$11,Paramètres!$A$1:$I$89,3,0)*0.475*44/12</f>
        <v>6.9781270526971093E-17</v>
      </c>
      <c r="BS148" s="24">
        <f t="shared" si="117"/>
        <v>0.24925256566090126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292.83612296867898</v>
      </c>
      <c r="CE148" s="62">
        <f t="shared" si="148"/>
        <v>180.48047802041276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1.3880290817778029E-16</v>
      </c>
      <c r="CN148" s="24">
        <f t="shared" si="120"/>
        <v>1.3880290817778029E-16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-6.4733285398688169E-14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192.93829651668403</v>
      </c>
      <c r="CZ148" s="62">
        <f t="shared" si="150"/>
        <v>76.592736352376903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-3.813056537183002E-14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66.964554307546564</v>
      </c>
      <c r="DU148" s="62">
        <f t="shared" si="152"/>
        <v>21.162700178818568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-5.4978954722173515E-14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146.90952320473599</v>
      </c>
      <c r="EP148" s="62">
        <f t="shared" si="154"/>
        <v>56.347130462109817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-5.6843418860808015E-14</v>
      </c>
      <c r="FF148" s="18">
        <f>FE148*VLOOKUP('Données projet'!$B$16,Paramètres!$A$1:$I$89,3,0)*VLOOKUP('Données projet'!$B$16,Paramètres!$A$1:$I$89,5,0)</f>
        <v>-6.1186256061773749E-14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176.21892815766847</v>
      </c>
      <c r="FK148" s="62">
        <f t="shared" si="156"/>
        <v>69.239647548491234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-1.1368683772161603E-13</v>
      </c>
      <c r="GA148" s="18">
        <f>FZ148*VLOOKUP('Données projet'!$B$17,Paramètres!$A$1:$I$89,3,0)*VLOOKUP('Données projet'!$B$17,Paramètres!$A$1:$I$89,5,0)</f>
        <v>-9.0449248091317723E-14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70.834027458412379</v>
      </c>
      <c r="GF148" s="62">
        <f t="shared" si="158"/>
        <v>74.346987922112362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6.102541652643783E-17</v>
      </c>
      <c r="GO148" s="23">
        <f t="shared" si="135"/>
        <v>6.102541652643783E-17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-1.1368683772161603E-13</v>
      </c>
      <c r="GV148" s="18">
        <f>GU148*VLOOKUP('Données projet'!$B$18,Paramètres!$A$1:$I$89,3,0)*VLOOKUP('Données projet'!$B$18,Paramètres!$A$1:$I$89,5,0)</f>
        <v>-8.8675733422860506E-14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99.222094917553648</v>
      </c>
      <c r="HA148" s="62">
        <f t="shared" si="160"/>
        <v>98.371477396766352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1.2697089540315923E-17</v>
      </c>
      <c r="HJ148" s="24">
        <f t="shared" si="138"/>
        <v>1.2697089540315923E-17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1.5961632016114892E-13</v>
      </c>
      <c r="P149" s="14">
        <f t="shared" si="141"/>
        <v>2.2708641912150958E-12</v>
      </c>
      <c r="Q149" s="22">
        <f t="shared" si="108"/>
        <v>4.2330868906469593E-12</v>
      </c>
      <c r="R149" s="62">
        <f t="shared" si="109"/>
        <v>293.33333333333752</v>
      </c>
      <c r="S149" s="62">
        <f ca="1">AVERAGE(OFFSET($R$3,0,0,'Données projet'!$E$9+1,1))-AVERAGE(OFFSET($H$3,0,0,'Données projet'!$E$9+1,1))</f>
        <v>181.48161394994878</v>
      </c>
      <c r="T149" s="62">
        <f t="shared" si="142"/>
        <v>141.1874974464024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340.81036749486179</v>
      </c>
      <c r="AO149" s="62">
        <f t="shared" si="144"/>
        <v>208.88199836488013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257.96727373333601</v>
      </c>
      <c r="BJ149" s="62">
        <f t="shared" si="146"/>
        <v>194.52809733694494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0.24243674114528108</v>
      </c>
      <c r="BR149" s="23">
        <f>EXP(-LN(2)/2)*BR148+(1-EXP(-LN(2)/2))/(LN(2)/2)*BL149*BO149*VLOOKUP('Données projet'!$B$11,Paramètres!$A$1:$I$89,3,0)*0.475*44/12</f>
        <v>4.9342809589434227E-17</v>
      </c>
      <c r="BS149" s="24">
        <f t="shared" si="117"/>
        <v>0.24243674114528113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292.83612296867898</v>
      </c>
      <c r="CE149" s="62">
        <f t="shared" si="148"/>
        <v>180.48047802041276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9.8148477620922139E-17</v>
      </c>
      <c r="CN149" s="24">
        <f t="shared" si="120"/>
        <v>9.8148477620922139E-17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-6.4733285398688169E-14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192.93829651668403</v>
      </c>
      <c r="CZ149" s="62">
        <f t="shared" si="150"/>
        <v>76.592736352376903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-3.813056537183002E-14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66.964554307546564</v>
      </c>
      <c r="DU149" s="62">
        <f t="shared" si="152"/>
        <v>21.162700178818568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-5.4978954722173515E-14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146.90952320473599</v>
      </c>
      <c r="EP149" s="62">
        <f t="shared" si="154"/>
        <v>56.347130462109817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-5.6843418860808015E-14</v>
      </c>
      <c r="FF149" s="18">
        <f>FE149*VLOOKUP('Données projet'!$B$16,Paramètres!$A$1:$I$89,3,0)*VLOOKUP('Données projet'!$B$16,Paramètres!$A$1:$I$89,5,0)</f>
        <v>-6.1186256061773749E-14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176.21892815766847</v>
      </c>
      <c r="FK149" s="62">
        <f t="shared" si="156"/>
        <v>69.239647548491234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-1.1368683772161603E-13</v>
      </c>
      <c r="GA149" s="18">
        <f>FZ149*VLOOKUP('Données projet'!$B$17,Paramètres!$A$1:$I$89,3,0)*VLOOKUP('Données projet'!$B$17,Paramètres!$A$1:$I$89,5,0)</f>
        <v>-9.0449248091317723E-14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70.834027458412379</v>
      </c>
      <c r="GF149" s="62">
        <f t="shared" si="158"/>
        <v>74.346987922112362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4.3151485850577796E-17</v>
      </c>
      <c r="GO149" s="23">
        <f t="shared" si="135"/>
        <v>4.3151485850577796E-17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-1.1368683772161603E-13</v>
      </c>
      <c r="GV149" s="18">
        <f>GU149*VLOOKUP('Données projet'!$B$18,Paramètres!$A$1:$I$89,3,0)*VLOOKUP('Données projet'!$B$18,Paramètres!$A$1:$I$89,5,0)</f>
        <v>-8.8675733422860506E-14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99.222094917553648</v>
      </c>
      <c r="HA149" s="62">
        <f t="shared" si="160"/>
        <v>98.371477396766352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8.9781981152901723E-18</v>
      </c>
      <c r="HJ149" s="24">
        <f t="shared" si="138"/>
        <v>8.9781981152901723E-18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1.5961632016114892E-13</v>
      </c>
      <c r="P150" s="14">
        <f t="shared" si="141"/>
        <v>2.2708641912150958E-12</v>
      </c>
      <c r="Q150" s="22">
        <f t="shared" si="108"/>
        <v>4.2330868906469593E-12</v>
      </c>
      <c r="R150" s="62">
        <f t="shared" si="109"/>
        <v>293.33333333333752</v>
      </c>
      <c r="S150" s="62">
        <f ca="1">AVERAGE(OFFSET($R$3,0,0,'Données projet'!$E$9+1,1))-AVERAGE(OFFSET($H$3,0,0,'Données projet'!$E$9+1,1))</f>
        <v>181.48161394994878</v>
      </c>
      <c r="T150" s="62">
        <f t="shared" si="142"/>
        <v>141.1874974464024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340.81036749486179</v>
      </c>
      <c r="AO150" s="62">
        <f t="shared" si="144"/>
        <v>208.88199836488013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257.96727373333601</v>
      </c>
      <c r="BJ150" s="62">
        <f t="shared" si="146"/>
        <v>194.52809733694494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0.23580729570946923</v>
      </c>
      <c r="BR150" s="23">
        <f>EXP(-LN(2)/2)*BR149+(1-EXP(-LN(2)/2))/(LN(2)/2)*BL150*BO150*VLOOKUP('Données projet'!$B$11,Paramètres!$A$1:$I$89,3,0)*0.475*44/12</f>
        <v>3.4890635263485546E-17</v>
      </c>
      <c r="BS150" s="24">
        <f t="shared" si="117"/>
        <v>0.23580729570946926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292.83612296867898</v>
      </c>
      <c r="CE150" s="62">
        <f t="shared" si="148"/>
        <v>180.48047802041276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6.9401454088890147E-17</v>
      </c>
      <c r="CN150" s="24">
        <f t="shared" si="120"/>
        <v>6.9401454088890147E-17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-6.4733285398688169E-14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192.93829651668403</v>
      </c>
      <c r="CZ150" s="62">
        <f t="shared" si="150"/>
        <v>76.592736352376903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-3.813056537183002E-14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66.964554307546564</v>
      </c>
      <c r="DU150" s="62">
        <f t="shared" si="152"/>
        <v>21.162700178818568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-5.4978954722173515E-14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146.90952320473599</v>
      </c>
      <c r="EP150" s="62">
        <f t="shared" si="154"/>
        <v>56.347130462109817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-5.6843418860808015E-14</v>
      </c>
      <c r="FF150" s="18">
        <f>FE150*VLOOKUP('Données projet'!$B$16,Paramètres!$A$1:$I$89,3,0)*VLOOKUP('Données projet'!$B$16,Paramètres!$A$1:$I$89,5,0)</f>
        <v>-6.1186256061773749E-14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176.21892815766847</v>
      </c>
      <c r="FK150" s="62">
        <f t="shared" si="156"/>
        <v>69.239647548491234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-1.1368683772161603E-13</v>
      </c>
      <c r="GA150" s="18">
        <f>FZ150*VLOOKUP('Données projet'!$B$17,Paramètres!$A$1:$I$89,3,0)*VLOOKUP('Données projet'!$B$17,Paramètres!$A$1:$I$89,5,0)</f>
        <v>-9.0449248091317723E-14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70.834027458412379</v>
      </c>
      <c r="GF150" s="62">
        <f t="shared" si="158"/>
        <v>74.346987922112362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3.0512708263218915E-17</v>
      </c>
      <c r="GO150" s="23">
        <f t="shared" si="135"/>
        <v>3.0512708263218915E-17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-1.1368683772161603E-13</v>
      </c>
      <c r="GV150" s="18">
        <f>GU150*VLOOKUP('Données projet'!$B$18,Paramètres!$A$1:$I$89,3,0)*VLOOKUP('Données projet'!$B$18,Paramètres!$A$1:$I$89,5,0)</f>
        <v>-8.8675733422860506E-14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99.222094917553648</v>
      </c>
      <c r="HA150" s="62">
        <f t="shared" si="160"/>
        <v>98.371477396766352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6.3485447701579613E-18</v>
      </c>
      <c r="HJ150" s="24">
        <f t="shared" si="138"/>
        <v>6.3485447701579613E-18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1.5961632016114892E-13</v>
      </c>
      <c r="P151" s="14">
        <f t="shared" si="141"/>
        <v>2.2708641912150958E-12</v>
      </c>
      <c r="Q151" s="22">
        <f t="shared" si="108"/>
        <v>4.2330868906469593E-12</v>
      </c>
      <c r="R151" s="62">
        <f t="shared" si="109"/>
        <v>293.33333333333752</v>
      </c>
      <c r="S151" s="62">
        <f ca="1">AVERAGE(OFFSET($R$3,0,0,'Données projet'!$E$9+1,1))-AVERAGE(OFFSET($H$3,0,0,'Données projet'!$E$9+1,1))</f>
        <v>181.48161394994878</v>
      </c>
      <c r="T151" s="62">
        <f t="shared" si="142"/>
        <v>141.1874974464024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340.81036749486179</v>
      </c>
      <c r="AO151" s="62">
        <f t="shared" si="144"/>
        <v>208.88199836488013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257.96727373333601</v>
      </c>
      <c r="BJ151" s="62">
        <f t="shared" si="146"/>
        <v>194.52809733694494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0.22935913280772707</v>
      </c>
      <c r="BR151" s="23">
        <f>EXP(-LN(2)/2)*BR150+(1-EXP(-LN(2)/2))/(LN(2)/2)*BL151*BO151*VLOOKUP('Données projet'!$B$11,Paramètres!$A$1:$I$89,3,0)*0.475*44/12</f>
        <v>2.4671404794717113E-17</v>
      </c>
      <c r="BS151" s="24">
        <f t="shared" si="117"/>
        <v>0.2293591328077271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292.83612296867898</v>
      </c>
      <c r="CE151" s="62">
        <f t="shared" si="148"/>
        <v>180.48047802041276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4.907423881046107E-17</v>
      </c>
      <c r="CN151" s="24">
        <f t="shared" si="120"/>
        <v>4.907423881046107E-17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-6.4733285398688169E-14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192.93829651668403</v>
      </c>
      <c r="CZ151" s="62">
        <f t="shared" si="150"/>
        <v>76.592736352376903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-3.813056537183002E-14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66.964554307546564</v>
      </c>
      <c r="DU151" s="62">
        <f t="shared" si="152"/>
        <v>21.162700178818568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-5.4978954722173515E-14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146.90952320473599</v>
      </c>
      <c r="EP151" s="62">
        <f t="shared" si="154"/>
        <v>56.347130462109817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-5.6843418860808015E-14</v>
      </c>
      <c r="FF151" s="18">
        <f>FE151*VLOOKUP('Données projet'!$B$16,Paramètres!$A$1:$I$89,3,0)*VLOOKUP('Données projet'!$B$16,Paramètres!$A$1:$I$89,5,0)</f>
        <v>-6.1186256061773749E-14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176.21892815766847</v>
      </c>
      <c r="FK151" s="62">
        <f t="shared" si="156"/>
        <v>69.239647548491234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-1.1368683772161603E-13</v>
      </c>
      <c r="GA151" s="18">
        <f>FZ151*VLOOKUP('Données projet'!$B$17,Paramètres!$A$1:$I$89,3,0)*VLOOKUP('Données projet'!$B$17,Paramètres!$A$1:$I$89,5,0)</f>
        <v>-9.0449248091317723E-14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70.834027458412379</v>
      </c>
      <c r="GF151" s="62">
        <f t="shared" si="158"/>
        <v>74.346987922112362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2.1575742925288898E-17</v>
      </c>
      <c r="GO151" s="23">
        <f t="shared" si="135"/>
        <v>2.1575742925288898E-17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-1.1368683772161603E-13</v>
      </c>
      <c r="GV151" s="18">
        <f>GU151*VLOOKUP('Données projet'!$B$18,Paramètres!$A$1:$I$89,3,0)*VLOOKUP('Données projet'!$B$18,Paramètres!$A$1:$I$89,5,0)</f>
        <v>-8.8675733422860506E-14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99.222094917553648</v>
      </c>
      <c r="HA151" s="62">
        <f t="shared" si="160"/>
        <v>98.371477396766352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4.4890990576450862E-18</v>
      </c>
      <c r="HJ151" s="24">
        <f t="shared" si="138"/>
        <v>4.4890990576450862E-18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1.5961632016114892E-13</v>
      </c>
      <c r="P152" s="14">
        <f t="shared" si="141"/>
        <v>2.2708641912150958E-12</v>
      </c>
      <c r="Q152" s="22">
        <f t="shared" si="108"/>
        <v>4.2330868906469593E-12</v>
      </c>
      <c r="R152" s="62">
        <f t="shared" si="109"/>
        <v>293.33333333333752</v>
      </c>
      <c r="S152" s="62">
        <f ca="1">AVERAGE(OFFSET($R$3,0,0,'Données projet'!$E$9+1,1))-AVERAGE(OFFSET($H$3,0,0,'Données projet'!$E$9+1,1))</f>
        <v>181.48161394994878</v>
      </c>
      <c r="T152" s="62">
        <f t="shared" si="142"/>
        <v>141.1874974464024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340.81036749486179</v>
      </c>
      <c r="AO152" s="62">
        <f t="shared" si="144"/>
        <v>208.88199836488013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257.96727373333601</v>
      </c>
      <c r="BJ152" s="62">
        <f t="shared" si="146"/>
        <v>194.52809733694494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0.2230872952596272</v>
      </c>
      <c r="BR152" s="23">
        <f>EXP(-LN(2)/2)*BR151+(1-EXP(-LN(2)/2))/(LN(2)/2)*BL152*BO152*VLOOKUP('Données projet'!$B$11,Paramètres!$A$1:$I$89,3,0)*0.475*44/12</f>
        <v>1.7445317631742773E-17</v>
      </c>
      <c r="BS152" s="24">
        <f t="shared" si="117"/>
        <v>0.22308729525962723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292.83612296867898</v>
      </c>
      <c r="CE152" s="62">
        <f t="shared" si="148"/>
        <v>180.48047802041276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3.4700727044445073E-17</v>
      </c>
      <c r="CN152" s="24">
        <f t="shared" si="120"/>
        <v>3.4700727044445073E-17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-6.4733285398688169E-14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192.93829651668403</v>
      </c>
      <c r="CZ152" s="62">
        <f t="shared" si="150"/>
        <v>76.592736352376903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-3.813056537183002E-14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66.964554307546564</v>
      </c>
      <c r="DU152" s="62">
        <f t="shared" si="152"/>
        <v>21.162700178818568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-5.4978954722173515E-14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146.90952320473599</v>
      </c>
      <c r="EP152" s="62">
        <f t="shared" si="154"/>
        <v>56.347130462109817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-5.6843418860808015E-14</v>
      </c>
      <c r="FF152" s="18">
        <f>FE152*VLOOKUP('Données projet'!$B$16,Paramètres!$A$1:$I$89,3,0)*VLOOKUP('Données projet'!$B$16,Paramètres!$A$1:$I$89,5,0)</f>
        <v>-6.1186256061773749E-14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176.21892815766847</v>
      </c>
      <c r="FK152" s="62">
        <f t="shared" si="156"/>
        <v>69.239647548491234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-1.1368683772161603E-13</v>
      </c>
      <c r="GA152" s="18">
        <f>FZ152*VLOOKUP('Données projet'!$B$17,Paramètres!$A$1:$I$89,3,0)*VLOOKUP('Données projet'!$B$17,Paramètres!$A$1:$I$89,5,0)</f>
        <v>-9.0449248091317723E-14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70.834027458412379</v>
      </c>
      <c r="GF152" s="62">
        <f t="shared" si="158"/>
        <v>74.346987922112362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1.5256354131609457E-17</v>
      </c>
      <c r="GO152" s="23">
        <f t="shared" si="135"/>
        <v>1.5256354131609457E-17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-1.1368683772161603E-13</v>
      </c>
      <c r="GV152" s="18">
        <f>GU152*VLOOKUP('Données projet'!$B$18,Paramètres!$A$1:$I$89,3,0)*VLOOKUP('Données projet'!$B$18,Paramètres!$A$1:$I$89,5,0)</f>
        <v>-8.8675733422860506E-14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99.222094917553648</v>
      </c>
      <c r="HA152" s="62">
        <f t="shared" si="160"/>
        <v>98.371477396766352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3.1742723850789807E-18</v>
      </c>
      <c r="HJ152" s="24">
        <f t="shared" si="138"/>
        <v>3.1742723850789807E-18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1.5961632016114892E-13</v>
      </c>
      <c r="P153" s="14">
        <f t="shared" si="141"/>
        <v>2.2708641912150958E-12</v>
      </c>
      <c r="Q153" s="22">
        <f t="shared" si="108"/>
        <v>4.2330868906469593E-12</v>
      </c>
      <c r="R153" s="62">
        <f t="shared" si="109"/>
        <v>293.33333333333752</v>
      </c>
      <c r="S153" s="62">
        <f ca="1">AVERAGE(OFFSET($R$3,0,0,'Données projet'!$E$9+1,1))-AVERAGE(OFFSET($H$3,0,0,'Données projet'!$E$9+1,1))</f>
        <v>181.48161394994878</v>
      </c>
      <c r="T153" s="62">
        <f t="shared" si="142"/>
        <v>141.1874974464024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340.81036749486179</v>
      </c>
      <c r="AO153" s="62">
        <f t="shared" si="144"/>
        <v>208.88199836488013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257.96727373333601</v>
      </c>
      <c r="BJ153" s="62">
        <f t="shared" si="146"/>
        <v>194.52809733694494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0.21698696143910171</v>
      </c>
      <c r="BR153" s="23">
        <f>EXP(-LN(2)/2)*BR152+(1-EXP(-LN(2)/2))/(LN(2)/2)*BL153*BO153*VLOOKUP('Données projet'!$B$11,Paramètres!$A$1:$I$89,3,0)*0.475*44/12</f>
        <v>1.2335702397358557E-17</v>
      </c>
      <c r="BS153" s="24">
        <f t="shared" si="117"/>
        <v>0.21698696143910171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292.83612296867898</v>
      </c>
      <c r="CE153" s="62">
        <f t="shared" si="148"/>
        <v>180.48047802041276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2.4537119405230535E-17</v>
      </c>
      <c r="CN153" s="24">
        <f t="shared" si="120"/>
        <v>2.4537119405230535E-17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-6.4733285398688169E-14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192.93829651668403</v>
      </c>
      <c r="CZ153" s="62">
        <f t="shared" si="150"/>
        <v>76.592736352376903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-3.813056537183002E-14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66.964554307546564</v>
      </c>
      <c r="DU153" s="62">
        <f t="shared" si="152"/>
        <v>21.162700178818568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-5.4978954722173515E-14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146.90952320473599</v>
      </c>
      <c r="EP153" s="62">
        <f t="shared" si="154"/>
        <v>56.347130462109817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-5.6843418860808015E-14</v>
      </c>
      <c r="FF153" s="18">
        <f>FE153*VLOOKUP('Données projet'!$B$16,Paramètres!$A$1:$I$89,3,0)*VLOOKUP('Données projet'!$B$16,Paramètres!$A$1:$I$89,5,0)</f>
        <v>-6.1186256061773749E-14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176.21892815766847</v>
      </c>
      <c r="FK153" s="62">
        <f t="shared" si="156"/>
        <v>69.239647548491234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-1.1368683772161603E-13</v>
      </c>
      <c r="GA153" s="18">
        <f>FZ153*VLOOKUP('Données projet'!$B$17,Paramètres!$A$1:$I$89,3,0)*VLOOKUP('Données projet'!$B$17,Paramètres!$A$1:$I$89,5,0)</f>
        <v>-9.0449248091317723E-14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70.834027458412379</v>
      </c>
      <c r="GF153" s="62">
        <f t="shared" si="158"/>
        <v>74.346987922112362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1.0787871462644449E-17</v>
      </c>
      <c r="GO153" s="23">
        <f t="shared" si="135"/>
        <v>1.0787871462644449E-17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-1.1368683772161603E-13</v>
      </c>
      <c r="GV153" s="18">
        <f>GU153*VLOOKUP('Données projet'!$B$18,Paramètres!$A$1:$I$89,3,0)*VLOOKUP('Données projet'!$B$18,Paramètres!$A$1:$I$89,5,0)</f>
        <v>-8.8675733422860506E-14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99.222094917553648</v>
      </c>
      <c r="HA153" s="62">
        <f t="shared" si="160"/>
        <v>98.371477396766352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2.2445495288225431E-18</v>
      </c>
      <c r="HJ153" s="24">
        <f t="shared" si="138"/>
        <v>2.2445495288225431E-18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1.5961632016114892E-13</v>
      </c>
      <c r="P154" s="14">
        <f t="shared" si="141"/>
        <v>2.2708641912150958E-12</v>
      </c>
      <c r="Q154" s="22">
        <f t="shared" ref="Q154:Q203" si="162">(O154+P154)*0.475*44/12</f>
        <v>4.2330868906469593E-12</v>
      </c>
      <c r="R154" s="62">
        <f t="shared" si="109"/>
        <v>293.33333333333752</v>
      </c>
      <c r="S154" s="62">
        <f ca="1">AVERAGE(OFFSET($R$3,0,0,'Données projet'!$E$9+1,1))-AVERAGE(OFFSET($H$3,0,0,'Données projet'!$E$9+1,1))</f>
        <v>181.48161394994878</v>
      </c>
      <c r="T154" s="62">
        <f t="shared" si="142"/>
        <v>141.1874974464024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340.81036749486179</v>
      </c>
      <c r="AO154" s="62">
        <f t="shared" si="144"/>
        <v>208.88199836488013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257.96727373333601</v>
      </c>
      <c r="BJ154" s="62">
        <f t="shared" si="146"/>
        <v>194.52809733694494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0.21105344156770109</v>
      </c>
      <c r="BR154" s="23">
        <f>EXP(-LN(2)/2)*BR153+(1-EXP(-LN(2)/2))/(LN(2)/2)*BL154*BO154*VLOOKUP('Données projet'!$B$11,Paramètres!$A$1:$I$89,3,0)*0.475*44/12</f>
        <v>8.7226588158713866E-18</v>
      </c>
      <c r="BS154" s="24">
        <f t="shared" ref="BS154:BS203" si="169">SUM(BP154:BR154)</f>
        <v>0.21105344156770109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292.83612296867898</v>
      </c>
      <c r="CE154" s="62">
        <f t="shared" si="148"/>
        <v>180.48047802041276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1.7350363522222537E-17</v>
      </c>
      <c r="CN154" s="24">
        <f t="shared" ref="CN154:CN203" si="172">SUM(CK154:CM154)</f>
        <v>1.7350363522222537E-17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-6.4733285398688169E-14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192.93829651668403</v>
      </c>
      <c r="CZ154" s="62">
        <f t="shared" si="150"/>
        <v>76.592736352376903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-3.813056537183002E-14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66.964554307546564</v>
      </c>
      <c r="DU154" s="62">
        <f t="shared" si="152"/>
        <v>21.162700178818568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-5.4978954722173515E-14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146.90952320473599</v>
      </c>
      <c r="EP154" s="62">
        <f t="shared" si="154"/>
        <v>56.347130462109817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-5.6843418860808015E-14</v>
      </c>
      <c r="FF154" s="18">
        <f>FE154*VLOOKUP('Données projet'!$B$16,Paramètres!$A$1:$I$89,3,0)*VLOOKUP('Données projet'!$B$16,Paramètres!$A$1:$I$89,5,0)</f>
        <v>-6.1186256061773749E-14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176.21892815766847</v>
      </c>
      <c r="FK154" s="62">
        <f t="shared" si="156"/>
        <v>69.239647548491234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-9.0449248091317723E-14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70.834027458412379</v>
      </c>
      <c r="GF154" s="62">
        <f t="shared" si="158"/>
        <v>74.346987922112362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7.6281770658047287E-18</v>
      </c>
      <c r="GO154" s="23">
        <f t="shared" ref="GO154:GO203" si="187">SUM(GL154:GN154)</f>
        <v>7.6281770658047287E-18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-1.1368683772161603E-13</v>
      </c>
      <c r="GV154" s="18">
        <f>GU154*VLOOKUP('Données projet'!$B$18,Paramètres!$A$1:$I$89,3,0)*VLOOKUP('Données projet'!$B$18,Paramètres!$A$1:$I$89,5,0)</f>
        <v>-8.8675733422860506E-14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99.222094917553648</v>
      </c>
      <c r="HA154" s="62">
        <f t="shared" si="160"/>
        <v>98.371477396766352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1.5871361925394903E-18</v>
      </c>
      <c r="HJ154" s="24">
        <f t="shared" ref="HJ154:HJ203" si="190">SUM(HG154:HI154)</f>
        <v>1.5871361925394903E-18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1.5961632016114892E-13</v>
      </c>
      <c r="P155" s="14">
        <f t="shared" si="141"/>
        <v>2.2708641912150958E-12</v>
      </c>
      <c r="Q155" s="22">
        <f t="shared" si="162"/>
        <v>4.2330868906469593E-12</v>
      </c>
      <c r="R155" s="62">
        <f t="shared" si="109"/>
        <v>293.33333333333752</v>
      </c>
      <c r="S155" s="62">
        <f ca="1">AVERAGE(OFFSET($R$3,0,0,'Données projet'!$E$9+1,1))-AVERAGE(OFFSET($H$3,0,0,'Données projet'!$E$9+1,1))</f>
        <v>181.48161394994878</v>
      </c>
      <c r="T155" s="62">
        <f t="shared" si="142"/>
        <v>141.1874974464024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340.81036749486179</v>
      </c>
      <c r="AO155" s="62">
        <f t="shared" si="144"/>
        <v>208.88199836488013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257.96727373333601</v>
      </c>
      <c r="BJ155" s="62">
        <f t="shared" si="146"/>
        <v>194.52809733694494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0.20528217410921418</v>
      </c>
      <c r="BR155" s="23">
        <f>EXP(-LN(2)/2)*BR154+(1-EXP(-LN(2)/2))/(LN(2)/2)*BL155*BO155*VLOOKUP('Données projet'!$B$11,Paramètres!$A$1:$I$89,3,0)*0.475*44/12</f>
        <v>6.1678511986792784E-18</v>
      </c>
      <c r="BS155" s="24">
        <f t="shared" si="169"/>
        <v>0.20528217410921418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292.83612296867898</v>
      </c>
      <c r="CE155" s="62">
        <f t="shared" si="148"/>
        <v>180.48047802041276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1.2268559702615267E-17</v>
      </c>
      <c r="CN155" s="24">
        <f t="shared" si="172"/>
        <v>1.2268559702615267E-17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-6.4733285398688169E-14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192.93829651668403</v>
      </c>
      <c r="CZ155" s="62">
        <f t="shared" si="150"/>
        <v>76.592736352376903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-3.813056537183002E-14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66.964554307546564</v>
      </c>
      <c r="DU155" s="62">
        <f t="shared" si="152"/>
        <v>21.162700178818568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-5.4978954722173515E-14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146.90952320473599</v>
      </c>
      <c r="EP155" s="62">
        <f t="shared" si="154"/>
        <v>56.347130462109817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-5.6843418860808015E-14</v>
      </c>
      <c r="FF155" s="18">
        <f>FE155*VLOOKUP('Données projet'!$B$16,Paramètres!$A$1:$I$89,3,0)*VLOOKUP('Données projet'!$B$16,Paramètres!$A$1:$I$89,5,0)</f>
        <v>-6.1186256061773749E-14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176.21892815766847</v>
      </c>
      <c r="FK155" s="62">
        <f t="shared" si="156"/>
        <v>69.239647548491234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-9.0449248091317723E-14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70.834027458412379</v>
      </c>
      <c r="GF155" s="62">
        <f t="shared" si="158"/>
        <v>74.346987922112362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5.3939357313222244E-18</v>
      </c>
      <c r="GO155" s="23">
        <f t="shared" si="187"/>
        <v>5.3939357313222244E-18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-1.1368683772161603E-13</v>
      </c>
      <c r="GV155" s="18">
        <f>GU155*VLOOKUP('Données projet'!$B$18,Paramètres!$A$1:$I$89,3,0)*VLOOKUP('Données projet'!$B$18,Paramètres!$A$1:$I$89,5,0)</f>
        <v>-8.8675733422860506E-14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99.222094917553648</v>
      </c>
      <c r="HA155" s="62">
        <f t="shared" si="160"/>
        <v>98.371477396766352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1.1222747644112715E-18</v>
      </c>
      <c r="HJ155" s="24">
        <f t="shared" si="190"/>
        <v>1.1222747644112715E-18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1.5961632016114892E-13</v>
      </c>
      <c r="P156" s="14">
        <f t="shared" si="141"/>
        <v>2.2708641912150958E-12</v>
      </c>
      <c r="Q156" s="22">
        <f t="shared" si="162"/>
        <v>4.2330868906469593E-12</v>
      </c>
      <c r="R156" s="62">
        <f t="shared" si="109"/>
        <v>293.33333333333752</v>
      </c>
      <c r="S156" s="62">
        <f ca="1">AVERAGE(OFFSET($R$3,0,0,'Données projet'!$E$9+1,1))-AVERAGE(OFFSET($H$3,0,0,'Données projet'!$E$9+1,1))</f>
        <v>181.48161394994878</v>
      </c>
      <c r="T156" s="62">
        <f t="shared" si="142"/>
        <v>141.1874974464024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340.81036749486179</v>
      </c>
      <c r="AO156" s="62">
        <f t="shared" si="144"/>
        <v>208.88199836488013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257.96727373333601</v>
      </c>
      <c r="BJ156" s="62">
        <f t="shared" si="146"/>
        <v>194.52809733694494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0.19966872226287735</v>
      </c>
      <c r="BR156" s="23">
        <f>EXP(-LN(2)/2)*BR155+(1-EXP(-LN(2)/2))/(LN(2)/2)*BL156*BO156*VLOOKUP('Données projet'!$B$11,Paramètres!$A$1:$I$89,3,0)*0.475*44/12</f>
        <v>4.3613294079356933E-18</v>
      </c>
      <c r="BS156" s="24">
        <f t="shared" si="169"/>
        <v>0.19966872226287735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292.83612296867898</v>
      </c>
      <c r="CE156" s="62">
        <f t="shared" si="148"/>
        <v>180.48047802041276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8.6751817611112683E-18</v>
      </c>
      <c r="CN156" s="24">
        <f t="shared" si="172"/>
        <v>8.6751817611112683E-18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-6.4733285398688169E-14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192.93829651668403</v>
      </c>
      <c r="CZ156" s="62">
        <f t="shared" si="150"/>
        <v>76.592736352376903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-3.813056537183002E-14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66.964554307546564</v>
      </c>
      <c r="DU156" s="62">
        <f t="shared" si="152"/>
        <v>21.162700178818568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-5.4978954722173515E-14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146.90952320473599</v>
      </c>
      <c r="EP156" s="62">
        <f t="shared" si="154"/>
        <v>56.347130462109817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-5.6843418860808015E-14</v>
      </c>
      <c r="FF156" s="18">
        <f>FE156*VLOOKUP('Données projet'!$B$16,Paramètres!$A$1:$I$89,3,0)*VLOOKUP('Données projet'!$B$16,Paramètres!$A$1:$I$89,5,0)</f>
        <v>-6.1186256061773749E-14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176.21892815766847</v>
      </c>
      <c r="FK156" s="62">
        <f t="shared" si="156"/>
        <v>69.239647548491234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-9.0449248091317723E-14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70.834027458412379</v>
      </c>
      <c r="GF156" s="62">
        <f t="shared" si="158"/>
        <v>74.346987922112362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3.8140885329023644E-18</v>
      </c>
      <c r="GO156" s="23">
        <f t="shared" si="187"/>
        <v>3.8140885329023644E-18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-1.1368683772161603E-13</v>
      </c>
      <c r="GV156" s="18">
        <f>GU156*VLOOKUP('Données projet'!$B$18,Paramètres!$A$1:$I$89,3,0)*VLOOKUP('Données projet'!$B$18,Paramètres!$A$1:$I$89,5,0)</f>
        <v>-8.8675733422860506E-14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99.222094917553648</v>
      </c>
      <c r="HA156" s="62">
        <f t="shared" si="160"/>
        <v>98.371477396766352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7.9356809626974517E-19</v>
      </c>
      <c r="HJ156" s="24">
        <f t="shared" si="190"/>
        <v>7.9356809626974517E-19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1.5961632016114892E-13</v>
      </c>
      <c r="P157" s="14">
        <f t="shared" si="141"/>
        <v>2.2708641912150958E-12</v>
      </c>
      <c r="Q157" s="22">
        <f t="shared" si="162"/>
        <v>4.2330868906469593E-12</v>
      </c>
      <c r="R157" s="62">
        <f t="shared" si="109"/>
        <v>293.33333333333752</v>
      </c>
      <c r="S157" s="62">
        <f ca="1">AVERAGE(OFFSET($R$3,0,0,'Données projet'!$E$9+1,1))-AVERAGE(OFFSET($H$3,0,0,'Données projet'!$E$9+1,1))</f>
        <v>181.48161394994878</v>
      </c>
      <c r="T157" s="62">
        <f t="shared" si="142"/>
        <v>141.1874974464024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340.81036749486179</v>
      </c>
      <c r="AO157" s="62">
        <f t="shared" si="144"/>
        <v>208.88199836488013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257.96727373333601</v>
      </c>
      <c r="BJ157" s="62">
        <f t="shared" si="146"/>
        <v>194.52809733694494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0.19420877055247721</v>
      </c>
      <c r="BR157" s="23">
        <f>EXP(-LN(2)/2)*BR156+(1-EXP(-LN(2)/2))/(LN(2)/2)*BL157*BO157*VLOOKUP('Données projet'!$B$11,Paramètres!$A$1:$I$89,3,0)*0.475*44/12</f>
        <v>3.0839255993396392E-18</v>
      </c>
      <c r="BS157" s="24">
        <f t="shared" si="169"/>
        <v>0.19420877055247721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292.83612296867898</v>
      </c>
      <c r="CE157" s="62">
        <f t="shared" si="148"/>
        <v>180.48047802041276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6.1342798513076337E-18</v>
      </c>
      <c r="CN157" s="24">
        <f t="shared" si="172"/>
        <v>6.1342798513076337E-18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-6.4733285398688169E-14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192.93829651668403</v>
      </c>
      <c r="CZ157" s="62">
        <f t="shared" si="150"/>
        <v>76.592736352376903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-3.813056537183002E-14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66.964554307546564</v>
      </c>
      <c r="DU157" s="62">
        <f t="shared" si="152"/>
        <v>21.162700178818568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-5.4978954722173515E-14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146.90952320473599</v>
      </c>
      <c r="EP157" s="62">
        <f t="shared" si="154"/>
        <v>56.347130462109817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-5.6843418860808015E-14</v>
      </c>
      <c r="FF157" s="18">
        <f>FE157*VLOOKUP('Données projet'!$B$16,Paramètres!$A$1:$I$89,3,0)*VLOOKUP('Données projet'!$B$16,Paramètres!$A$1:$I$89,5,0)</f>
        <v>-6.1186256061773749E-14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176.21892815766847</v>
      </c>
      <c r="FK157" s="62">
        <f t="shared" si="156"/>
        <v>69.239647548491234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-9.0449248091317723E-14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70.834027458412379</v>
      </c>
      <c r="GF157" s="62">
        <f t="shared" si="158"/>
        <v>74.346987922112362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2.6969678656611122E-18</v>
      </c>
      <c r="GO157" s="23">
        <f t="shared" si="187"/>
        <v>2.6969678656611122E-18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-1.1368683772161603E-13</v>
      </c>
      <c r="GV157" s="18">
        <f>GU157*VLOOKUP('Données projet'!$B$18,Paramètres!$A$1:$I$89,3,0)*VLOOKUP('Données projet'!$B$18,Paramètres!$A$1:$I$89,5,0)</f>
        <v>-8.8675733422860506E-14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99.222094917553648</v>
      </c>
      <c r="HA157" s="62">
        <f t="shared" si="160"/>
        <v>98.371477396766352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5.6113738220563577E-19</v>
      </c>
      <c r="HJ157" s="24">
        <f t="shared" si="190"/>
        <v>5.6113738220563577E-19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1.5961632016114892E-13</v>
      </c>
      <c r="P158" s="14">
        <f t="shared" si="141"/>
        <v>2.2708641912150958E-12</v>
      </c>
      <c r="Q158" s="22">
        <f t="shared" si="162"/>
        <v>4.2330868906469593E-12</v>
      </c>
      <c r="R158" s="62">
        <f t="shared" si="109"/>
        <v>293.33333333333752</v>
      </c>
      <c r="S158" s="62">
        <f ca="1">AVERAGE(OFFSET($R$3,0,0,'Données projet'!$E$9+1,1))-AVERAGE(OFFSET($H$3,0,0,'Données projet'!$E$9+1,1))</f>
        <v>181.48161394994878</v>
      </c>
      <c r="T158" s="62">
        <f t="shared" si="142"/>
        <v>141.1874974464024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340.81036749486179</v>
      </c>
      <c r="AO158" s="62">
        <f t="shared" si="144"/>
        <v>208.88199836488013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257.96727373333601</v>
      </c>
      <c r="BJ158" s="62">
        <f t="shared" si="146"/>
        <v>194.52809733694494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0.18889812150872434</v>
      </c>
      <c r="BR158" s="23">
        <f>EXP(-LN(2)/2)*BR157+(1-EXP(-LN(2)/2))/(LN(2)/2)*BL158*BO158*VLOOKUP('Données projet'!$B$11,Paramètres!$A$1:$I$89,3,0)*0.475*44/12</f>
        <v>2.1806647039678466E-18</v>
      </c>
      <c r="BS158" s="24">
        <f t="shared" si="169"/>
        <v>0.18889812150872434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292.83612296867898</v>
      </c>
      <c r="CE158" s="62">
        <f t="shared" si="148"/>
        <v>180.48047802041276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4.3375908805556342E-18</v>
      </c>
      <c r="CN158" s="24">
        <f t="shared" si="172"/>
        <v>4.3375908805556342E-18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-6.4733285398688169E-14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192.93829651668403</v>
      </c>
      <c r="CZ158" s="62">
        <f t="shared" si="150"/>
        <v>76.592736352376903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-3.813056537183002E-14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66.964554307546564</v>
      </c>
      <c r="DU158" s="62">
        <f t="shared" si="152"/>
        <v>21.162700178818568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-5.4978954722173515E-14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146.90952320473599</v>
      </c>
      <c r="EP158" s="62">
        <f t="shared" si="154"/>
        <v>56.347130462109817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-5.6843418860808015E-14</v>
      </c>
      <c r="FF158" s="18">
        <f>FE158*VLOOKUP('Données projet'!$B$16,Paramètres!$A$1:$I$89,3,0)*VLOOKUP('Données projet'!$B$16,Paramètres!$A$1:$I$89,5,0)</f>
        <v>-6.1186256061773749E-14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176.21892815766847</v>
      </c>
      <c r="FK158" s="62">
        <f t="shared" si="156"/>
        <v>69.239647548491234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-9.0449248091317723E-14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70.834027458412379</v>
      </c>
      <c r="GF158" s="62">
        <f t="shared" si="158"/>
        <v>74.346987922112362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1.9070442664511822E-18</v>
      </c>
      <c r="GO158" s="23">
        <f t="shared" si="187"/>
        <v>1.9070442664511822E-18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-1.1368683772161603E-13</v>
      </c>
      <c r="GV158" s="18">
        <f>GU158*VLOOKUP('Données projet'!$B$18,Paramètres!$A$1:$I$89,3,0)*VLOOKUP('Données projet'!$B$18,Paramètres!$A$1:$I$89,5,0)</f>
        <v>-8.8675733422860506E-14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99.222094917553648</v>
      </c>
      <c r="HA158" s="62">
        <f t="shared" si="160"/>
        <v>98.371477396766352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3.9678404813487258E-19</v>
      </c>
      <c r="HJ158" s="24">
        <f t="shared" si="190"/>
        <v>3.9678404813487258E-19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1.5961632016114892E-13</v>
      </c>
      <c r="P159" s="14">
        <f t="shared" si="141"/>
        <v>2.2708641912150958E-12</v>
      </c>
      <c r="Q159" s="22">
        <f t="shared" si="162"/>
        <v>4.2330868906469593E-12</v>
      </c>
      <c r="R159" s="62">
        <f t="shared" si="109"/>
        <v>293.33333333333752</v>
      </c>
      <c r="S159" s="62">
        <f ca="1">AVERAGE(OFFSET($R$3,0,0,'Données projet'!$E$9+1,1))-AVERAGE(OFFSET($H$3,0,0,'Données projet'!$E$9+1,1))</f>
        <v>181.48161394994878</v>
      </c>
      <c r="T159" s="62">
        <f t="shared" si="142"/>
        <v>141.1874974464024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340.81036749486179</v>
      </c>
      <c r="AO159" s="62">
        <f t="shared" si="144"/>
        <v>208.88199836488013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257.96727373333601</v>
      </c>
      <c r="BJ159" s="62">
        <f t="shared" si="146"/>
        <v>194.52809733694494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0.1837326924423478</v>
      </c>
      <c r="BR159" s="23">
        <f>EXP(-LN(2)/2)*BR158+(1-EXP(-LN(2)/2))/(LN(2)/2)*BL159*BO159*VLOOKUP('Données projet'!$B$11,Paramètres!$A$1:$I$89,3,0)*0.475*44/12</f>
        <v>1.5419627996698196E-18</v>
      </c>
      <c r="BS159" s="24">
        <f t="shared" si="169"/>
        <v>0.1837326924423478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292.83612296867898</v>
      </c>
      <c r="CE159" s="62">
        <f t="shared" si="148"/>
        <v>180.48047802041276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3.0671399256538169E-18</v>
      </c>
      <c r="CN159" s="24">
        <f t="shared" si="172"/>
        <v>3.0671399256538169E-18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-6.4733285398688169E-14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192.93829651668403</v>
      </c>
      <c r="CZ159" s="62">
        <f t="shared" si="150"/>
        <v>76.592736352376903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-3.813056537183002E-14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66.964554307546564</v>
      </c>
      <c r="DU159" s="62">
        <f t="shared" si="152"/>
        <v>21.162700178818568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-5.4978954722173515E-14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146.90952320473599</v>
      </c>
      <c r="EP159" s="62">
        <f t="shared" si="154"/>
        <v>56.347130462109817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-5.6843418860808015E-14</v>
      </c>
      <c r="FF159" s="18">
        <f>FE159*VLOOKUP('Données projet'!$B$16,Paramètres!$A$1:$I$89,3,0)*VLOOKUP('Données projet'!$B$16,Paramètres!$A$1:$I$89,5,0)</f>
        <v>-6.1186256061773749E-14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176.21892815766847</v>
      </c>
      <c r="FK159" s="62">
        <f t="shared" si="156"/>
        <v>69.239647548491234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-9.0449248091317723E-14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70.834027458412379</v>
      </c>
      <c r="GF159" s="62">
        <f t="shared" si="158"/>
        <v>74.346987922112362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1.3484839328305561E-18</v>
      </c>
      <c r="GO159" s="23">
        <f t="shared" si="187"/>
        <v>1.3484839328305561E-18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-1.1368683772161603E-13</v>
      </c>
      <c r="GV159" s="18">
        <f>GU159*VLOOKUP('Données projet'!$B$18,Paramètres!$A$1:$I$89,3,0)*VLOOKUP('Données projet'!$B$18,Paramètres!$A$1:$I$89,5,0)</f>
        <v>-8.8675733422860506E-14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99.222094917553648</v>
      </c>
      <c r="HA159" s="62">
        <f t="shared" si="160"/>
        <v>98.371477396766352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2.8056869110281789E-19</v>
      </c>
      <c r="HJ159" s="24">
        <f t="shared" si="190"/>
        <v>2.8056869110281789E-19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1.5961632016114892E-13</v>
      </c>
      <c r="P160" s="14">
        <f t="shared" si="141"/>
        <v>2.2708641912150958E-12</v>
      </c>
      <c r="Q160" s="22">
        <f t="shared" si="162"/>
        <v>4.2330868906469593E-12</v>
      </c>
      <c r="R160" s="62">
        <f t="shared" si="109"/>
        <v>293.33333333333752</v>
      </c>
      <c r="S160" s="62">
        <f ca="1">AVERAGE(OFFSET($R$3,0,0,'Données projet'!$E$9+1,1))-AVERAGE(OFFSET($H$3,0,0,'Données projet'!$E$9+1,1))</f>
        <v>181.48161394994878</v>
      </c>
      <c r="T160" s="62">
        <f t="shared" si="142"/>
        <v>141.1874974464024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340.81036749486179</v>
      </c>
      <c r="AO160" s="62">
        <f t="shared" si="144"/>
        <v>208.88199836488013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257.96727373333601</v>
      </c>
      <c r="BJ160" s="62">
        <f t="shared" si="146"/>
        <v>194.52809733694494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0.17870851230542942</v>
      </c>
      <c r="BR160" s="23">
        <f>EXP(-LN(2)/2)*BR159+(1-EXP(-LN(2)/2))/(LN(2)/2)*BL160*BO160*VLOOKUP('Données projet'!$B$11,Paramètres!$A$1:$I$89,3,0)*0.475*44/12</f>
        <v>1.0903323519839233E-18</v>
      </c>
      <c r="BS160" s="24">
        <f t="shared" si="169"/>
        <v>0.17870851230542942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292.83612296867898</v>
      </c>
      <c r="CE160" s="62">
        <f t="shared" si="148"/>
        <v>180.48047802041276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2.1687954402778171E-18</v>
      </c>
      <c r="CN160" s="24">
        <f t="shared" si="172"/>
        <v>2.1687954402778171E-18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-6.4733285398688169E-14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192.93829651668403</v>
      </c>
      <c r="CZ160" s="62">
        <f t="shared" si="150"/>
        <v>76.592736352376903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-3.813056537183002E-14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66.964554307546564</v>
      </c>
      <c r="DU160" s="62">
        <f t="shared" si="152"/>
        <v>21.162700178818568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-5.4978954722173515E-14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146.90952320473599</v>
      </c>
      <c r="EP160" s="62">
        <f t="shared" si="154"/>
        <v>56.347130462109817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-5.6843418860808015E-14</v>
      </c>
      <c r="FF160" s="18">
        <f>FE160*VLOOKUP('Données projet'!$B$16,Paramètres!$A$1:$I$89,3,0)*VLOOKUP('Données projet'!$B$16,Paramètres!$A$1:$I$89,5,0)</f>
        <v>-6.1186256061773749E-14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176.21892815766847</v>
      </c>
      <c r="FK160" s="62">
        <f t="shared" si="156"/>
        <v>69.239647548491234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-9.0449248091317723E-14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70.834027458412379</v>
      </c>
      <c r="GF160" s="62">
        <f t="shared" si="158"/>
        <v>74.346987922112362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9.5352213322559109E-19</v>
      </c>
      <c r="GO160" s="23">
        <f t="shared" si="187"/>
        <v>9.5352213322559109E-19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-1.1368683772161603E-13</v>
      </c>
      <c r="GV160" s="18">
        <f>GU160*VLOOKUP('Données projet'!$B$18,Paramètres!$A$1:$I$89,3,0)*VLOOKUP('Données projet'!$B$18,Paramètres!$A$1:$I$89,5,0)</f>
        <v>-8.8675733422860506E-14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99.222094917553648</v>
      </c>
      <c r="HA160" s="62">
        <f t="shared" si="160"/>
        <v>98.371477396766352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1.9839202406743629E-19</v>
      </c>
      <c r="HJ160" s="24">
        <f t="shared" si="190"/>
        <v>1.9839202406743629E-19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1.5961632016114892E-13</v>
      </c>
      <c r="P161" s="14">
        <f t="shared" si="141"/>
        <v>2.2708641912150958E-12</v>
      </c>
      <c r="Q161" s="22">
        <f t="shared" si="162"/>
        <v>4.2330868906469593E-12</v>
      </c>
      <c r="R161" s="62">
        <f t="shared" si="109"/>
        <v>293.33333333333752</v>
      </c>
      <c r="S161" s="62">
        <f ca="1">AVERAGE(OFFSET($R$3,0,0,'Données projet'!$E$9+1,1))-AVERAGE(OFFSET($H$3,0,0,'Données projet'!$E$9+1,1))</f>
        <v>181.48161394994878</v>
      </c>
      <c r="T161" s="62">
        <f t="shared" si="142"/>
        <v>141.1874974464024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340.81036749486179</v>
      </c>
      <c r="AO161" s="62">
        <f t="shared" si="144"/>
        <v>208.88199836488013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257.96727373333601</v>
      </c>
      <c r="BJ161" s="62">
        <f t="shared" si="146"/>
        <v>194.52809733694494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0.17382171863856524</v>
      </c>
      <c r="BR161" s="23">
        <f>EXP(-LN(2)/2)*BR160+(1-EXP(-LN(2)/2))/(LN(2)/2)*BL161*BO161*VLOOKUP('Données projet'!$B$11,Paramètres!$A$1:$I$89,3,0)*0.475*44/12</f>
        <v>7.7098139983490979E-19</v>
      </c>
      <c r="BS161" s="24">
        <f t="shared" si="169"/>
        <v>0.17382171863856524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292.83612296867898</v>
      </c>
      <c r="CE161" s="62">
        <f t="shared" si="148"/>
        <v>180.48047802041276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1.5335699628269084E-18</v>
      </c>
      <c r="CN161" s="24">
        <f t="shared" si="172"/>
        <v>1.5335699628269084E-18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-6.4733285398688169E-14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192.93829651668403</v>
      </c>
      <c r="CZ161" s="62">
        <f t="shared" si="150"/>
        <v>76.592736352376903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-3.813056537183002E-14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66.964554307546564</v>
      </c>
      <c r="DU161" s="62">
        <f t="shared" si="152"/>
        <v>21.162700178818568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-5.4978954722173515E-14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146.90952320473599</v>
      </c>
      <c r="EP161" s="62">
        <f t="shared" si="154"/>
        <v>56.347130462109817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-5.6843418860808015E-14</v>
      </c>
      <c r="FF161" s="18">
        <f>FE161*VLOOKUP('Données projet'!$B$16,Paramètres!$A$1:$I$89,3,0)*VLOOKUP('Données projet'!$B$16,Paramètres!$A$1:$I$89,5,0)</f>
        <v>-6.1186256061773749E-14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176.21892815766847</v>
      </c>
      <c r="FK161" s="62">
        <f t="shared" si="156"/>
        <v>69.239647548491234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-9.0449248091317723E-14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70.834027458412379</v>
      </c>
      <c r="GF161" s="62">
        <f t="shared" si="158"/>
        <v>74.346987922112362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6.7424196641527805E-19</v>
      </c>
      <c r="GO161" s="23">
        <f t="shared" si="187"/>
        <v>6.7424196641527805E-19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-1.1368683772161603E-13</v>
      </c>
      <c r="GV161" s="18">
        <f>GU161*VLOOKUP('Données projet'!$B$18,Paramètres!$A$1:$I$89,3,0)*VLOOKUP('Données projet'!$B$18,Paramètres!$A$1:$I$89,5,0)</f>
        <v>-8.8675733422860506E-14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99.222094917553648</v>
      </c>
      <c r="HA161" s="62">
        <f t="shared" si="160"/>
        <v>98.371477396766352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1.4028434555140894E-19</v>
      </c>
      <c r="HJ161" s="24">
        <f t="shared" si="190"/>
        <v>1.4028434555140894E-19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1.5961632016114892E-13</v>
      </c>
      <c r="P162" s="14">
        <f t="shared" si="141"/>
        <v>2.2708641912150958E-12</v>
      </c>
      <c r="Q162" s="22">
        <f t="shared" si="162"/>
        <v>4.2330868906469593E-12</v>
      </c>
      <c r="R162" s="62">
        <f t="shared" si="109"/>
        <v>293.33333333333752</v>
      </c>
      <c r="S162" s="62">
        <f ca="1">AVERAGE(OFFSET($R$3,0,0,'Données projet'!$E$9+1,1))-AVERAGE(OFFSET($H$3,0,0,'Données projet'!$E$9+1,1))</f>
        <v>181.48161394994878</v>
      </c>
      <c r="T162" s="62">
        <f t="shared" si="142"/>
        <v>141.1874974464024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340.81036749486179</v>
      </c>
      <c r="AO162" s="62">
        <f t="shared" si="144"/>
        <v>208.88199836488013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257.96727373333601</v>
      </c>
      <c r="BJ162" s="62">
        <f t="shared" si="146"/>
        <v>194.52809733694494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0.16906855460150677</v>
      </c>
      <c r="BR162" s="23">
        <f>EXP(-LN(2)/2)*BR161+(1-EXP(-LN(2)/2))/(LN(2)/2)*BL162*BO162*VLOOKUP('Données projet'!$B$11,Paramètres!$A$1:$I$89,3,0)*0.475*44/12</f>
        <v>5.4516617599196166E-19</v>
      </c>
      <c r="BS162" s="24">
        <f t="shared" si="169"/>
        <v>0.16906855460150677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292.83612296867898</v>
      </c>
      <c r="CE162" s="62">
        <f t="shared" si="148"/>
        <v>180.48047802041276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1.0843977201389085E-18</v>
      </c>
      <c r="CN162" s="24">
        <f t="shared" si="172"/>
        <v>1.0843977201389085E-18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-6.4733285398688169E-14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192.93829651668403</v>
      </c>
      <c r="CZ162" s="62">
        <f t="shared" si="150"/>
        <v>76.592736352376903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-3.813056537183002E-14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66.964554307546564</v>
      </c>
      <c r="DU162" s="62">
        <f t="shared" si="152"/>
        <v>21.162700178818568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-5.4978954722173515E-14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146.90952320473599</v>
      </c>
      <c r="EP162" s="62">
        <f t="shared" si="154"/>
        <v>56.347130462109817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-5.6843418860808015E-14</v>
      </c>
      <c r="FF162" s="18">
        <f>FE162*VLOOKUP('Données projet'!$B$16,Paramètres!$A$1:$I$89,3,0)*VLOOKUP('Données projet'!$B$16,Paramètres!$A$1:$I$89,5,0)</f>
        <v>-6.1186256061773749E-14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176.21892815766847</v>
      </c>
      <c r="FK162" s="62">
        <f t="shared" si="156"/>
        <v>69.239647548491234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-9.0449248091317723E-14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70.834027458412379</v>
      </c>
      <c r="GF162" s="62">
        <f t="shared" si="158"/>
        <v>74.346987922112362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4.7676106661279554E-19</v>
      </c>
      <c r="GO162" s="23">
        <f t="shared" si="187"/>
        <v>4.7676106661279554E-19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-1.1368683772161603E-13</v>
      </c>
      <c r="GV162" s="18">
        <f>GU162*VLOOKUP('Données projet'!$B$18,Paramètres!$A$1:$I$89,3,0)*VLOOKUP('Données projet'!$B$18,Paramètres!$A$1:$I$89,5,0)</f>
        <v>-8.8675733422860506E-14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99.222094917553648</v>
      </c>
      <c r="HA162" s="62">
        <f t="shared" si="160"/>
        <v>98.371477396766352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9.9196012033718146E-20</v>
      </c>
      <c r="HJ162" s="24">
        <f t="shared" si="190"/>
        <v>9.9196012033718146E-20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1.5961632016114892E-13</v>
      </c>
      <c r="P163" s="14">
        <f t="shared" si="141"/>
        <v>2.2708641912150958E-12</v>
      </c>
      <c r="Q163" s="22">
        <f t="shared" si="162"/>
        <v>4.2330868906469593E-12</v>
      </c>
      <c r="R163" s="62">
        <f t="shared" si="109"/>
        <v>293.33333333333752</v>
      </c>
      <c r="S163" s="62">
        <f ca="1">AVERAGE(OFFSET($R$3,0,0,'Données projet'!$E$9+1,1))-AVERAGE(OFFSET($H$3,0,0,'Données projet'!$E$9+1,1))</f>
        <v>181.48161394994878</v>
      </c>
      <c r="T163" s="62">
        <f t="shared" si="142"/>
        <v>141.1874974464024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340.81036749486179</v>
      </c>
      <c r="AO163" s="62">
        <f t="shared" si="144"/>
        <v>208.88199836488013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257.96727373333601</v>
      </c>
      <c r="BJ163" s="62">
        <f t="shared" si="146"/>
        <v>194.52809733694494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0.16444536608499968</v>
      </c>
      <c r="BR163" s="23">
        <f>EXP(-LN(2)/2)*BR162+(1-EXP(-LN(2)/2))/(LN(2)/2)*BL163*BO163*VLOOKUP('Données projet'!$B$11,Paramètres!$A$1:$I$89,3,0)*0.475*44/12</f>
        <v>3.854906999174549E-19</v>
      </c>
      <c r="BS163" s="24">
        <f t="shared" si="169"/>
        <v>0.16444536608499968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292.83612296867898</v>
      </c>
      <c r="CE163" s="62">
        <f t="shared" si="148"/>
        <v>180.48047802041276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7.6678498141345421E-19</v>
      </c>
      <c r="CN163" s="24">
        <f t="shared" si="172"/>
        <v>7.6678498141345421E-19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-6.4733285398688169E-14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192.93829651668403</v>
      </c>
      <c r="CZ163" s="62">
        <f t="shared" si="150"/>
        <v>76.592736352376903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-3.813056537183002E-14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66.964554307546564</v>
      </c>
      <c r="DU163" s="62">
        <f t="shared" si="152"/>
        <v>21.162700178818568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-5.4978954722173515E-14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146.90952320473599</v>
      </c>
      <c r="EP163" s="62">
        <f t="shared" si="154"/>
        <v>56.347130462109817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-5.6843418860808015E-14</v>
      </c>
      <c r="FF163" s="18">
        <f>FE163*VLOOKUP('Données projet'!$B$16,Paramètres!$A$1:$I$89,3,0)*VLOOKUP('Données projet'!$B$16,Paramètres!$A$1:$I$89,5,0)</f>
        <v>-6.1186256061773749E-14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176.21892815766847</v>
      </c>
      <c r="FK163" s="62">
        <f t="shared" si="156"/>
        <v>69.239647548491234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-9.0449248091317723E-14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70.834027458412379</v>
      </c>
      <c r="GF163" s="62">
        <f t="shared" si="158"/>
        <v>74.346987922112362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3.3712098320763903E-19</v>
      </c>
      <c r="GO163" s="23">
        <f t="shared" si="187"/>
        <v>3.3712098320763903E-19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-1.1368683772161603E-13</v>
      </c>
      <c r="GV163" s="18">
        <f>GU163*VLOOKUP('Données projet'!$B$18,Paramètres!$A$1:$I$89,3,0)*VLOOKUP('Données projet'!$B$18,Paramètres!$A$1:$I$89,5,0)</f>
        <v>-8.8675733422860506E-14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99.222094917553648</v>
      </c>
      <c r="HA163" s="62">
        <f t="shared" si="160"/>
        <v>98.371477396766352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7.0142172775704471E-20</v>
      </c>
      <c r="HJ163" s="24">
        <f t="shared" si="190"/>
        <v>7.0142172775704471E-20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1.5961632016114892E-13</v>
      </c>
      <c r="P164" s="14">
        <f t="shared" si="141"/>
        <v>2.2708641912150958E-12</v>
      </c>
      <c r="Q164" s="22">
        <f t="shared" si="162"/>
        <v>4.2330868906469593E-12</v>
      </c>
      <c r="R164" s="62">
        <f t="shared" si="109"/>
        <v>293.33333333333752</v>
      </c>
      <c r="S164" s="62">
        <f ca="1">AVERAGE(OFFSET($R$3,0,0,'Données projet'!$E$9+1,1))-AVERAGE(OFFSET($H$3,0,0,'Données projet'!$E$9+1,1))</f>
        <v>181.48161394994878</v>
      </c>
      <c r="T164" s="62">
        <f t="shared" si="142"/>
        <v>141.1874974464024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340.81036749486179</v>
      </c>
      <c r="AO164" s="62">
        <f t="shared" si="144"/>
        <v>208.88199836488013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257.96727373333601</v>
      </c>
      <c r="BJ164" s="62">
        <f t="shared" si="146"/>
        <v>194.52809733694494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0.1599485989015994</v>
      </c>
      <c r="BR164" s="23">
        <f>EXP(-LN(2)/2)*BR163+(1-EXP(-LN(2)/2))/(LN(2)/2)*BL164*BO164*VLOOKUP('Données projet'!$B$11,Paramètres!$A$1:$I$89,3,0)*0.475*44/12</f>
        <v>2.7258308799598083E-19</v>
      </c>
      <c r="BS164" s="24">
        <f t="shared" si="169"/>
        <v>0.1599485989015994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292.83612296867898</v>
      </c>
      <c r="CE164" s="62">
        <f t="shared" si="148"/>
        <v>180.48047802041276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5.4219886006945427E-19</v>
      </c>
      <c r="CN164" s="24">
        <f t="shared" si="172"/>
        <v>5.4219886006945427E-19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-6.4733285398688169E-14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192.93829651668403</v>
      </c>
      <c r="CZ164" s="62">
        <f t="shared" si="150"/>
        <v>76.592736352376903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-3.813056537183002E-14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66.964554307546564</v>
      </c>
      <c r="DU164" s="62">
        <f t="shared" si="152"/>
        <v>21.162700178818568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-5.4978954722173515E-14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146.90952320473599</v>
      </c>
      <c r="EP164" s="62">
        <f t="shared" si="154"/>
        <v>56.347130462109817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-5.6843418860808015E-14</v>
      </c>
      <c r="FF164" s="18">
        <f>FE164*VLOOKUP('Données projet'!$B$16,Paramètres!$A$1:$I$89,3,0)*VLOOKUP('Données projet'!$B$16,Paramètres!$A$1:$I$89,5,0)</f>
        <v>-6.1186256061773749E-14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176.21892815766847</v>
      </c>
      <c r="FK164" s="62">
        <f t="shared" si="156"/>
        <v>69.239647548491234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-9.0449248091317723E-14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70.834027458412379</v>
      </c>
      <c r="GF164" s="62">
        <f t="shared" si="158"/>
        <v>74.346987922112362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2.3838053330639777E-19</v>
      </c>
      <c r="GO164" s="23">
        <f t="shared" si="187"/>
        <v>2.3838053330639777E-19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-1.1368683772161603E-13</v>
      </c>
      <c r="GV164" s="18">
        <f>GU164*VLOOKUP('Données projet'!$B$18,Paramètres!$A$1:$I$89,3,0)*VLOOKUP('Données projet'!$B$18,Paramètres!$A$1:$I$89,5,0)</f>
        <v>-8.8675733422860506E-14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99.222094917553648</v>
      </c>
      <c r="HA164" s="62">
        <f t="shared" si="160"/>
        <v>98.371477396766352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4.9598006016859073E-20</v>
      </c>
      <c r="HJ164" s="24">
        <f t="shared" si="190"/>
        <v>4.9598006016859073E-20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1.5961632016114892E-13</v>
      </c>
      <c r="P165" s="14">
        <f t="shared" si="141"/>
        <v>2.2708641912150958E-12</v>
      </c>
      <c r="Q165" s="22">
        <f t="shared" si="162"/>
        <v>4.2330868906469593E-12</v>
      </c>
      <c r="R165" s="62">
        <f t="shared" si="109"/>
        <v>293.33333333333752</v>
      </c>
      <c r="S165" s="62">
        <f ca="1">AVERAGE(OFFSET($R$3,0,0,'Données projet'!$E$9+1,1))-AVERAGE(OFFSET($H$3,0,0,'Données projet'!$E$9+1,1))</f>
        <v>181.48161394994878</v>
      </c>
      <c r="T165" s="62">
        <f t="shared" si="142"/>
        <v>141.1874974464024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340.81036749486179</v>
      </c>
      <c r="AO165" s="62">
        <f t="shared" si="144"/>
        <v>208.88199836488013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257.96727373333601</v>
      </c>
      <c r="BJ165" s="62">
        <f t="shared" si="146"/>
        <v>194.52809733694494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0.15557479605330393</v>
      </c>
      <c r="BR165" s="23">
        <f>EXP(-LN(2)/2)*BR164+(1-EXP(-LN(2)/2))/(LN(2)/2)*BL165*BO165*VLOOKUP('Données projet'!$B$11,Paramètres!$A$1:$I$89,3,0)*0.475*44/12</f>
        <v>1.9274534995872745E-19</v>
      </c>
      <c r="BS165" s="24">
        <f t="shared" si="169"/>
        <v>0.15557479605330393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292.83612296867898</v>
      </c>
      <c r="CE165" s="62">
        <f t="shared" si="148"/>
        <v>180.48047802041276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3.8339249070672711E-19</v>
      </c>
      <c r="CN165" s="24">
        <f t="shared" si="172"/>
        <v>3.8339249070672711E-19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-6.4733285398688169E-14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192.93829651668403</v>
      </c>
      <c r="CZ165" s="62">
        <f t="shared" si="150"/>
        <v>76.592736352376903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-3.813056537183002E-14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66.964554307546564</v>
      </c>
      <c r="DU165" s="62">
        <f t="shared" si="152"/>
        <v>21.162700178818568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-5.4978954722173515E-14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146.90952320473599</v>
      </c>
      <c r="EP165" s="62">
        <f t="shared" si="154"/>
        <v>56.347130462109817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-5.6843418860808015E-14</v>
      </c>
      <c r="FF165" s="18">
        <f>FE165*VLOOKUP('Données projet'!$B$16,Paramètres!$A$1:$I$89,3,0)*VLOOKUP('Données projet'!$B$16,Paramètres!$A$1:$I$89,5,0)</f>
        <v>-6.1186256061773749E-14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176.21892815766847</v>
      </c>
      <c r="FK165" s="62">
        <f t="shared" si="156"/>
        <v>69.239647548491234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-9.0449248091317723E-14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70.834027458412379</v>
      </c>
      <c r="GF165" s="62">
        <f t="shared" si="158"/>
        <v>74.346987922112362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1.6856049160381951E-19</v>
      </c>
      <c r="GO165" s="23">
        <f t="shared" si="187"/>
        <v>1.6856049160381951E-19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-1.1368683772161603E-13</v>
      </c>
      <c r="GV165" s="18">
        <f>GU165*VLOOKUP('Données projet'!$B$18,Paramètres!$A$1:$I$89,3,0)*VLOOKUP('Données projet'!$B$18,Paramètres!$A$1:$I$89,5,0)</f>
        <v>-8.8675733422860506E-14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99.222094917553648</v>
      </c>
      <c r="HA165" s="62">
        <f t="shared" si="160"/>
        <v>98.371477396766352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3.5071086387852236E-20</v>
      </c>
      <c r="HJ165" s="24">
        <f t="shared" si="190"/>
        <v>3.5071086387852236E-20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1.5961632016114892E-13</v>
      </c>
      <c r="P166" s="14">
        <f t="shared" si="141"/>
        <v>2.2708641912150958E-12</v>
      </c>
      <c r="Q166" s="22">
        <f t="shared" si="162"/>
        <v>4.2330868906469593E-12</v>
      </c>
      <c r="R166" s="62">
        <f t="shared" si="109"/>
        <v>293.33333333333752</v>
      </c>
      <c r="S166" s="62">
        <f ca="1">AVERAGE(OFFSET($R$3,0,0,'Données projet'!$E$9+1,1))-AVERAGE(OFFSET($H$3,0,0,'Données projet'!$E$9+1,1))</f>
        <v>181.48161394994878</v>
      </c>
      <c r="T166" s="62">
        <f t="shared" si="142"/>
        <v>141.1874974464024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340.81036749486179</v>
      </c>
      <c r="AO166" s="62">
        <f t="shared" si="144"/>
        <v>208.88199836488013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257.96727373333601</v>
      </c>
      <c r="BJ166" s="62">
        <f t="shared" si="146"/>
        <v>194.52809733694494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0.15132059507390339</v>
      </c>
      <c r="BR166" s="23">
        <f>EXP(-LN(2)/2)*BR165+(1-EXP(-LN(2)/2))/(LN(2)/2)*BL166*BO166*VLOOKUP('Données projet'!$B$11,Paramètres!$A$1:$I$89,3,0)*0.475*44/12</f>
        <v>1.3629154399799042E-19</v>
      </c>
      <c r="BS166" s="24">
        <f t="shared" si="169"/>
        <v>0.15132059507390339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292.83612296867898</v>
      </c>
      <c r="CE166" s="62">
        <f t="shared" si="148"/>
        <v>180.48047802041276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2.7109943003472714E-19</v>
      </c>
      <c r="CN166" s="24">
        <f t="shared" si="172"/>
        <v>2.7109943003472714E-19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-6.4733285398688169E-14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192.93829651668403</v>
      </c>
      <c r="CZ166" s="62">
        <f t="shared" si="150"/>
        <v>76.592736352376903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-3.813056537183002E-14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66.964554307546564</v>
      </c>
      <c r="DU166" s="62">
        <f t="shared" si="152"/>
        <v>21.162700178818568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-5.4978954722173515E-14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146.90952320473599</v>
      </c>
      <c r="EP166" s="62">
        <f t="shared" si="154"/>
        <v>56.347130462109817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-5.6843418860808015E-14</v>
      </c>
      <c r="FF166" s="18">
        <f>FE166*VLOOKUP('Données projet'!$B$16,Paramètres!$A$1:$I$89,3,0)*VLOOKUP('Données projet'!$B$16,Paramètres!$A$1:$I$89,5,0)</f>
        <v>-6.1186256061773749E-14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176.21892815766847</v>
      </c>
      <c r="FK166" s="62">
        <f t="shared" si="156"/>
        <v>69.239647548491234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-9.0449248091317723E-14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70.834027458412379</v>
      </c>
      <c r="GF166" s="62">
        <f t="shared" si="158"/>
        <v>74.346987922112362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1.1919026665319889E-19</v>
      </c>
      <c r="GO166" s="23">
        <f t="shared" si="187"/>
        <v>1.1919026665319889E-19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-1.1368683772161603E-13</v>
      </c>
      <c r="GV166" s="18">
        <f>GU166*VLOOKUP('Données projet'!$B$18,Paramètres!$A$1:$I$89,3,0)*VLOOKUP('Données projet'!$B$18,Paramètres!$A$1:$I$89,5,0)</f>
        <v>-8.8675733422860506E-14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99.222094917553648</v>
      </c>
      <c r="HA166" s="62">
        <f t="shared" si="160"/>
        <v>98.371477396766352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2.4799003008429537E-20</v>
      </c>
      <c r="HJ166" s="24">
        <f t="shared" si="190"/>
        <v>2.4799003008429537E-20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1.5961632016114892E-13</v>
      </c>
      <c r="P167" s="14">
        <f t="shared" si="141"/>
        <v>2.2708641912150958E-12</v>
      </c>
      <c r="Q167" s="22">
        <f t="shared" si="162"/>
        <v>4.2330868906469593E-12</v>
      </c>
      <c r="R167" s="62">
        <f t="shared" si="109"/>
        <v>293.33333333333752</v>
      </c>
      <c r="S167" s="62">
        <f ca="1">AVERAGE(OFFSET($R$3,0,0,'Données projet'!$E$9+1,1))-AVERAGE(OFFSET($H$3,0,0,'Données projet'!$E$9+1,1))</f>
        <v>181.48161394994878</v>
      </c>
      <c r="T167" s="62">
        <f t="shared" si="142"/>
        <v>141.1874974464024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340.81036749486179</v>
      </c>
      <c r="AO167" s="62">
        <f t="shared" si="144"/>
        <v>208.88199836488013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257.96727373333601</v>
      </c>
      <c r="BJ167" s="62">
        <f t="shared" si="146"/>
        <v>194.52809733694494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0.14718272544400324</v>
      </c>
      <c r="BR167" s="23">
        <f>EXP(-LN(2)/2)*BR166+(1-EXP(-LN(2)/2))/(LN(2)/2)*BL167*BO167*VLOOKUP('Données projet'!$B$11,Paramètres!$A$1:$I$89,3,0)*0.475*44/12</f>
        <v>9.6372674979363724E-20</v>
      </c>
      <c r="BS167" s="24">
        <f t="shared" si="169"/>
        <v>0.14718272544400324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292.83612296867898</v>
      </c>
      <c r="CE167" s="62">
        <f t="shared" si="148"/>
        <v>180.48047802041276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1.9169624535336355E-19</v>
      </c>
      <c r="CN167" s="24">
        <f t="shared" si="172"/>
        <v>1.9169624535336355E-19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-6.4733285398688169E-14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192.93829651668403</v>
      </c>
      <c r="CZ167" s="62">
        <f t="shared" si="150"/>
        <v>76.592736352376903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-3.813056537183002E-14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66.964554307546564</v>
      </c>
      <c r="DU167" s="62">
        <f t="shared" si="152"/>
        <v>21.162700178818568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-5.4978954722173515E-14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146.90952320473599</v>
      </c>
      <c r="EP167" s="62">
        <f t="shared" si="154"/>
        <v>56.347130462109817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-5.6843418860808015E-14</v>
      </c>
      <c r="FF167" s="18">
        <f>FE167*VLOOKUP('Données projet'!$B$16,Paramètres!$A$1:$I$89,3,0)*VLOOKUP('Données projet'!$B$16,Paramètres!$A$1:$I$89,5,0)</f>
        <v>-6.1186256061773749E-14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176.21892815766847</v>
      </c>
      <c r="FK167" s="62">
        <f t="shared" si="156"/>
        <v>69.239647548491234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-9.0449248091317723E-14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70.834027458412379</v>
      </c>
      <c r="GF167" s="62">
        <f t="shared" si="158"/>
        <v>74.346987922112362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8.4280245801909757E-20</v>
      </c>
      <c r="GO167" s="23">
        <f t="shared" si="187"/>
        <v>8.4280245801909757E-20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-1.1368683772161603E-13</v>
      </c>
      <c r="GV167" s="18">
        <f>GU167*VLOOKUP('Données projet'!$B$18,Paramètres!$A$1:$I$89,3,0)*VLOOKUP('Données projet'!$B$18,Paramètres!$A$1:$I$89,5,0)</f>
        <v>-8.8675733422860506E-14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99.222094917553648</v>
      </c>
      <c r="HA167" s="62">
        <f t="shared" si="160"/>
        <v>98.371477396766352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1.7535543193926118E-20</v>
      </c>
      <c r="HJ167" s="24">
        <f t="shared" si="190"/>
        <v>1.7535543193926118E-20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1.5961632016114892E-13</v>
      </c>
      <c r="P168" s="14">
        <f t="shared" si="141"/>
        <v>2.2708641912150958E-12</v>
      </c>
      <c r="Q168" s="22">
        <f t="shared" si="162"/>
        <v>4.2330868906469593E-12</v>
      </c>
      <c r="R168" s="62">
        <f t="shared" si="109"/>
        <v>293.33333333333752</v>
      </c>
      <c r="S168" s="62">
        <f ca="1">AVERAGE(OFFSET($R$3,0,0,'Données projet'!$E$9+1,1))-AVERAGE(OFFSET($H$3,0,0,'Données projet'!$E$9+1,1))</f>
        <v>181.48161394994878</v>
      </c>
      <c r="T168" s="62">
        <f t="shared" si="142"/>
        <v>141.1874974464024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340.81036749486179</v>
      </c>
      <c r="AO168" s="62">
        <f t="shared" si="144"/>
        <v>208.88199836488013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257.96727373333601</v>
      </c>
      <c r="BJ168" s="62">
        <f t="shared" si="146"/>
        <v>194.52809733694494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0.14315800607673382</v>
      </c>
      <c r="BR168" s="23">
        <f>EXP(-LN(2)/2)*BR167+(1-EXP(-LN(2)/2))/(LN(2)/2)*BL168*BO168*VLOOKUP('Données projet'!$B$11,Paramètres!$A$1:$I$89,3,0)*0.475*44/12</f>
        <v>6.8145771998995208E-20</v>
      </c>
      <c r="BS168" s="24">
        <f t="shared" si="169"/>
        <v>0.14315800607673382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292.83612296867898</v>
      </c>
      <c r="CE168" s="62">
        <f t="shared" si="148"/>
        <v>180.48047802041276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1.3554971501736357E-19</v>
      </c>
      <c r="CN168" s="24">
        <f t="shared" si="172"/>
        <v>1.3554971501736357E-19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-6.4733285398688169E-14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192.93829651668403</v>
      </c>
      <c r="CZ168" s="62">
        <f t="shared" si="150"/>
        <v>76.592736352376903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-3.813056537183002E-14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66.964554307546564</v>
      </c>
      <c r="DU168" s="62">
        <f t="shared" si="152"/>
        <v>21.162700178818568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-5.4978954722173515E-14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146.90952320473599</v>
      </c>
      <c r="EP168" s="62">
        <f t="shared" si="154"/>
        <v>56.347130462109817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-5.6843418860808015E-14</v>
      </c>
      <c r="FF168" s="18">
        <f>FE168*VLOOKUP('Données projet'!$B$16,Paramètres!$A$1:$I$89,3,0)*VLOOKUP('Données projet'!$B$16,Paramètres!$A$1:$I$89,5,0)</f>
        <v>-6.1186256061773749E-14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176.21892815766847</v>
      </c>
      <c r="FK168" s="62">
        <f t="shared" si="156"/>
        <v>69.239647548491234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-9.0449248091317723E-14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70.834027458412379</v>
      </c>
      <c r="GF168" s="62">
        <f t="shared" si="158"/>
        <v>74.346987922112362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5.9595133326599443E-20</v>
      </c>
      <c r="GO168" s="23">
        <f t="shared" si="187"/>
        <v>5.9595133326599443E-20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-1.1368683772161603E-13</v>
      </c>
      <c r="GV168" s="18">
        <f>GU168*VLOOKUP('Données projet'!$B$18,Paramètres!$A$1:$I$89,3,0)*VLOOKUP('Données projet'!$B$18,Paramètres!$A$1:$I$89,5,0)</f>
        <v>-8.8675733422860506E-14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99.222094917553648</v>
      </c>
      <c r="HA168" s="62">
        <f t="shared" si="160"/>
        <v>98.371477396766352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1.2399501504214768E-20</v>
      </c>
      <c r="HJ168" s="24">
        <f t="shared" si="190"/>
        <v>1.2399501504214768E-20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1.5961632016114892E-13</v>
      </c>
      <c r="P169" s="14">
        <f t="shared" si="141"/>
        <v>2.2708641912150958E-12</v>
      </c>
      <c r="Q169" s="22">
        <f t="shared" si="162"/>
        <v>4.2330868906469593E-12</v>
      </c>
      <c r="R169" s="62">
        <f t="shared" si="109"/>
        <v>293.33333333333752</v>
      </c>
      <c r="S169" s="62">
        <f ca="1">AVERAGE(OFFSET($R$3,0,0,'Données projet'!$E$9+1,1))-AVERAGE(OFFSET($H$3,0,0,'Données projet'!$E$9+1,1))</f>
        <v>181.48161394994878</v>
      </c>
      <c r="T169" s="62">
        <f t="shared" si="142"/>
        <v>141.1874974464024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340.81036749486179</v>
      </c>
      <c r="AO169" s="62">
        <f t="shared" si="144"/>
        <v>208.88199836488013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257.96727373333601</v>
      </c>
      <c r="BJ169" s="62">
        <f t="shared" si="146"/>
        <v>194.52809733694494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0.13924334287221318</v>
      </c>
      <c r="BR169" s="23">
        <f>EXP(-LN(2)/2)*BR168+(1-EXP(-LN(2)/2))/(LN(2)/2)*BL169*BO169*VLOOKUP('Données projet'!$B$11,Paramètres!$A$1:$I$89,3,0)*0.475*44/12</f>
        <v>4.8186337489681862E-20</v>
      </c>
      <c r="BS169" s="24">
        <f t="shared" si="169"/>
        <v>0.13924334287221318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292.83612296867898</v>
      </c>
      <c r="CE169" s="62">
        <f t="shared" si="148"/>
        <v>180.48047802041276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9.5848122676681777E-20</v>
      </c>
      <c r="CN169" s="24">
        <f t="shared" si="172"/>
        <v>9.5848122676681777E-20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-6.4733285398688169E-14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192.93829651668403</v>
      </c>
      <c r="CZ169" s="62">
        <f t="shared" si="150"/>
        <v>76.592736352376903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-3.813056537183002E-14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66.964554307546564</v>
      </c>
      <c r="DU169" s="62">
        <f t="shared" si="152"/>
        <v>21.162700178818568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-5.4978954722173515E-14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146.90952320473599</v>
      </c>
      <c r="EP169" s="62">
        <f t="shared" si="154"/>
        <v>56.347130462109817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-5.6843418860808015E-14</v>
      </c>
      <c r="FF169" s="18">
        <f>FE169*VLOOKUP('Données projet'!$B$16,Paramètres!$A$1:$I$89,3,0)*VLOOKUP('Données projet'!$B$16,Paramètres!$A$1:$I$89,5,0)</f>
        <v>-6.1186256061773749E-14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176.21892815766847</v>
      </c>
      <c r="FK169" s="62">
        <f t="shared" si="156"/>
        <v>69.239647548491234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-9.0449248091317723E-14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70.834027458412379</v>
      </c>
      <c r="GF169" s="62">
        <f t="shared" si="158"/>
        <v>74.346987922112362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4.2140122900954878E-20</v>
      </c>
      <c r="GO169" s="23">
        <f t="shared" si="187"/>
        <v>4.2140122900954878E-20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-1.1368683772161603E-13</v>
      </c>
      <c r="GV169" s="18">
        <f>GU169*VLOOKUP('Données projet'!$B$18,Paramètres!$A$1:$I$89,3,0)*VLOOKUP('Données projet'!$B$18,Paramètres!$A$1:$I$89,5,0)</f>
        <v>-8.8675733422860506E-14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99.222094917553648</v>
      </c>
      <c r="HA169" s="62">
        <f t="shared" si="160"/>
        <v>98.371477396766352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8.7677715969630589E-21</v>
      </c>
      <c r="HJ169" s="24">
        <f t="shared" si="190"/>
        <v>8.7677715969630589E-21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1.5961632016114892E-13</v>
      </c>
      <c r="P170" s="14">
        <f t="shared" si="141"/>
        <v>2.2708641912150958E-12</v>
      </c>
      <c r="Q170" s="22">
        <f t="shared" si="162"/>
        <v>4.2330868906469593E-12</v>
      </c>
      <c r="R170" s="62">
        <f t="shared" si="109"/>
        <v>293.33333333333752</v>
      </c>
      <c r="S170" s="62">
        <f ca="1">AVERAGE(OFFSET($R$3,0,0,'Données projet'!$E$9+1,1))-AVERAGE(OFFSET($H$3,0,0,'Données projet'!$E$9+1,1))</f>
        <v>181.48161394994878</v>
      </c>
      <c r="T170" s="62">
        <f t="shared" si="142"/>
        <v>141.1874974464024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340.81036749486179</v>
      </c>
      <c r="AO170" s="62">
        <f t="shared" si="144"/>
        <v>208.88199836488013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257.96727373333601</v>
      </c>
      <c r="BJ170" s="62">
        <f t="shared" si="146"/>
        <v>194.52809733694494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0.13543572633888334</v>
      </c>
      <c r="BR170" s="23">
        <f>EXP(-LN(2)/2)*BR169+(1-EXP(-LN(2)/2))/(LN(2)/2)*BL170*BO170*VLOOKUP('Données projet'!$B$11,Paramètres!$A$1:$I$89,3,0)*0.475*44/12</f>
        <v>3.4072885999497604E-20</v>
      </c>
      <c r="BS170" s="24">
        <f t="shared" si="169"/>
        <v>0.13543572633888334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292.83612296867898</v>
      </c>
      <c r="CE170" s="62">
        <f t="shared" si="148"/>
        <v>180.48047802041276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6.7774857508681784E-20</v>
      </c>
      <c r="CN170" s="24">
        <f t="shared" si="172"/>
        <v>6.7774857508681784E-20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-6.4733285398688169E-14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192.93829651668403</v>
      </c>
      <c r="CZ170" s="62">
        <f t="shared" si="150"/>
        <v>76.592736352376903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-3.813056537183002E-14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66.964554307546564</v>
      </c>
      <c r="DU170" s="62">
        <f t="shared" si="152"/>
        <v>21.162700178818568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-5.4978954722173515E-14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146.90952320473599</v>
      </c>
      <c r="EP170" s="62">
        <f t="shared" si="154"/>
        <v>56.347130462109817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-5.6843418860808015E-14</v>
      </c>
      <c r="FF170" s="18">
        <f>FE170*VLOOKUP('Données projet'!$B$16,Paramètres!$A$1:$I$89,3,0)*VLOOKUP('Données projet'!$B$16,Paramètres!$A$1:$I$89,5,0)</f>
        <v>-6.1186256061773749E-14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176.21892815766847</v>
      </c>
      <c r="FK170" s="62">
        <f t="shared" si="156"/>
        <v>69.239647548491234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-9.0449248091317723E-14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70.834027458412379</v>
      </c>
      <c r="GF170" s="62">
        <f t="shared" si="158"/>
        <v>74.346987922112362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2.9797566663299722E-20</v>
      </c>
      <c r="GO170" s="23">
        <f t="shared" si="187"/>
        <v>2.9797566663299722E-20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-1.1368683772161603E-13</v>
      </c>
      <c r="GV170" s="18">
        <f>GU170*VLOOKUP('Données projet'!$B$18,Paramètres!$A$1:$I$89,3,0)*VLOOKUP('Données projet'!$B$18,Paramètres!$A$1:$I$89,5,0)</f>
        <v>-8.8675733422860506E-14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99.222094917553648</v>
      </c>
      <c r="HA170" s="62">
        <f t="shared" si="160"/>
        <v>98.371477396766352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6.1997507521073841E-21</v>
      </c>
      <c r="HJ170" s="24">
        <f t="shared" si="190"/>
        <v>6.1997507521073841E-21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1.5961632016114892E-13</v>
      </c>
      <c r="P171" s="14">
        <f t="shared" si="141"/>
        <v>2.2708641912150958E-12</v>
      </c>
      <c r="Q171" s="22">
        <f t="shared" si="162"/>
        <v>4.2330868906469593E-12</v>
      </c>
      <c r="R171" s="62">
        <f t="shared" si="109"/>
        <v>293.33333333333752</v>
      </c>
      <c r="S171" s="62">
        <f ca="1">AVERAGE(OFFSET($R$3,0,0,'Données projet'!$E$9+1,1))-AVERAGE(OFFSET($H$3,0,0,'Données projet'!$E$9+1,1))</f>
        <v>181.48161394994878</v>
      </c>
      <c r="T171" s="62">
        <f t="shared" si="142"/>
        <v>141.1874974464024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340.81036749486179</v>
      </c>
      <c r="AO171" s="62">
        <f t="shared" si="144"/>
        <v>208.88199836488013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257.96727373333601</v>
      </c>
      <c r="BJ171" s="62">
        <f t="shared" si="146"/>
        <v>194.52809733694494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0.13173222927989128</v>
      </c>
      <c r="BR171" s="23">
        <f>EXP(-LN(2)/2)*BR170+(1-EXP(-LN(2)/2))/(LN(2)/2)*BL171*BO171*VLOOKUP('Données projet'!$B$11,Paramètres!$A$1:$I$89,3,0)*0.475*44/12</f>
        <v>2.4093168744840931E-20</v>
      </c>
      <c r="BS171" s="24">
        <f t="shared" si="169"/>
        <v>0.13173222927989128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292.83612296867898</v>
      </c>
      <c r="CE171" s="62">
        <f t="shared" si="148"/>
        <v>180.48047802041276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4.7924061338340888E-20</v>
      </c>
      <c r="CN171" s="24">
        <f t="shared" si="172"/>
        <v>4.7924061338340888E-20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-6.4733285398688169E-14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192.93829651668403</v>
      </c>
      <c r="CZ171" s="62">
        <f t="shared" si="150"/>
        <v>76.592736352376903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-3.813056537183002E-14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66.964554307546564</v>
      </c>
      <c r="DU171" s="62">
        <f t="shared" si="152"/>
        <v>21.162700178818568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-5.4978954722173515E-14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146.90952320473599</v>
      </c>
      <c r="EP171" s="62">
        <f t="shared" si="154"/>
        <v>56.347130462109817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-5.6843418860808015E-14</v>
      </c>
      <c r="FF171" s="18">
        <f>FE171*VLOOKUP('Données projet'!$B$16,Paramètres!$A$1:$I$89,3,0)*VLOOKUP('Données projet'!$B$16,Paramètres!$A$1:$I$89,5,0)</f>
        <v>-6.1186256061773749E-14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176.21892815766847</v>
      </c>
      <c r="FK171" s="62">
        <f t="shared" si="156"/>
        <v>69.239647548491234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-9.0449248091317723E-14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70.834027458412379</v>
      </c>
      <c r="GF171" s="62">
        <f t="shared" si="158"/>
        <v>74.346987922112362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2.1070061450477439E-20</v>
      </c>
      <c r="GO171" s="23">
        <f t="shared" si="187"/>
        <v>2.1070061450477439E-20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-1.1368683772161603E-13</v>
      </c>
      <c r="GV171" s="18">
        <f>GU171*VLOOKUP('Données projet'!$B$18,Paramètres!$A$1:$I$89,3,0)*VLOOKUP('Données projet'!$B$18,Paramètres!$A$1:$I$89,5,0)</f>
        <v>-8.8675733422860506E-14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99.222094917553648</v>
      </c>
      <c r="HA171" s="62">
        <f t="shared" si="160"/>
        <v>98.371477396766352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4.3838857984815295E-21</v>
      </c>
      <c r="HJ171" s="24">
        <f t="shared" si="190"/>
        <v>4.3838857984815295E-21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1.5961632016114892E-13</v>
      </c>
      <c r="P172" s="14">
        <f t="shared" si="141"/>
        <v>2.2708641912150958E-12</v>
      </c>
      <c r="Q172" s="22">
        <f t="shared" si="162"/>
        <v>4.2330868906469593E-12</v>
      </c>
      <c r="R172" s="62">
        <f t="shared" si="109"/>
        <v>293.33333333333752</v>
      </c>
      <c r="S172" s="62">
        <f ca="1">AVERAGE(OFFSET($R$3,0,0,'Données projet'!$E$9+1,1))-AVERAGE(OFFSET($H$3,0,0,'Données projet'!$E$9+1,1))</f>
        <v>181.48161394994878</v>
      </c>
      <c r="T172" s="62">
        <f t="shared" si="142"/>
        <v>141.1874974464024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340.81036749486179</v>
      </c>
      <c r="AO172" s="62">
        <f t="shared" si="144"/>
        <v>208.88199836488013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257.96727373333601</v>
      </c>
      <c r="BJ172" s="62">
        <f t="shared" si="146"/>
        <v>194.52809733694494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0.12813000454273579</v>
      </c>
      <c r="BR172" s="23">
        <f>EXP(-LN(2)/2)*BR171+(1-EXP(-LN(2)/2))/(LN(2)/2)*BL172*BO172*VLOOKUP('Données projet'!$B$11,Paramètres!$A$1:$I$89,3,0)*0.475*44/12</f>
        <v>1.7036442999748802E-20</v>
      </c>
      <c r="BS172" s="24">
        <f t="shared" si="169"/>
        <v>0.12813000454273579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292.83612296867898</v>
      </c>
      <c r="CE172" s="62">
        <f t="shared" si="148"/>
        <v>180.48047802041276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3.3887428754340892E-20</v>
      </c>
      <c r="CN172" s="24">
        <f t="shared" si="172"/>
        <v>3.3887428754340892E-20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-6.4733285398688169E-14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192.93829651668403</v>
      </c>
      <c r="CZ172" s="62">
        <f t="shared" si="150"/>
        <v>76.592736352376903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-3.813056537183002E-14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66.964554307546564</v>
      </c>
      <c r="DU172" s="62">
        <f t="shared" si="152"/>
        <v>21.162700178818568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-5.4978954722173515E-14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146.90952320473599</v>
      </c>
      <c r="EP172" s="62">
        <f t="shared" si="154"/>
        <v>56.347130462109817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-5.6843418860808015E-14</v>
      </c>
      <c r="FF172" s="18">
        <f>FE172*VLOOKUP('Données projet'!$B$16,Paramètres!$A$1:$I$89,3,0)*VLOOKUP('Données projet'!$B$16,Paramètres!$A$1:$I$89,5,0)</f>
        <v>-6.1186256061773749E-14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176.21892815766847</v>
      </c>
      <c r="FK172" s="62">
        <f t="shared" si="156"/>
        <v>69.239647548491234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-9.0449248091317723E-14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70.834027458412379</v>
      </c>
      <c r="GF172" s="62">
        <f t="shared" si="158"/>
        <v>74.346987922112362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1.4898783331649861E-20</v>
      </c>
      <c r="GO172" s="23">
        <f t="shared" si="187"/>
        <v>1.4898783331649861E-20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-1.1368683772161603E-13</v>
      </c>
      <c r="GV172" s="18">
        <f>GU172*VLOOKUP('Données projet'!$B$18,Paramètres!$A$1:$I$89,3,0)*VLOOKUP('Données projet'!$B$18,Paramètres!$A$1:$I$89,5,0)</f>
        <v>-8.8675733422860506E-14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99.222094917553648</v>
      </c>
      <c r="HA172" s="62">
        <f t="shared" si="160"/>
        <v>98.371477396766352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3.0998753760536921E-21</v>
      </c>
      <c r="HJ172" s="24">
        <f t="shared" si="190"/>
        <v>3.0998753760536921E-21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1.5961632016114892E-13</v>
      </c>
      <c r="P173" s="14">
        <f t="shared" si="141"/>
        <v>2.2708641912150958E-12</v>
      </c>
      <c r="Q173" s="22">
        <f t="shared" si="162"/>
        <v>4.2330868906469593E-12</v>
      </c>
      <c r="R173" s="62">
        <f t="shared" si="109"/>
        <v>293.33333333333752</v>
      </c>
      <c r="S173" s="62">
        <f ca="1">AVERAGE(OFFSET($R$3,0,0,'Données projet'!$E$9+1,1))-AVERAGE(OFFSET($H$3,0,0,'Données projet'!$E$9+1,1))</f>
        <v>181.48161394994878</v>
      </c>
      <c r="T173" s="62">
        <f t="shared" si="142"/>
        <v>141.1874974464024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340.81036749486179</v>
      </c>
      <c r="AO173" s="62">
        <f t="shared" si="144"/>
        <v>208.88199836488013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257.96727373333601</v>
      </c>
      <c r="BJ173" s="62">
        <f t="shared" si="146"/>
        <v>194.52809733694494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0.12462628283045059</v>
      </c>
      <c r="BR173" s="23">
        <f>EXP(-LN(2)/2)*BR172+(1-EXP(-LN(2)/2))/(LN(2)/2)*BL173*BO173*VLOOKUP('Données projet'!$B$11,Paramètres!$A$1:$I$89,3,0)*0.475*44/12</f>
        <v>1.2046584372420466E-20</v>
      </c>
      <c r="BS173" s="24">
        <f t="shared" si="169"/>
        <v>0.12462628283045059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292.83612296867898</v>
      </c>
      <c r="CE173" s="62">
        <f t="shared" si="148"/>
        <v>180.48047802041276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2.3962030669170444E-20</v>
      </c>
      <c r="CN173" s="24">
        <f t="shared" si="172"/>
        <v>2.3962030669170444E-20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-6.4733285398688169E-14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192.93829651668403</v>
      </c>
      <c r="CZ173" s="62">
        <f t="shared" si="150"/>
        <v>76.592736352376903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-3.813056537183002E-14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66.964554307546564</v>
      </c>
      <c r="DU173" s="62">
        <f t="shared" si="152"/>
        <v>21.162700178818568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-5.4978954722173515E-14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146.90952320473599</v>
      </c>
      <c r="EP173" s="62">
        <f t="shared" si="154"/>
        <v>56.347130462109817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-5.6843418860808015E-14</v>
      </c>
      <c r="FF173" s="18">
        <f>FE173*VLOOKUP('Données projet'!$B$16,Paramètres!$A$1:$I$89,3,0)*VLOOKUP('Données projet'!$B$16,Paramètres!$A$1:$I$89,5,0)</f>
        <v>-6.1186256061773749E-14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176.21892815766847</v>
      </c>
      <c r="FK173" s="62">
        <f t="shared" si="156"/>
        <v>69.239647548491234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-9.0449248091317723E-14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70.834027458412379</v>
      </c>
      <c r="GF173" s="62">
        <f t="shared" si="158"/>
        <v>74.346987922112362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1.053503072523872E-20</v>
      </c>
      <c r="GO173" s="23">
        <f t="shared" si="187"/>
        <v>1.053503072523872E-20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-1.1368683772161603E-13</v>
      </c>
      <c r="GV173" s="18">
        <f>GU173*VLOOKUP('Données projet'!$B$18,Paramètres!$A$1:$I$89,3,0)*VLOOKUP('Données projet'!$B$18,Paramètres!$A$1:$I$89,5,0)</f>
        <v>-8.8675733422860506E-14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99.222094917553648</v>
      </c>
      <c r="HA173" s="62">
        <f t="shared" si="160"/>
        <v>98.371477396766352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2.1919428992407647E-21</v>
      </c>
      <c r="HJ173" s="24">
        <f t="shared" si="190"/>
        <v>2.1919428992407647E-21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1.5961632016114892E-13</v>
      </c>
      <c r="P174" s="14">
        <f t="shared" si="141"/>
        <v>2.2708641912150958E-12</v>
      </c>
      <c r="Q174" s="22">
        <f t="shared" si="162"/>
        <v>4.2330868906469593E-12</v>
      </c>
      <c r="R174" s="62">
        <f t="shared" si="109"/>
        <v>293.33333333333752</v>
      </c>
      <c r="S174" s="62">
        <f ca="1">AVERAGE(OFFSET($R$3,0,0,'Données projet'!$E$9+1,1))-AVERAGE(OFFSET($H$3,0,0,'Données projet'!$E$9+1,1))</f>
        <v>181.48161394994878</v>
      </c>
      <c r="T174" s="62">
        <f t="shared" si="142"/>
        <v>141.1874974464024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340.81036749486179</v>
      </c>
      <c r="AO174" s="62">
        <f t="shared" si="144"/>
        <v>208.88199836488013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257.96727373333601</v>
      </c>
      <c r="BJ174" s="62">
        <f t="shared" si="146"/>
        <v>194.52809733694494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0.12121837057264054</v>
      </c>
      <c r="BR174" s="23">
        <f>EXP(-LN(2)/2)*BR173+(1-EXP(-LN(2)/2))/(LN(2)/2)*BL174*BO174*VLOOKUP('Données projet'!$B$11,Paramètres!$A$1:$I$89,3,0)*0.475*44/12</f>
        <v>8.518221499874401E-21</v>
      </c>
      <c r="BS174" s="24">
        <f t="shared" si="169"/>
        <v>0.12121837057264054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292.83612296867898</v>
      </c>
      <c r="CE174" s="62">
        <f t="shared" si="148"/>
        <v>180.48047802041276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1.6943714377170446E-20</v>
      </c>
      <c r="CN174" s="24">
        <f t="shared" si="172"/>
        <v>1.6943714377170446E-20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-6.4733285398688169E-14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192.93829651668403</v>
      </c>
      <c r="CZ174" s="62">
        <f t="shared" si="150"/>
        <v>76.592736352376903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-3.813056537183002E-14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66.964554307546564</v>
      </c>
      <c r="DU174" s="62">
        <f t="shared" si="152"/>
        <v>21.162700178818568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-5.4978954722173515E-14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146.90952320473599</v>
      </c>
      <c r="EP174" s="62">
        <f t="shared" si="154"/>
        <v>56.347130462109817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-5.6843418860808015E-14</v>
      </c>
      <c r="FF174" s="18">
        <f>FE174*VLOOKUP('Données projet'!$B$16,Paramètres!$A$1:$I$89,3,0)*VLOOKUP('Données projet'!$B$16,Paramètres!$A$1:$I$89,5,0)</f>
        <v>-6.1186256061773749E-14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176.21892815766847</v>
      </c>
      <c r="FK174" s="62">
        <f t="shared" si="156"/>
        <v>69.239647548491234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-9.0449248091317723E-14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70.834027458412379</v>
      </c>
      <c r="GF174" s="62">
        <f t="shared" si="158"/>
        <v>74.346987922112362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7.4493916658249304E-21</v>
      </c>
      <c r="GO174" s="23">
        <f t="shared" si="187"/>
        <v>7.4493916658249304E-21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-1.1368683772161603E-13</v>
      </c>
      <c r="GV174" s="18">
        <f>GU174*VLOOKUP('Données projet'!$B$18,Paramètres!$A$1:$I$89,3,0)*VLOOKUP('Données projet'!$B$18,Paramètres!$A$1:$I$89,5,0)</f>
        <v>-8.8675733422860506E-14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99.222094917553648</v>
      </c>
      <c r="HA174" s="62">
        <f t="shared" si="160"/>
        <v>98.371477396766352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1.549937688026846E-21</v>
      </c>
      <c r="HJ174" s="24">
        <f t="shared" si="190"/>
        <v>1.549937688026846E-21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1.5961632016114892E-13</v>
      </c>
      <c r="P175" s="14">
        <f t="shared" si="141"/>
        <v>2.2708641912150958E-12</v>
      </c>
      <c r="Q175" s="22">
        <f t="shared" si="162"/>
        <v>4.2330868906469593E-12</v>
      </c>
      <c r="R175" s="62">
        <f t="shared" si="109"/>
        <v>293.33333333333752</v>
      </c>
      <c r="S175" s="62">
        <f ca="1">AVERAGE(OFFSET($R$3,0,0,'Données projet'!$E$9+1,1))-AVERAGE(OFFSET($H$3,0,0,'Données projet'!$E$9+1,1))</f>
        <v>181.48161394994878</v>
      </c>
      <c r="T175" s="62">
        <f t="shared" si="142"/>
        <v>141.1874974464024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340.81036749486179</v>
      </c>
      <c r="AO175" s="62">
        <f t="shared" si="144"/>
        <v>208.88199836488013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257.96727373333601</v>
      </c>
      <c r="BJ175" s="62">
        <f t="shared" si="146"/>
        <v>194.52809733694494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0.11790364785473462</v>
      </c>
      <c r="BR175" s="23">
        <f>EXP(-LN(2)/2)*BR174+(1-EXP(-LN(2)/2))/(LN(2)/2)*BL175*BO175*VLOOKUP('Données projet'!$B$11,Paramètres!$A$1:$I$89,3,0)*0.475*44/12</f>
        <v>6.0232921862102328E-21</v>
      </c>
      <c r="BS175" s="24">
        <f t="shared" si="169"/>
        <v>0.11790364785473462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292.83612296867898</v>
      </c>
      <c r="CE175" s="62">
        <f t="shared" si="148"/>
        <v>180.48047802041276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1.1981015334585222E-20</v>
      </c>
      <c r="CN175" s="24">
        <f t="shared" si="172"/>
        <v>1.1981015334585222E-20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-6.4733285398688169E-14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192.93829651668403</v>
      </c>
      <c r="CZ175" s="62">
        <f t="shared" si="150"/>
        <v>76.592736352376903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-3.813056537183002E-14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66.964554307546564</v>
      </c>
      <c r="DU175" s="62">
        <f t="shared" si="152"/>
        <v>21.162700178818568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-5.4978954722173515E-14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146.90952320473599</v>
      </c>
      <c r="EP175" s="62">
        <f t="shared" si="154"/>
        <v>56.347130462109817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-5.6843418860808015E-14</v>
      </c>
      <c r="FF175" s="18">
        <f>FE175*VLOOKUP('Données projet'!$B$16,Paramètres!$A$1:$I$89,3,0)*VLOOKUP('Données projet'!$B$16,Paramètres!$A$1:$I$89,5,0)</f>
        <v>-6.1186256061773749E-14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176.21892815766847</v>
      </c>
      <c r="FK175" s="62">
        <f t="shared" si="156"/>
        <v>69.239647548491234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-9.0449248091317723E-14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70.834027458412379</v>
      </c>
      <c r="GF175" s="62">
        <f t="shared" si="158"/>
        <v>74.346987922112362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5.2675153626193598E-21</v>
      </c>
      <c r="GO175" s="23">
        <f t="shared" si="187"/>
        <v>5.2675153626193598E-21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-1.1368683772161603E-13</v>
      </c>
      <c r="GV175" s="18">
        <f>GU175*VLOOKUP('Données projet'!$B$18,Paramètres!$A$1:$I$89,3,0)*VLOOKUP('Données projet'!$B$18,Paramètres!$A$1:$I$89,5,0)</f>
        <v>-8.8675733422860506E-14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99.222094917553648</v>
      </c>
      <c r="HA175" s="62">
        <f t="shared" si="160"/>
        <v>98.371477396766352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1.0959714496203824E-21</v>
      </c>
      <c r="HJ175" s="24">
        <f t="shared" si="190"/>
        <v>1.0959714496203824E-21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1.5961632016114892E-13</v>
      </c>
      <c r="P176" s="14">
        <f t="shared" si="141"/>
        <v>2.2708641912150958E-12</v>
      </c>
      <c r="Q176" s="22">
        <f t="shared" si="162"/>
        <v>4.2330868906469593E-12</v>
      </c>
      <c r="R176" s="62">
        <f t="shared" si="109"/>
        <v>293.33333333333752</v>
      </c>
      <c r="S176" s="62">
        <f ca="1">AVERAGE(OFFSET($R$3,0,0,'Données projet'!$E$9+1,1))-AVERAGE(OFFSET($H$3,0,0,'Données projet'!$E$9+1,1))</f>
        <v>181.48161394994878</v>
      </c>
      <c r="T176" s="62">
        <f t="shared" si="142"/>
        <v>141.1874974464024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340.81036749486179</v>
      </c>
      <c r="AO176" s="62">
        <f t="shared" si="144"/>
        <v>208.88199836488013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257.96727373333601</v>
      </c>
      <c r="BJ176" s="62">
        <f t="shared" si="146"/>
        <v>194.52809733694494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0.11467956640386354</v>
      </c>
      <c r="BR176" s="23">
        <f>EXP(-LN(2)/2)*BR175+(1-EXP(-LN(2)/2))/(LN(2)/2)*BL176*BO176*VLOOKUP('Données projet'!$B$11,Paramètres!$A$1:$I$89,3,0)*0.475*44/12</f>
        <v>4.2591107499372005E-21</v>
      </c>
      <c r="BS176" s="24">
        <f t="shared" si="169"/>
        <v>0.11467956640386354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292.83612296867898</v>
      </c>
      <c r="CE176" s="62">
        <f t="shared" si="148"/>
        <v>180.48047802041276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8.471857188585223E-21</v>
      </c>
      <c r="CN176" s="24">
        <f t="shared" si="172"/>
        <v>8.471857188585223E-21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-6.4733285398688169E-14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192.93829651668403</v>
      </c>
      <c r="CZ176" s="62">
        <f t="shared" si="150"/>
        <v>76.592736352376903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-3.813056537183002E-14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66.964554307546564</v>
      </c>
      <c r="DU176" s="62">
        <f t="shared" si="152"/>
        <v>21.162700178818568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-5.4978954722173515E-14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146.90952320473599</v>
      </c>
      <c r="EP176" s="62">
        <f t="shared" si="154"/>
        <v>56.347130462109817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-5.6843418860808015E-14</v>
      </c>
      <c r="FF176" s="18">
        <f>FE176*VLOOKUP('Données projet'!$B$16,Paramètres!$A$1:$I$89,3,0)*VLOOKUP('Données projet'!$B$16,Paramètres!$A$1:$I$89,5,0)</f>
        <v>-6.1186256061773749E-14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176.21892815766847</v>
      </c>
      <c r="FK176" s="62">
        <f t="shared" si="156"/>
        <v>69.239647548491234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-9.0449248091317723E-14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70.834027458412379</v>
      </c>
      <c r="GF176" s="62">
        <f t="shared" si="158"/>
        <v>74.346987922112362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3.7246958329124652E-21</v>
      </c>
      <c r="GO176" s="23">
        <f t="shared" si="187"/>
        <v>3.7246958329124652E-21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-1.1368683772161603E-13</v>
      </c>
      <c r="GV176" s="18">
        <f>GU176*VLOOKUP('Données projet'!$B$18,Paramètres!$A$1:$I$89,3,0)*VLOOKUP('Données projet'!$B$18,Paramètres!$A$1:$I$89,5,0)</f>
        <v>-8.8675733422860506E-14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99.222094917553648</v>
      </c>
      <c r="HA176" s="62">
        <f t="shared" si="160"/>
        <v>98.371477396766352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7.7496884401342302E-22</v>
      </c>
      <c r="HJ176" s="24">
        <f t="shared" si="190"/>
        <v>7.7496884401342302E-22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1.5961632016114892E-13</v>
      </c>
      <c r="P177" s="14">
        <f t="shared" si="141"/>
        <v>2.2708641912150958E-12</v>
      </c>
      <c r="Q177" s="22">
        <f t="shared" si="162"/>
        <v>4.2330868906469593E-12</v>
      </c>
      <c r="R177" s="62">
        <f t="shared" si="109"/>
        <v>293.33333333333752</v>
      </c>
      <c r="S177" s="62">
        <f ca="1">AVERAGE(OFFSET($R$3,0,0,'Données projet'!$E$9+1,1))-AVERAGE(OFFSET($H$3,0,0,'Données projet'!$E$9+1,1))</f>
        <v>181.48161394994878</v>
      </c>
      <c r="T177" s="62">
        <f t="shared" si="142"/>
        <v>141.1874974464024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340.81036749486179</v>
      </c>
      <c r="AO177" s="62">
        <f t="shared" si="144"/>
        <v>208.88199836488013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257.96727373333601</v>
      </c>
      <c r="BJ177" s="62">
        <f t="shared" si="146"/>
        <v>194.52809733694494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0.1115436476298136</v>
      </c>
      <c r="BR177" s="23">
        <f>EXP(-LN(2)/2)*BR176+(1-EXP(-LN(2)/2))/(LN(2)/2)*BL177*BO177*VLOOKUP('Données projet'!$B$11,Paramètres!$A$1:$I$89,3,0)*0.475*44/12</f>
        <v>3.0116460931051164E-21</v>
      </c>
      <c r="BS177" s="24">
        <f t="shared" si="169"/>
        <v>0.1115436476298136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292.83612296867898</v>
      </c>
      <c r="CE177" s="62">
        <f t="shared" si="148"/>
        <v>180.48047802041276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5.990507667292611E-21</v>
      </c>
      <c r="CN177" s="24">
        <f t="shared" si="172"/>
        <v>5.990507667292611E-21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-6.4733285398688169E-14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192.93829651668403</v>
      </c>
      <c r="CZ177" s="62">
        <f t="shared" si="150"/>
        <v>76.592736352376903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-3.813056537183002E-14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66.964554307546564</v>
      </c>
      <c r="DU177" s="62">
        <f t="shared" si="152"/>
        <v>21.162700178818568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-5.4978954722173515E-14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146.90952320473599</v>
      </c>
      <c r="EP177" s="62">
        <f t="shared" si="154"/>
        <v>56.347130462109817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-5.6843418860808015E-14</v>
      </c>
      <c r="FF177" s="18">
        <f>FE177*VLOOKUP('Données projet'!$B$16,Paramètres!$A$1:$I$89,3,0)*VLOOKUP('Données projet'!$B$16,Paramètres!$A$1:$I$89,5,0)</f>
        <v>-6.1186256061773749E-14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176.21892815766847</v>
      </c>
      <c r="FK177" s="62">
        <f t="shared" si="156"/>
        <v>69.239647548491234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-9.0449248091317723E-14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70.834027458412379</v>
      </c>
      <c r="GF177" s="62">
        <f t="shared" si="158"/>
        <v>74.346987922112362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2.6337576813096799E-21</v>
      </c>
      <c r="GO177" s="23">
        <f t="shared" si="187"/>
        <v>2.6337576813096799E-21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-1.1368683772161603E-13</v>
      </c>
      <c r="GV177" s="18">
        <f>GU177*VLOOKUP('Données projet'!$B$18,Paramètres!$A$1:$I$89,3,0)*VLOOKUP('Données projet'!$B$18,Paramètres!$A$1:$I$89,5,0)</f>
        <v>-8.8675733422860506E-14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99.222094917553648</v>
      </c>
      <c r="HA177" s="62">
        <f t="shared" si="160"/>
        <v>98.371477396766352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5.4798572481019118E-22</v>
      </c>
      <c r="HJ177" s="24">
        <f t="shared" si="190"/>
        <v>5.4798572481019118E-22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1.5961632016114892E-13</v>
      </c>
      <c r="P178" s="14">
        <f t="shared" si="141"/>
        <v>2.2708641912150958E-12</v>
      </c>
      <c r="Q178" s="22">
        <f t="shared" si="162"/>
        <v>4.2330868906469593E-12</v>
      </c>
      <c r="R178" s="62">
        <f t="shared" si="109"/>
        <v>293.33333333333752</v>
      </c>
      <c r="S178" s="62">
        <f ca="1">AVERAGE(OFFSET($R$3,0,0,'Données projet'!$E$9+1,1))-AVERAGE(OFFSET($H$3,0,0,'Données projet'!$E$9+1,1))</f>
        <v>181.48161394994878</v>
      </c>
      <c r="T178" s="62">
        <f t="shared" si="142"/>
        <v>141.1874974464024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340.81036749486179</v>
      </c>
      <c r="AO178" s="62">
        <f t="shared" si="144"/>
        <v>208.88199836488013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257.96727373333601</v>
      </c>
      <c r="BJ178" s="62">
        <f t="shared" si="146"/>
        <v>194.52809733694494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0.10849348071955085</v>
      </c>
      <c r="BR178" s="23">
        <f>EXP(-LN(2)/2)*BR177+(1-EXP(-LN(2)/2))/(LN(2)/2)*BL178*BO178*VLOOKUP('Données projet'!$B$11,Paramètres!$A$1:$I$89,3,0)*0.475*44/12</f>
        <v>2.1295553749686002E-21</v>
      </c>
      <c r="BS178" s="24">
        <f t="shared" si="169"/>
        <v>0.10849348071955085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292.83612296867898</v>
      </c>
      <c r="CE178" s="62">
        <f t="shared" si="148"/>
        <v>180.48047802041276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4.2359285942926115E-21</v>
      </c>
      <c r="CN178" s="24">
        <f t="shared" si="172"/>
        <v>4.2359285942926115E-21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-6.4733285398688169E-14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192.93829651668403</v>
      </c>
      <c r="CZ178" s="62">
        <f t="shared" si="150"/>
        <v>76.592736352376903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-3.813056537183002E-14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66.964554307546564</v>
      </c>
      <c r="DU178" s="62">
        <f t="shared" si="152"/>
        <v>21.162700178818568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-5.4978954722173515E-14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146.90952320473599</v>
      </c>
      <c r="EP178" s="62">
        <f t="shared" si="154"/>
        <v>56.347130462109817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-5.6843418860808015E-14</v>
      </c>
      <c r="FF178" s="18">
        <f>FE178*VLOOKUP('Données projet'!$B$16,Paramètres!$A$1:$I$89,3,0)*VLOOKUP('Données projet'!$B$16,Paramètres!$A$1:$I$89,5,0)</f>
        <v>-6.1186256061773749E-14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176.21892815766847</v>
      </c>
      <c r="FK178" s="62">
        <f t="shared" si="156"/>
        <v>69.239647548491234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-9.0449248091317723E-14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70.834027458412379</v>
      </c>
      <c r="GF178" s="62">
        <f t="shared" si="158"/>
        <v>74.346987922112362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1.8623479164562326E-21</v>
      </c>
      <c r="GO178" s="23">
        <f t="shared" si="187"/>
        <v>1.8623479164562326E-21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-1.1368683772161603E-13</v>
      </c>
      <c r="GV178" s="18">
        <f>GU178*VLOOKUP('Données projet'!$B$18,Paramètres!$A$1:$I$89,3,0)*VLOOKUP('Données projet'!$B$18,Paramètres!$A$1:$I$89,5,0)</f>
        <v>-8.8675733422860506E-14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99.222094917553648</v>
      </c>
      <c r="HA178" s="62">
        <f t="shared" si="160"/>
        <v>98.371477396766352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3.8748442200671151E-22</v>
      </c>
      <c r="HJ178" s="24">
        <f t="shared" si="190"/>
        <v>3.8748442200671151E-22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1.5961632016114892E-13</v>
      </c>
      <c r="P179" s="14">
        <f t="shared" si="141"/>
        <v>2.2708641912150958E-12</v>
      </c>
      <c r="Q179" s="22">
        <f t="shared" si="162"/>
        <v>4.2330868906469593E-12</v>
      </c>
      <c r="R179" s="62">
        <f t="shared" si="109"/>
        <v>293.33333333333752</v>
      </c>
      <c r="S179" s="62">
        <f ca="1">AVERAGE(OFFSET($R$3,0,0,'Données projet'!$E$9+1,1))-AVERAGE(OFFSET($H$3,0,0,'Données projet'!$E$9+1,1))</f>
        <v>181.48161394994878</v>
      </c>
      <c r="T179" s="62">
        <f t="shared" si="142"/>
        <v>141.1874974464024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340.81036749486179</v>
      </c>
      <c r="AO179" s="62">
        <f t="shared" si="144"/>
        <v>208.88199836488013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257.96727373333601</v>
      </c>
      <c r="BJ179" s="62">
        <f t="shared" si="146"/>
        <v>194.52809733694494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0.10552672078385054</v>
      </c>
      <c r="BR179" s="23">
        <f>EXP(-LN(2)/2)*BR178+(1-EXP(-LN(2)/2))/(LN(2)/2)*BL179*BO179*VLOOKUP('Données projet'!$B$11,Paramètres!$A$1:$I$89,3,0)*0.475*44/12</f>
        <v>1.5058230465525582E-21</v>
      </c>
      <c r="BS179" s="24">
        <f t="shared" si="169"/>
        <v>0.10552672078385054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292.83612296867898</v>
      </c>
      <c r="CE179" s="62">
        <f t="shared" si="148"/>
        <v>180.48047802041276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2.9952538336463055E-21</v>
      </c>
      <c r="CN179" s="24">
        <f t="shared" si="172"/>
        <v>2.9952538336463055E-21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-6.4733285398688169E-14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192.93829651668403</v>
      </c>
      <c r="CZ179" s="62">
        <f t="shared" si="150"/>
        <v>76.592736352376903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-3.813056537183002E-14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66.964554307546564</v>
      </c>
      <c r="DU179" s="62">
        <f t="shared" si="152"/>
        <v>21.162700178818568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-5.4978954722173515E-14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146.90952320473599</v>
      </c>
      <c r="EP179" s="62">
        <f t="shared" si="154"/>
        <v>56.347130462109817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-5.6843418860808015E-14</v>
      </c>
      <c r="FF179" s="18">
        <f>FE179*VLOOKUP('Données projet'!$B$16,Paramètres!$A$1:$I$89,3,0)*VLOOKUP('Données projet'!$B$16,Paramètres!$A$1:$I$89,5,0)</f>
        <v>-6.1186256061773749E-14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176.21892815766847</v>
      </c>
      <c r="FK179" s="62">
        <f t="shared" si="156"/>
        <v>69.239647548491234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-9.0449248091317723E-14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70.834027458412379</v>
      </c>
      <c r="GF179" s="62">
        <f t="shared" si="158"/>
        <v>74.346987922112362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1.31687884065484E-21</v>
      </c>
      <c r="GO179" s="23">
        <f t="shared" si="187"/>
        <v>1.31687884065484E-21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-1.1368683772161603E-13</v>
      </c>
      <c r="GV179" s="18">
        <f>GU179*VLOOKUP('Données projet'!$B$18,Paramètres!$A$1:$I$89,3,0)*VLOOKUP('Données projet'!$B$18,Paramètres!$A$1:$I$89,5,0)</f>
        <v>-8.8675733422860506E-14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99.222094917553648</v>
      </c>
      <c r="HA179" s="62">
        <f t="shared" si="160"/>
        <v>98.371477396766352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2.7399286240509559E-22</v>
      </c>
      <c r="HJ179" s="24">
        <f t="shared" si="190"/>
        <v>2.7399286240509559E-22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1.5961632016114892E-13</v>
      </c>
      <c r="P180" s="14">
        <f t="shared" si="141"/>
        <v>2.2708641912150958E-12</v>
      </c>
      <c r="Q180" s="22">
        <f t="shared" si="162"/>
        <v>4.2330868906469593E-12</v>
      </c>
      <c r="R180" s="62">
        <f t="shared" si="109"/>
        <v>293.33333333333752</v>
      </c>
      <c r="S180" s="62">
        <f ca="1">AVERAGE(OFFSET($R$3,0,0,'Données projet'!$E$9+1,1))-AVERAGE(OFFSET($H$3,0,0,'Données projet'!$E$9+1,1))</f>
        <v>181.48161394994878</v>
      </c>
      <c r="T180" s="62">
        <f t="shared" si="142"/>
        <v>141.1874974464024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340.81036749486179</v>
      </c>
      <c r="AO180" s="62">
        <f t="shared" si="144"/>
        <v>208.88199836488013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257.96727373333601</v>
      </c>
      <c r="BJ180" s="62">
        <f t="shared" si="146"/>
        <v>194.52809733694494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0.10264108705460709</v>
      </c>
      <c r="BR180" s="23">
        <f>EXP(-LN(2)/2)*BR179+(1-EXP(-LN(2)/2))/(LN(2)/2)*BL180*BO180*VLOOKUP('Données projet'!$B$11,Paramètres!$A$1:$I$89,3,0)*0.475*44/12</f>
        <v>1.0647776874843001E-21</v>
      </c>
      <c r="BS180" s="24">
        <f t="shared" si="169"/>
        <v>0.10264108705460709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292.83612296867898</v>
      </c>
      <c r="CE180" s="62">
        <f t="shared" si="148"/>
        <v>180.48047802041276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2.1179642971463057E-21</v>
      </c>
      <c r="CN180" s="24">
        <f t="shared" si="172"/>
        <v>2.1179642971463057E-21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-6.4733285398688169E-14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192.93829651668403</v>
      </c>
      <c r="CZ180" s="62">
        <f t="shared" si="150"/>
        <v>76.592736352376903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-3.813056537183002E-14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66.964554307546564</v>
      </c>
      <c r="DU180" s="62">
        <f t="shared" si="152"/>
        <v>21.162700178818568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-5.4978954722173515E-14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146.90952320473599</v>
      </c>
      <c r="EP180" s="62">
        <f t="shared" si="154"/>
        <v>56.347130462109817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-5.6843418860808015E-14</v>
      </c>
      <c r="FF180" s="18">
        <f>FE180*VLOOKUP('Données projet'!$B$16,Paramètres!$A$1:$I$89,3,0)*VLOOKUP('Données projet'!$B$16,Paramètres!$A$1:$I$89,5,0)</f>
        <v>-6.1186256061773749E-14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176.21892815766847</v>
      </c>
      <c r="FK180" s="62">
        <f t="shared" si="156"/>
        <v>69.239647548491234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-9.0449248091317723E-14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70.834027458412379</v>
      </c>
      <c r="GF180" s="62">
        <f t="shared" si="158"/>
        <v>74.346987922112362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9.311739582281163E-22</v>
      </c>
      <c r="GO180" s="23">
        <f t="shared" si="187"/>
        <v>9.311739582281163E-22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-1.1368683772161603E-13</v>
      </c>
      <c r="GV180" s="18">
        <f>GU180*VLOOKUP('Données projet'!$B$18,Paramètres!$A$1:$I$89,3,0)*VLOOKUP('Données projet'!$B$18,Paramètres!$A$1:$I$89,5,0)</f>
        <v>-8.8675733422860506E-14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99.222094917553648</v>
      </c>
      <c r="HA180" s="62">
        <f t="shared" si="160"/>
        <v>98.371477396766352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1.9374221100335575E-22</v>
      </c>
      <c r="HJ180" s="24">
        <f t="shared" si="190"/>
        <v>1.9374221100335575E-22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1.5961632016114892E-13</v>
      </c>
      <c r="P181" s="14">
        <f t="shared" si="141"/>
        <v>2.2708641912150958E-12</v>
      </c>
      <c r="Q181" s="22">
        <f t="shared" si="162"/>
        <v>4.2330868906469593E-12</v>
      </c>
      <c r="R181" s="62">
        <f t="shared" si="109"/>
        <v>293.33333333333752</v>
      </c>
      <c r="S181" s="62">
        <f ca="1">AVERAGE(OFFSET($R$3,0,0,'Données projet'!$E$9+1,1))-AVERAGE(OFFSET($H$3,0,0,'Données projet'!$E$9+1,1))</f>
        <v>181.48161394994878</v>
      </c>
      <c r="T181" s="62">
        <f t="shared" si="142"/>
        <v>141.1874974464024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340.81036749486179</v>
      </c>
      <c r="AO181" s="62">
        <f t="shared" si="144"/>
        <v>208.88199836488013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257.96727373333601</v>
      </c>
      <c r="BJ181" s="62">
        <f t="shared" si="146"/>
        <v>194.52809733694494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9.9834361131438676E-2</v>
      </c>
      <c r="BR181" s="23">
        <f>EXP(-LN(2)/2)*BR180+(1-EXP(-LN(2)/2))/(LN(2)/2)*BL181*BO181*VLOOKUP('Données projet'!$B$11,Paramètres!$A$1:$I$89,3,0)*0.475*44/12</f>
        <v>7.529115232762791E-22</v>
      </c>
      <c r="BS181" s="24">
        <f t="shared" si="169"/>
        <v>9.9834361131438676E-2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292.83612296867898</v>
      </c>
      <c r="CE181" s="62">
        <f t="shared" si="148"/>
        <v>180.48047802041276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1.4976269168231528E-21</v>
      </c>
      <c r="CN181" s="24">
        <f t="shared" si="172"/>
        <v>1.4976269168231528E-21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-6.4733285398688169E-14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192.93829651668403</v>
      </c>
      <c r="CZ181" s="62">
        <f t="shared" si="150"/>
        <v>76.592736352376903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-3.813056537183002E-14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66.964554307546564</v>
      </c>
      <c r="DU181" s="62">
        <f t="shared" si="152"/>
        <v>21.162700178818568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-5.4978954722173515E-14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146.90952320473599</v>
      </c>
      <c r="EP181" s="62">
        <f t="shared" si="154"/>
        <v>56.347130462109817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-5.6843418860808015E-14</v>
      </c>
      <c r="FF181" s="18">
        <f>FE181*VLOOKUP('Données projet'!$B$16,Paramètres!$A$1:$I$89,3,0)*VLOOKUP('Données projet'!$B$16,Paramètres!$A$1:$I$89,5,0)</f>
        <v>-6.1186256061773749E-14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176.21892815766847</v>
      </c>
      <c r="FK181" s="62">
        <f t="shared" si="156"/>
        <v>69.239647548491234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-9.0449248091317723E-14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70.834027458412379</v>
      </c>
      <c r="GF181" s="62">
        <f t="shared" si="158"/>
        <v>74.346987922112362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6.5843942032741998E-22</v>
      </c>
      <c r="GO181" s="23">
        <f t="shared" si="187"/>
        <v>6.5843942032741998E-22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-1.1368683772161603E-13</v>
      </c>
      <c r="GV181" s="18">
        <f>GU181*VLOOKUP('Données projet'!$B$18,Paramètres!$A$1:$I$89,3,0)*VLOOKUP('Données projet'!$B$18,Paramètres!$A$1:$I$89,5,0)</f>
        <v>-8.8675733422860506E-14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99.222094917553648</v>
      </c>
      <c r="HA181" s="62">
        <f t="shared" si="160"/>
        <v>98.371477396766352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1.369964312025478E-22</v>
      </c>
      <c r="HJ181" s="24">
        <f t="shared" si="190"/>
        <v>1.369964312025478E-22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1.5961632016114892E-13</v>
      </c>
      <c r="P182" s="14">
        <f t="shared" si="141"/>
        <v>2.2708641912150958E-12</v>
      </c>
      <c r="Q182" s="22">
        <f t="shared" si="162"/>
        <v>4.2330868906469593E-12</v>
      </c>
      <c r="R182" s="62">
        <f t="shared" si="109"/>
        <v>293.33333333333752</v>
      </c>
      <c r="S182" s="62">
        <f ca="1">AVERAGE(OFFSET($R$3,0,0,'Données projet'!$E$9+1,1))-AVERAGE(OFFSET($H$3,0,0,'Données projet'!$E$9+1,1))</f>
        <v>181.48161394994878</v>
      </c>
      <c r="T182" s="62">
        <f t="shared" si="142"/>
        <v>141.1874974464024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340.81036749486179</v>
      </c>
      <c r="AO182" s="62">
        <f t="shared" si="144"/>
        <v>208.88199836488013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257.96727373333601</v>
      </c>
      <c r="BJ182" s="62">
        <f t="shared" si="146"/>
        <v>194.52809733694494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9.7104385276238603E-2</v>
      </c>
      <c r="BR182" s="23">
        <f>EXP(-LN(2)/2)*BR181+(1-EXP(-LN(2)/2))/(LN(2)/2)*BL182*BO182*VLOOKUP('Données projet'!$B$11,Paramètres!$A$1:$I$89,3,0)*0.475*44/12</f>
        <v>5.3238884374215006E-22</v>
      </c>
      <c r="BS182" s="24">
        <f t="shared" si="169"/>
        <v>9.7104385276238603E-2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292.83612296867898</v>
      </c>
      <c r="CE182" s="62">
        <f t="shared" si="148"/>
        <v>180.48047802041276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1.0589821485731529E-21</v>
      </c>
      <c r="CN182" s="24">
        <f t="shared" si="172"/>
        <v>1.0589821485731529E-21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-6.4733285398688169E-14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192.93829651668403</v>
      </c>
      <c r="CZ182" s="62">
        <f t="shared" si="150"/>
        <v>76.592736352376903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-3.813056537183002E-14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66.964554307546564</v>
      </c>
      <c r="DU182" s="62">
        <f t="shared" si="152"/>
        <v>21.162700178818568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-5.4978954722173515E-14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146.90952320473599</v>
      </c>
      <c r="EP182" s="62">
        <f t="shared" si="154"/>
        <v>56.347130462109817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-5.6843418860808015E-14</v>
      </c>
      <c r="FF182" s="18">
        <f>FE182*VLOOKUP('Données projet'!$B$16,Paramètres!$A$1:$I$89,3,0)*VLOOKUP('Données projet'!$B$16,Paramètres!$A$1:$I$89,5,0)</f>
        <v>-6.1186256061773749E-14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176.21892815766847</v>
      </c>
      <c r="FK182" s="62">
        <f t="shared" si="156"/>
        <v>69.239647548491234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-9.0449248091317723E-14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70.834027458412379</v>
      </c>
      <c r="GF182" s="62">
        <f t="shared" si="158"/>
        <v>74.346987922112362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4.6558697911405815E-22</v>
      </c>
      <c r="GO182" s="23">
        <f t="shared" si="187"/>
        <v>4.6558697911405815E-22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-1.1368683772161603E-13</v>
      </c>
      <c r="GV182" s="18">
        <f>GU182*VLOOKUP('Données projet'!$B$18,Paramètres!$A$1:$I$89,3,0)*VLOOKUP('Données projet'!$B$18,Paramètres!$A$1:$I$89,5,0)</f>
        <v>-8.8675733422860506E-14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99.222094917553648</v>
      </c>
      <c r="HA182" s="62">
        <f t="shared" si="160"/>
        <v>98.371477396766352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9.6871105501677877E-23</v>
      </c>
      <c r="HJ182" s="24">
        <f t="shared" si="190"/>
        <v>9.6871105501677877E-23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1.5961632016114892E-13</v>
      </c>
      <c r="P183" s="14">
        <f t="shared" si="141"/>
        <v>2.2708641912150958E-12</v>
      </c>
      <c r="Q183" s="22">
        <f t="shared" si="162"/>
        <v>4.2330868906469593E-12</v>
      </c>
      <c r="R183" s="62">
        <f t="shared" si="109"/>
        <v>293.33333333333752</v>
      </c>
      <c r="S183" s="62">
        <f ca="1">AVERAGE(OFFSET($R$3,0,0,'Données projet'!$E$9+1,1))-AVERAGE(OFFSET($H$3,0,0,'Données projet'!$E$9+1,1))</f>
        <v>181.48161394994878</v>
      </c>
      <c r="T183" s="62">
        <f t="shared" si="142"/>
        <v>141.1874974464024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340.81036749486179</v>
      </c>
      <c r="AO183" s="62">
        <f t="shared" si="144"/>
        <v>208.88199836488013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257.96727373333601</v>
      </c>
      <c r="BJ183" s="62">
        <f t="shared" si="146"/>
        <v>194.52809733694494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9.4449060754362171E-2</v>
      </c>
      <c r="BR183" s="23">
        <f>EXP(-LN(2)/2)*BR182+(1-EXP(-LN(2)/2))/(LN(2)/2)*BL183*BO183*VLOOKUP('Données projet'!$B$11,Paramètres!$A$1:$I$89,3,0)*0.475*44/12</f>
        <v>3.7645576163813955E-22</v>
      </c>
      <c r="BS183" s="24">
        <f t="shared" si="169"/>
        <v>9.4449060754362171E-2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292.83612296867898</v>
      </c>
      <c r="CE183" s="62">
        <f t="shared" si="148"/>
        <v>180.48047802041276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7.4881345841157638E-22</v>
      </c>
      <c r="CN183" s="24">
        <f t="shared" si="172"/>
        <v>7.4881345841157638E-22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-6.4733285398688169E-14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192.93829651668403</v>
      </c>
      <c r="CZ183" s="62">
        <f t="shared" si="150"/>
        <v>76.592736352376903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-3.813056537183002E-14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66.964554307546564</v>
      </c>
      <c r="DU183" s="62">
        <f t="shared" si="152"/>
        <v>21.162700178818568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-5.4978954722173515E-14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146.90952320473599</v>
      </c>
      <c r="EP183" s="62">
        <f t="shared" si="154"/>
        <v>56.347130462109817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-5.6843418860808015E-14</v>
      </c>
      <c r="FF183" s="18">
        <f>FE183*VLOOKUP('Données projet'!$B$16,Paramètres!$A$1:$I$89,3,0)*VLOOKUP('Données projet'!$B$16,Paramètres!$A$1:$I$89,5,0)</f>
        <v>-6.1186256061773749E-14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176.21892815766847</v>
      </c>
      <c r="FK183" s="62">
        <f t="shared" si="156"/>
        <v>69.239647548491234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-9.0449248091317723E-14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70.834027458412379</v>
      </c>
      <c r="GF183" s="62">
        <f t="shared" si="158"/>
        <v>74.346987922112362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3.2921971016370999E-22</v>
      </c>
      <c r="GO183" s="23">
        <f t="shared" si="187"/>
        <v>3.2921971016370999E-22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-1.1368683772161603E-13</v>
      </c>
      <c r="GV183" s="18">
        <f>GU183*VLOOKUP('Données projet'!$B$18,Paramètres!$A$1:$I$89,3,0)*VLOOKUP('Données projet'!$B$18,Paramètres!$A$1:$I$89,5,0)</f>
        <v>-8.8675733422860506E-14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99.222094917553648</v>
      </c>
      <c r="HA183" s="62">
        <f t="shared" si="160"/>
        <v>98.371477396766352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6.8498215601273898E-23</v>
      </c>
      <c r="HJ183" s="24">
        <f t="shared" si="190"/>
        <v>6.8498215601273898E-23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1.5961632016114892E-13</v>
      </c>
      <c r="P184" s="14">
        <f t="shared" si="141"/>
        <v>2.2708641912150958E-12</v>
      </c>
      <c r="Q184" s="22">
        <f t="shared" si="162"/>
        <v>4.2330868906469593E-12</v>
      </c>
      <c r="R184" s="62">
        <f t="shared" si="109"/>
        <v>293.33333333333752</v>
      </c>
      <c r="S184" s="62">
        <f ca="1">AVERAGE(OFFSET($R$3,0,0,'Données projet'!$E$9+1,1))-AVERAGE(OFFSET($H$3,0,0,'Données projet'!$E$9+1,1))</f>
        <v>181.48161394994878</v>
      </c>
      <c r="T184" s="62">
        <f t="shared" si="142"/>
        <v>141.1874974464024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340.81036749486179</v>
      </c>
      <c r="AO184" s="62">
        <f t="shared" si="144"/>
        <v>208.88199836488013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257.96727373333601</v>
      </c>
      <c r="BJ184" s="62">
        <f t="shared" si="146"/>
        <v>194.52809733694494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9.18663462211739E-2</v>
      </c>
      <c r="BR184" s="23">
        <f>EXP(-LN(2)/2)*BR183+(1-EXP(-LN(2)/2))/(LN(2)/2)*BL184*BO184*VLOOKUP('Données projet'!$B$11,Paramètres!$A$1:$I$89,3,0)*0.475*44/12</f>
        <v>2.6619442187107503E-22</v>
      </c>
      <c r="BS184" s="24">
        <f t="shared" si="169"/>
        <v>9.18663462211739E-2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292.83612296867898</v>
      </c>
      <c r="CE184" s="62">
        <f t="shared" si="148"/>
        <v>180.48047802041276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5.2949107428657644E-22</v>
      </c>
      <c r="CN184" s="24">
        <f t="shared" si="172"/>
        <v>5.2949107428657644E-22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-6.4733285398688169E-14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192.93829651668403</v>
      </c>
      <c r="CZ184" s="62">
        <f t="shared" si="150"/>
        <v>76.592736352376903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-3.813056537183002E-14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66.964554307546564</v>
      </c>
      <c r="DU184" s="62">
        <f t="shared" si="152"/>
        <v>21.162700178818568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-5.4978954722173515E-14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146.90952320473599</v>
      </c>
      <c r="EP184" s="62">
        <f t="shared" si="154"/>
        <v>56.347130462109817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-5.6843418860808015E-14</v>
      </c>
      <c r="FF184" s="18">
        <f>FE184*VLOOKUP('Données projet'!$B$16,Paramètres!$A$1:$I$89,3,0)*VLOOKUP('Données projet'!$B$16,Paramètres!$A$1:$I$89,5,0)</f>
        <v>-6.1186256061773749E-14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176.21892815766847</v>
      </c>
      <c r="FK184" s="62">
        <f t="shared" si="156"/>
        <v>69.239647548491234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-9.0449248091317723E-14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70.834027458412379</v>
      </c>
      <c r="GF184" s="62">
        <f t="shared" si="158"/>
        <v>74.346987922112362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2.3279348955702907E-22</v>
      </c>
      <c r="GO184" s="23">
        <f t="shared" si="187"/>
        <v>2.3279348955702907E-22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-1.1368683772161603E-13</v>
      </c>
      <c r="GV184" s="18">
        <f>GU184*VLOOKUP('Données projet'!$B$18,Paramètres!$A$1:$I$89,3,0)*VLOOKUP('Données projet'!$B$18,Paramètres!$A$1:$I$89,5,0)</f>
        <v>-8.8675733422860506E-14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99.222094917553648</v>
      </c>
      <c r="HA184" s="62">
        <f t="shared" si="160"/>
        <v>98.371477396766352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4.8435552750838938E-23</v>
      </c>
      <c r="HJ184" s="24">
        <f t="shared" si="190"/>
        <v>4.8435552750838938E-23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1.5961632016114892E-13</v>
      </c>
      <c r="P185" s="14">
        <f t="shared" si="141"/>
        <v>2.2708641912150958E-12</v>
      </c>
      <c r="Q185" s="22">
        <f t="shared" si="162"/>
        <v>4.2330868906469593E-12</v>
      </c>
      <c r="R185" s="62">
        <f t="shared" si="109"/>
        <v>293.33333333333752</v>
      </c>
      <c r="S185" s="62">
        <f ca="1">AVERAGE(OFFSET($R$3,0,0,'Données projet'!$E$9+1,1))-AVERAGE(OFFSET($H$3,0,0,'Données projet'!$E$9+1,1))</f>
        <v>181.48161394994878</v>
      </c>
      <c r="T185" s="62">
        <f t="shared" si="142"/>
        <v>141.1874974464024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340.81036749486179</v>
      </c>
      <c r="AO185" s="62">
        <f t="shared" si="144"/>
        <v>208.88199836488013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257.96727373333601</v>
      </c>
      <c r="BJ185" s="62">
        <f t="shared" si="146"/>
        <v>194.52809733694494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8.9354256152714709E-2</v>
      </c>
      <c r="BR185" s="23">
        <f>EXP(-LN(2)/2)*BR184+(1-EXP(-LN(2)/2))/(LN(2)/2)*BL185*BO185*VLOOKUP('Données projet'!$B$11,Paramètres!$A$1:$I$89,3,0)*0.475*44/12</f>
        <v>1.8822788081906977E-22</v>
      </c>
      <c r="BS185" s="24">
        <f t="shared" si="169"/>
        <v>8.9354256152714709E-2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292.83612296867898</v>
      </c>
      <c r="CE185" s="62">
        <f t="shared" si="148"/>
        <v>180.48047802041276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3.7440672920578819E-22</v>
      </c>
      <c r="CN185" s="24">
        <f t="shared" si="172"/>
        <v>3.7440672920578819E-22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-6.4733285398688169E-14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192.93829651668403</v>
      </c>
      <c r="CZ185" s="62">
        <f t="shared" si="150"/>
        <v>76.592736352376903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-3.813056537183002E-14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66.964554307546564</v>
      </c>
      <c r="DU185" s="62">
        <f t="shared" si="152"/>
        <v>21.162700178818568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-5.4978954722173515E-14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146.90952320473599</v>
      </c>
      <c r="EP185" s="62">
        <f t="shared" si="154"/>
        <v>56.347130462109817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-5.6843418860808015E-14</v>
      </c>
      <c r="FF185" s="18">
        <f>FE185*VLOOKUP('Données projet'!$B$16,Paramètres!$A$1:$I$89,3,0)*VLOOKUP('Données projet'!$B$16,Paramètres!$A$1:$I$89,5,0)</f>
        <v>-6.1186256061773749E-14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176.21892815766847</v>
      </c>
      <c r="FK185" s="62">
        <f t="shared" si="156"/>
        <v>69.239647548491234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-9.0449248091317723E-14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70.834027458412379</v>
      </c>
      <c r="GF185" s="62">
        <f t="shared" si="158"/>
        <v>74.346987922112362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1.6460985508185499E-22</v>
      </c>
      <c r="GO185" s="23">
        <f t="shared" si="187"/>
        <v>1.6460985508185499E-22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-1.1368683772161603E-13</v>
      </c>
      <c r="GV185" s="18">
        <f>GU185*VLOOKUP('Données projet'!$B$18,Paramètres!$A$1:$I$89,3,0)*VLOOKUP('Données projet'!$B$18,Paramètres!$A$1:$I$89,5,0)</f>
        <v>-8.8675733422860506E-14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99.222094917553648</v>
      </c>
      <c r="HA185" s="62">
        <f t="shared" si="160"/>
        <v>98.371477396766352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3.4249107800636949E-23</v>
      </c>
      <c r="HJ185" s="24">
        <f t="shared" si="190"/>
        <v>3.4249107800636949E-23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1.5961632016114892E-13</v>
      </c>
      <c r="P186" s="14">
        <f t="shared" si="141"/>
        <v>2.2708641912150958E-12</v>
      </c>
      <c r="Q186" s="22">
        <f t="shared" si="162"/>
        <v>4.2330868906469593E-12</v>
      </c>
      <c r="R186" s="62">
        <f t="shared" si="109"/>
        <v>293.33333333333752</v>
      </c>
      <c r="S186" s="62">
        <f ca="1">AVERAGE(OFFSET($R$3,0,0,'Données projet'!$E$9+1,1))-AVERAGE(OFFSET($H$3,0,0,'Données projet'!$E$9+1,1))</f>
        <v>181.48161394994878</v>
      </c>
      <c r="T186" s="62">
        <f t="shared" si="142"/>
        <v>141.1874974464024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340.81036749486179</v>
      </c>
      <c r="AO186" s="62">
        <f t="shared" si="144"/>
        <v>208.88199836488013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257.96727373333601</v>
      </c>
      <c r="BJ186" s="62">
        <f t="shared" si="146"/>
        <v>194.52809733694494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8.6910859319282621E-2</v>
      </c>
      <c r="BR186" s="23">
        <f>EXP(-LN(2)/2)*BR185+(1-EXP(-LN(2)/2))/(LN(2)/2)*BL186*BO186*VLOOKUP('Données projet'!$B$11,Paramètres!$A$1:$I$89,3,0)*0.475*44/12</f>
        <v>1.3309721093553751E-22</v>
      </c>
      <c r="BS186" s="24">
        <f t="shared" si="169"/>
        <v>8.6910859319282621E-2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292.83612296867898</v>
      </c>
      <c r="CE186" s="62">
        <f t="shared" si="148"/>
        <v>180.48047802041276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2.6474553714328822E-22</v>
      </c>
      <c r="CN186" s="24">
        <f t="shared" si="172"/>
        <v>2.6474553714328822E-22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-6.4733285398688169E-14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192.93829651668403</v>
      </c>
      <c r="CZ186" s="62">
        <f t="shared" si="150"/>
        <v>76.592736352376903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-3.813056537183002E-14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66.964554307546564</v>
      </c>
      <c r="DU186" s="62">
        <f t="shared" si="152"/>
        <v>21.162700178818568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-5.4978954722173515E-14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146.90952320473599</v>
      </c>
      <c r="EP186" s="62">
        <f t="shared" si="154"/>
        <v>56.347130462109817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-5.6843418860808015E-14</v>
      </c>
      <c r="FF186" s="18">
        <f>FE186*VLOOKUP('Données projet'!$B$16,Paramètres!$A$1:$I$89,3,0)*VLOOKUP('Données projet'!$B$16,Paramètres!$A$1:$I$89,5,0)</f>
        <v>-6.1186256061773749E-14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176.21892815766847</v>
      </c>
      <c r="FK186" s="62">
        <f t="shared" si="156"/>
        <v>69.239647548491234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-9.0449248091317723E-14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70.834027458412379</v>
      </c>
      <c r="GF186" s="62">
        <f t="shared" si="158"/>
        <v>74.346987922112362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1.1639674477851454E-22</v>
      </c>
      <c r="GO186" s="23">
        <f t="shared" si="187"/>
        <v>1.1639674477851454E-22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-1.1368683772161603E-13</v>
      </c>
      <c r="GV186" s="18">
        <f>GU186*VLOOKUP('Données projet'!$B$18,Paramètres!$A$1:$I$89,3,0)*VLOOKUP('Données projet'!$B$18,Paramètres!$A$1:$I$89,5,0)</f>
        <v>-8.8675733422860506E-14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99.222094917553648</v>
      </c>
      <c r="HA186" s="62">
        <f t="shared" si="160"/>
        <v>98.371477396766352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2.4217776375419469E-23</v>
      </c>
      <c r="HJ186" s="24">
        <f t="shared" si="190"/>
        <v>2.4217776375419469E-23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1.5961632016114892E-13</v>
      </c>
      <c r="P187" s="14">
        <f t="shared" si="141"/>
        <v>2.2708641912150958E-12</v>
      </c>
      <c r="Q187" s="22">
        <f t="shared" si="162"/>
        <v>4.2330868906469593E-12</v>
      </c>
      <c r="R187" s="62">
        <f t="shared" si="109"/>
        <v>293.33333333333752</v>
      </c>
      <c r="S187" s="62">
        <f ca="1">AVERAGE(OFFSET($R$3,0,0,'Données projet'!$E$9+1,1))-AVERAGE(OFFSET($H$3,0,0,'Données projet'!$E$9+1,1))</f>
        <v>181.48161394994878</v>
      </c>
      <c r="T187" s="62">
        <f t="shared" si="142"/>
        <v>141.1874974464024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340.81036749486179</v>
      </c>
      <c r="AO187" s="62">
        <f t="shared" si="144"/>
        <v>208.88199836488013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257.96727373333601</v>
      </c>
      <c r="BJ187" s="62">
        <f t="shared" si="146"/>
        <v>194.52809733694494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8.4534277300753385E-2</v>
      </c>
      <c r="BR187" s="23">
        <f>EXP(-LN(2)/2)*BR186+(1-EXP(-LN(2)/2))/(LN(2)/2)*BL187*BO187*VLOOKUP('Données projet'!$B$11,Paramètres!$A$1:$I$89,3,0)*0.475*44/12</f>
        <v>9.4113940409534887E-23</v>
      </c>
      <c r="BS187" s="24">
        <f t="shared" si="169"/>
        <v>8.4534277300753385E-2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292.83612296867898</v>
      </c>
      <c r="CE187" s="62">
        <f t="shared" si="148"/>
        <v>180.48047802041276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1.8720336460289409E-22</v>
      </c>
      <c r="CN187" s="24">
        <f t="shared" si="172"/>
        <v>1.8720336460289409E-22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-6.4733285398688169E-14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192.93829651668403</v>
      </c>
      <c r="CZ187" s="62">
        <f t="shared" si="150"/>
        <v>76.592736352376903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-3.813056537183002E-14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66.964554307546564</v>
      </c>
      <c r="DU187" s="62">
        <f t="shared" si="152"/>
        <v>21.162700178818568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-5.4978954722173515E-14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146.90952320473599</v>
      </c>
      <c r="EP187" s="62">
        <f t="shared" si="154"/>
        <v>56.347130462109817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-5.6843418860808015E-14</v>
      </c>
      <c r="FF187" s="18">
        <f>FE187*VLOOKUP('Données projet'!$B$16,Paramètres!$A$1:$I$89,3,0)*VLOOKUP('Données projet'!$B$16,Paramètres!$A$1:$I$89,5,0)</f>
        <v>-6.1186256061773749E-14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176.21892815766847</v>
      </c>
      <c r="FK187" s="62">
        <f t="shared" si="156"/>
        <v>69.239647548491234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-9.0449248091317723E-14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70.834027458412379</v>
      </c>
      <c r="GF187" s="62">
        <f t="shared" si="158"/>
        <v>74.346987922112362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8.2304927540927497E-23</v>
      </c>
      <c r="GO187" s="23">
        <f t="shared" si="187"/>
        <v>8.2304927540927497E-23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-1.1368683772161603E-13</v>
      </c>
      <c r="GV187" s="18">
        <f>GU187*VLOOKUP('Données projet'!$B$18,Paramètres!$A$1:$I$89,3,0)*VLOOKUP('Données projet'!$B$18,Paramètres!$A$1:$I$89,5,0)</f>
        <v>-8.8675733422860506E-14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99.222094917553648</v>
      </c>
      <c r="HA187" s="62">
        <f t="shared" si="160"/>
        <v>98.371477396766352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1.7124553900318474E-23</v>
      </c>
      <c r="HJ187" s="24">
        <f t="shared" si="190"/>
        <v>1.7124553900318474E-23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1.5961632016114892E-13</v>
      </c>
      <c r="P188" s="14">
        <f t="shared" si="141"/>
        <v>2.2708641912150958E-12</v>
      </c>
      <c r="Q188" s="22">
        <f t="shared" si="162"/>
        <v>4.2330868906469593E-12</v>
      </c>
      <c r="R188" s="62">
        <f t="shared" si="109"/>
        <v>293.33333333333752</v>
      </c>
      <c r="S188" s="62">
        <f ca="1">AVERAGE(OFFSET($R$3,0,0,'Données projet'!$E$9+1,1))-AVERAGE(OFFSET($H$3,0,0,'Données projet'!$E$9+1,1))</f>
        <v>181.48161394994878</v>
      </c>
      <c r="T188" s="62">
        <f t="shared" si="142"/>
        <v>141.1874974464024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340.81036749486179</v>
      </c>
      <c r="AO188" s="62">
        <f t="shared" si="144"/>
        <v>208.88199836488013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257.96727373333601</v>
      </c>
      <c r="BJ188" s="62">
        <f t="shared" si="146"/>
        <v>194.52809733694494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8.2222683042499842E-2</v>
      </c>
      <c r="BR188" s="23">
        <f>EXP(-LN(2)/2)*BR187+(1-EXP(-LN(2)/2))/(LN(2)/2)*BL188*BO188*VLOOKUP('Données projet'!$B$11,Paramètres!$A$1:$I$89,3,0)*0.475*44/12</f>
        <v>6.6548605467768757E-23</v>
      </c>
      <c r="BS188" s="24">
        <f t="shared" si="169"/>
        <v>8.2222683042499842E-2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292.83612296867898</v>
      </c>
      <c r="CE188" s="62">
        <f t="shared" si="148"/>
        <v>180.48047802041276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1.3237276857164411E-22</v>
      </c>
      <c r="CN188" s="24">
        <f t="shared" si="172"/>
        <v>1.3237276857164411E-22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-6.4733285398688169E-14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192.93829651668403</v>
      </c>
      <c r="CZ188" s="62">
        <f t="shared" si="150"/>
        <v>76.592736352376903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-3.813056537183002E-14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66.964554307546564</v>
      </c>
      <c r="DU188" s="62">
        <f t="shared" si="152"/>
        <v>21.162700178818568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-5.4978954722173515E-14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146.90952320473599</v>
      </c>
      <c r="EP188" s="62">
        <f t="shared" si="154"/>
        <v>56.347130462109817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-5.6843418860808015E-14</v>
      </c>
      <c r="FF188" s="18">
        <f>FE188*VLOOKUP('Données projet'!$B$16,Paramètres!$A$1:$I$89,3,0)*VLOOKUP('Données projet'!$B$16,Paramètres!$A$1:$I$89,5,0)</f>
        <v>-6.1186256061773749E-14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176.21892815766847</v>
      </c>
      <c r="FK188" s="62">
        <f t="shared" si="156"/>
        <v>69.239647548491234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-9.0449248091317723E-14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70.834027458412379</v>
      </c>
      <c r="GF188" s="62">
        <f t="shared" si="158"/>
        <v>74.346987922112362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5.8198372389257269E-23</v>
      </c>
      <c r="GO188" s="23">
        <f t="shared" si="187"/>
        <v>5.8198372389257269E-23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-1.1368683772161603E-13</v>
      </c>
      <c r="GV188" s="18">
        <f>GU188*VLOOKUP('Données projet'!$B$18,Paramètres!$A$1:$I$89,3,0)*VLOOKUP('Données projet'!$B$18,Paramètres!$A$1:$I$89,5,0)</f>
        <v>-8.8675733422860506E-14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99.222094917553648</v>
      </c>
      <c r="HA188" s="62">
        <f t="shared" si="160"/>
        <v>98.371477396766352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1.2108888187709735E-23</v>
      </c>
      <c r="HJ188" s="24">
        <f t="shared" si="190"/>
        <v>1.2108888187709735E-23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1.5961632016114892E-13</v>
      </c>
      <c r="P189" s="14">
        <f t="shared" si="141"/>
        <v>2.2708641912150958E-12</v>
      </c>
      <c r="Q189" s="22">
        <f t="shared" si="162"/>
        <v>4.2330868906469593E-12</v>
      </c>
      <c r="R189" s="62">
        <f t="shared" si="109"/>
        <v>293.33333333333752</v>
      </c>
      <c r="S189" s="62">
        <f ca="1">AVERAGE(OFFSET($R$3,0,0,'Données projet'!$E$9+1,1))-AVERAGE(OFFSET($H$3,0,0,'Données projet'!$E$9+1,1))</f>
        <v>181.48161394994878</v>
      </c>
      <c r="T189" s="62">
        <f t="shared" si="142"/>
        <v>141.1874974464024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340.81036749486179</v>
      </c>
      <c r="AO189" s="62">
        <f t="shared" si="144"/>
        <v>208.88199836488013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257.96727373333601</v>
      </c>
      <c r="BJ189" s="62">
        <f t="shared" si="146"/>
        <v>194.52809733694494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7.9974299450799702E-2</v>
      </c>
      <c r="BR189" s="23">
        <f>EXP(-LN(2)/2)*BR188+(1-EXP(-LN(2)/2))/(LN(2)/2)*BL189*BO189*VLOOKUP('Données projet'!$B$11,Paramètres!$A$1:$I$89,3,0)*0.475*44/12</f>
        <v>4.7056970204767444E-23</v>
      </c>
      <c r="BS189" s="24">
        <f t="shared" si="169"/>
        <v>7.9974299450799702E-2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292.83612296867898</v>
      </c>
      <c r="CE189" s="62">
        <f t="shared" si="148"/>
        <v>180.48047802041276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9.3601682301447047E-23</v>
      </c>
      <c r="CN189" s="24">
        <f t="shared" si="172"/>
        <v>9.3601682301447047E-23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-6.4733285398688169E-14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192.93829651668403</v>
      </c>
      <c r="CZ189" s="62">
        <f t="shared" si="150"/>
        <v>76.592736352376903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-3.813056537183002E-14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66.964554307546564</v>
      </c>
      <c r="DU189" s="62">
        <f t="shared" si="152"/>
        <v>21.162700178818568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-5.4978954722173515E-14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146.90952320473599</v>
      </c>
      <c r="EP189" s="62">
        <f t="shared" si="154"/>
        <v>56.347130462109817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-5.6843418860808015E-14</v>
      </c>
      <c r="FF189" s="18">
        <f>FE189*VLOOKUP('Données projet'!$B$16,Paramètres!$A$1:$I$89,3,0)*VLOOKUP('Données projet'!$B$16,Paramètres!$A$1:$I$89,5,0)</f>
        <v>-6.1186256061773749E-14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176.21892815766847</v>
      </c>
      <c r="FK189" s="62">
        <f t="shared" si="156"/>
        <v>69.239647548491234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-9.0449248091317723E-14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70.834027458412379</v>
      </c>
      <c r="GF189" s="62">
        <f t="shared" si="158"/>
        <v>74.346987922112362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4.1152463770463748E-23</v>
      </c>
      <c r="GO189" s="23">
        <f t="shared" si="187"/>
        <v>4.1152463770463748E-23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-1.1368683772161603E-13</v>
      </c>
      <c r="GV189" s="18">
        <f>GU189*VLOOKUP('Données projet'!$B$18,Paramètres!$A$1:$I$89,3,0)*VLOOKUP('Données projet'!$B$18,Paramètres!$A$1:$I$89,5,0)</f>
        <v>-8.8675733422860506E-14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99.222094917553648</v>
      </c>
      <c r="HA189" s="62">
        <f t="shared" si="160"/>
        <v>98.371477396766352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8.5622769501592372E-24</v>
      </c>
      <c r="HJ189" s="24">
        <f t="shared" si="190"/>
        <v>8.5622769501592372E-24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1.5961632016114892E-13</v>
      </c>
      <c r="P190" s="14">
        <f t="shared" si="141"/>
        <v>2.2708641912150958E-12</v>
      </c>
      <c r="Q190" s="22">
        <f t="shared" si="162"/>
        <v>4.2330868906469593E-12</v>
      </c>
      <c r="R190" s="62">
        <f t="shared" si="109"/>
        <v>293.33333333333752</v>
      </c>
      <c r="S190" s="62">
        <f ca="1">AVERAGE(OFFSET($R$3,0,0,'Données projet'!$E$9+1,1))-AVERAGE(OFFSET($H$3,0,0,'Données projet'!$E$9+1,1))</f>
        <v>181.48161394994878</v>
      </c>
      <c r="T190" s="62">
        <f t="shared" si="142"/>
        <v>141.1874974464024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340.81036749486179</v>
      </c>
      <c r="AO190" s="62">
        <f t="shared" si="144"/>
        <v>208.88199836488013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257.96727373333601</v>
      </c>
      <c r="BJ190" s="62">
        <f t="shared" si="146"/>
        <v>194.52809733694494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7.7787398026651966E-2</v>
      </c>
      <c r="BR190" s="23">
        <f>EXP(-LN(2)/2)*BR189+(1-EXP(-LN(2)/2))/(LN(2)/2)*BL190*BO190*VLOOKUP('Données projet'!$B$11,Paramètres!$A$1:$I$89,3,0)*0.475*44/12</f>
        <v>3.3274302733884379E-23</v>
      </c>
      <c r="BS190" s="24">
        <f t="shared" si="169"/>
        <v>7.7787398026651966E-2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292.83612296867898</v>
      </c>
      <c r="CE190" s="62">
        <f t="shared" si="148"/>
        <v>180.48047802041276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6.6186384285822054E-23</v>
      </c>
      <c r="CN190" s="24">
        <f t="shared" si="172"/>
        <v>6.6186384285822054E-23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-6.4733285398688169E-14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192.93829651668403</v>
      </c>
      <c r="CZ190" s="62">
        <f t="shared" si="150"/>
        <v>76.592736352376903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-3.813056537183002E-14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66.964554307546564</v>
      </c>
      <c r="DU190" s="62">
        <f t="shared" si="152"/>
        <v>21.162700178818568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-5.4978954722173515E-14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146.90952320473599</v>
      </c>
      <c r="EP190" s="62">
        <f t="shared" si="154"/>
        <v>56.347130462109817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-5.6843418860808015E-14</v>
      </c>
      <c r="FF190" s="18">
        <f>FE190*VLOOKUP('Données projet'!$B$16,Paramètres!$A$1:$I$89,3,0)*VLOOKUP('Données projet'!$B$16,Paramètres!$A$1:$I$89,5,0)</f>
        <v>-6.1186256061773749E-14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176.21892815766847</v>
      </c>
      <c r="FK190" s="62">
        <f t="shared" si="156"/>
        <v>69.239647548491234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-9.0449248091317723E-14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70.834027458412379</v>
      </c>
      <c r="GF190" s="62">
        <f t="shared" si="158"/>
        <v>74.346987922112362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2.9099186194628634E-23</v>
      </c>
      <c r="GO190" s="23">
        <f t="shared" si="187"/>
        <v>2.9099186194628634E-23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-1.1368683772161603E-13</v>
      </c>
      <c r="GV190" s="18">
        <f>GU190*VLOOKUP('Données projet'!$B$18,Paramètres!$A$1:$I$89,3,0)*VLOOKUP('Données projet'!$B$18,Paramètres!$A$1:$I$89,5,0)</f>
        <v>-8.8675733422860506E-14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99.222094917553648</v>
      </c>
      <c r="HA190" s="62">
        <f t="shared" si="160"/>
        <v>98.371477396766352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6.0544440938548673E-24</v>
      </c>
      <c r="HJ190" s="24">
        <f t="shared" si="190"/>
        <v>6.0544440938548673E-24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1.5961632016114892E-13</v>
      </c>
      <c r="P191" s="14">
        <f t="shared" si="141"/>
        <v>2.2708641912150958E-12</v>
      </c>
      <c r="Q191" s="22">
        <f t="shared" si="162"/>
        <v>4.2330868906469593E-12</v>
      </c>
      <c r="R191" s="62">
        <f t="shared" si="109"/>
        <v>293.33333333333752</v>
      </c>
      <c r="S191" s="62">
        <f ca="1">AVERAGE(OFFSET($R$3,0,0,'Données projet'!$E$9+1,1))-AVERAGE(OFFSET($H$3,0,0,'Données projet'!$E$9+1,1))</f>
        <v>181.48161394994878</v>
      </c>
      <c r="T191" s="62">
        <f t="shared" si="142"/>
        <v>141.1874974464024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340.81036749486179</v>
      </c>
      <c r="AO191" s="62">
        <f t="shared" si="144"/>
        <v>208.88199836488013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257.96727373333601</v>
      </c>
      <c r="BJ191" s="62">
        <f t="shared" si="146"/>
        <v>194.52809733694494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7.5660297536951693E-2</v>
      </c>
      <c r="BR191" s="23">
        <f>EXP(-LN(2)/2)*BR190+(1-EXP(-LN(2)/2))/(LN(2)/2)*BL191*BO191*VLOOKUP('Données projet'!$B$11,Paramètres!$A$1:$I$89,3,0)*0.475*44/12</f>
        <v>2.3528485102383722E-23</v>
      </c>
      <c r="BS191" s="24">
        <f t="shared" si="169"/>
        <v>7.5660297536951693E-2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292.83612296867898</v>
      </c>
      <c r="CE191" s="62">
        <f t="shared" si="148"/>
        <v>180.48047802041276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4.6800841150723524E-23</v>
      </c>
      <c r="CN191" s="24">
        <f t="shared" si="172"/>
        <v>4.6800841150723524E-23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-6.4733285398688169E-14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192.93829651668403</v>
      </c>
      <c r="CZ191" s="62">
        <f t="shared" si="150"/>
        <v>76.592736352376903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-3.813056537183002E-14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66.964554307546564</v>
      </c>
      <c r="DU191" s="62">
        <f t="shared" si="152"/>
        <v>21.162700178818568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-5.4978954722173515E-14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146.90952320473599</v>
      </c>
      <c r="EP191" s="62">
        <f t="shared" si="154"/>
        <v>56.347130462109817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-5.6843418860808015E-14</v>
      </c>
      <c r="FF191" s="18">
        <f>FE191*VLOOKUP('Données projet'!$B$16,Paramètres!$A$1:$I$89,3,0)*VLOOKUP('Données projet'!$B$16,Paramètres!$A$1:$I$89,5,0)</f>
        <v>-6.1186256061773749E-14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176.21892815766847</v>
      </c>
      <c r="FK191" s="62">
        <f t="shared" si="156"/>
        <v>69.239647548491234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-9.0449248091317723E-14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70.834027458412379</v>
      </c>
      <c r="GF191" s="62">
        <f t="shared" si="158"/>
        <v>74.346987922112362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2.0576231885231874E-23</v>
      </c>
      <c r="GO191" s="23">
        <f t="shared" si="187"/>
        <v>2.0576231885231874E-23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-1.1368683772161603E-13</v>
      </c>
      <c r="GV191" s="18">
        <f>GU191*VLOOKUP('Données projet'!$B$18,Paramètres!$A$1:$I$89,3,0)*VLOOKUP('Données projet'!$B$18,Paramètres!$A$1:$I$89,5,0)</f>
        <v>-8.8675733422860506E-14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99.222094917553648</v>
      </c>
      <c r="HA191" s="62">
        <f t="shared" si="160"/>
        <v>98.371477396766352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4.2811384750796186E-24</v>
      </c>
      <c r="HJ191" s="24">
        <f t="shared" si="190"/>
        <v>4.2811384750796186E-24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1.5961632016114892E-13</v>
      </c>
      <c r="P192" s="14">
        <f t="shared" si="141"/>
        <v>2.2708641912150958E-12</v>
      </c>
      <c r="Q192" s="22">
        <f t="shared" si="162"/>
        <v>4.2330868906469593E-12</v>
      </c>
      <c r="R192" s="62">
        <f t="shared" si="109"/>
        <v>293.33333333333752</v>
      </c>
      <c r="S192" s="62">
        <f ca="1">AVERAGE(OFFSET($R$3,0,0,'Données projet'!$E$9+1,1))-AVERAGE(OFFSET($H$3,0,0,'Données projet'!$E$9+1,1))</f>
        <v>181.48161394994878</v>
      </c>
      <c r="T192" s="62">
        <f t="shared" si="142"/>
        <v>141.1874974464024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340.81036749486179</v>
      </c>
      <c r="AO192" s="62">
        <f t="shared" si="144"/>
        <v>208.88199836488013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257.96727373333601</v>
      </c>
      <c r="BJ192" s="62">
        <f t="shared" si="146"/>
        <v>194.52809733694494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7.3591362722001619E-2</v>
      </c>
      <c r="BR192" s="23">
        <f>EXP(-LN(2)/2)*BR191+(1-EXP(-LN(2)/2))/(LN(2)/2)*BL192*BO192*VLOOKUP('Données projet'!$B$11,Paramètres!$A$1:$I$89,3,0)*0.475*44/12</f>
        <v>1.6637151366942189E-23</v>
      </c>
      <c r="BS192" s="24">
        <f t="shared" si="169"/>
        <v>7.3591362722001619E-2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292.83612296867898</v>
      </c>
      <c r="CE192" s="62">
        <f t="shared" si="148"/>
        <v>180.48047802041276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3.3093192142911027E-23</v>
      </c>
      <c r="CN192" s="24">
        <f t="shared" si="172"/>
        <v>3.3093192142911027E-23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-6.4733285398688169E-14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192.93829651668403</v>
      </c>
      <c r="CZ192" s="62">
        <f t="shared" si="150"/>
        <v>76.592736352376903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-3.813056537183002E-14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66.964554307546564</v>
      </c>
      <c r="DU192" s="62">
        <f t="shared" si="152"/>
        <v>21.162700178818568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-5.4978954722173515E-14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146.90952320473599</v>
      </c>
      <c r="EP192" s="62">
        <f t="shared" si="154"/>
        <v>56.347130462109817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-5.6843418860808015E-14</v>
      </c>
      <c r="FF192" s="18">
        <f>FE192*VLOOKUP('Données projet'!$B$16,Paramètres!$A$1:$I$89,3,0)*VLOOKUP('Données projet'!$B$16,Paramètres!$A$1:$I$89,5,0)</f>
        <v>-6.1186256061773749E-14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176.21892815766847</v>
      </c>
      <c r="FK192" s="62">
        <f t="shared" si="156"/>
        <v>69.239647548491234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-9.0449248091317723E-14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70.834027458412379</v>
      </c>
      <c r="GF192" s="62">
        <f t="shared" si="158"/>
        <v>74.346987922112362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1.4549593097314317E-23</v>
      </c>
      <c r="GO192" s="23">
        <f t="shared" si="187"/>
        <v>1.4549593097314317E-23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-1.1368683772161603E-13</v>
      </c>
      <c r="GV192" s="18">
        <f>GU192*VLOOKUP('Données projet'!$B$18,Paramètres!$A$1:$I$89,3,0)*VLOOKUP('Données projet'!$B$18,Paramètres!$A$1:$I$89,5,0)</f>
        <v>-8.8675733422860506E-14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99.222094917553648</v>
      </c>
      <c r="HA192" s="62">
        <f t="shared" si="160"/>
        <v>98.371477396766352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3.0272220469274337E-24</v>
      </c>
      <c r="HJ192" s="24">
        <f t="shared" si="190"/>
        <v>3.0272220469274337E-24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1.5961632016114892E-13</v>
      </c>
      <c r="P193" s="14">
        <f t="shared" si="141"/>
        <v>2.2708641912150958E-12</v>
      </c>
      <c r="Q193" s="22">
        <f t="shared" si="162"/>
        <v>4.2330868906469593E-12</v>
      </c>
      <c r="R193" s="62">
        <f t="shared" si="109"/>
        <v>293.33333333333752</v>
      </c>
      <c r="S193" s="62">
        <f ca="1">AVERAGE(OFFSET($R$3,0,0,'Données projet'!$E$9+1,1))-AVERAGE(OFFSET($H$3,0,0,'Données projet'!$E$9+1,1))</f>
        <v>181.48161394994878</v>
      </c>
      <c r="T193" s="62">
        <f t="shared" si="142"/>
        <v>141.1874974464024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340.81036749486179</v>
      </c>
      <c r="AO193" s="62">
        <f t="shared" si="144"/>
        <v>208.88199836488013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257.96727373333601</v>
      </c>
      <c r="BJ193" s="62">
        <f t="shared" si="146"/>
        <v>194.52809733694494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7.1579003038366909E-2</v>
      </c>
      <c r="BR193" s="23">
        <f>EXP(-LN(2)/2)*BR192+(1-EXP(-LN(2)/2))/(LN(2)/2)*BL193*BO193*VLOOKUP('Données projet'!$B$11,Paramètres!$A$1:$I$89,3,0)*0.475*44/12</f>
        <v>1.1764242551191861E-23</v>
      </c>
      <c r="BS193" s="24">
        <f t="shared" si="169"/>
        <v>7.1579003038366909E-2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292.83612296867898</v>
      </c>
      <c r="CE193" s="62">
        <f t="shared" si="148"/>
        <v>180.48047802041276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2.3400420575361762E-23</v>
      </c>
      <c r="CN193" s="24">
        <f t="shared" si="172"/>
        <v>2.3400420575361762E-23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-6.4733285398688169E-14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192.93829651668403</v>
      </c>
      <c r="CZ193" s="62">
        <f t="shared" si="150"/>
        <v>76.592736352376903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-3.813056537183002E-14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66.964554307546564</v>
      </c>
      <c r="DU193" s="62">
        <f t="shared" si="152"/>
        <v>21.162700178818568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-5.4978954722173515E-14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146.90952320473599</v>
      </c>
      <c r="EP193" s="62">
        <f t="shared" si="154"/>
        <v>56.347130462109817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-5.6843418860808015E-14</v>
      </c>
      <c r="FF193" s="18">
        <f>FE193*VLOOKUP('Données projet'!$B$16,Paramètres!$A$1:$I$89,3,0)*VLOOKUP('Données projet'!$B$16,Paramètres!$A$1:$I$89,5,0)</f>
        <v>-6.1186256061773749E-14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176.21892815766847</v>
      </c>
      <c r="FK193" s="62">
        <f t="shared" si="156"/>
        <v>69.239647548491234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-9.0449248091317723E-14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70.834027458412379</v>
      </c>
      <c r="GF193" s="62">
        <f t="shared" si="158"/>
        <v>74.346987922112362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1.0288115942615937E-23</v>
      </c>
      <c r="GO193" s="23">
        <f t="shared" si="187"/>
        <v>1.0288115942615937E-23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-1.1368683772161603E-13</v>
      </c>
      <c r="GV193" s="18">
        <f>GU193*VLOOKUP('Données projet'!$B$18,Paramètres!$A$1:$I$89,3,0)*VLOOKUP('Données projet'!$B$18,Paramètres!$A$1:$I$89,5,0)</f>
        <v>-8.8675733422860506E-14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99.222094917553648</v>
      </c>
      <c r="HA193" s="62">
        <f t="shared" si="160"/>
        <v>98.371477396766352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2.1405692375398093E-24</v>
      </c>
      <c r="HJ193" s="24">
        <f t="shared" si="190"/>
        <v>2.1405692375398093E-24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1.5961632016114892E-13</v>
      </c>
      <c r="P194" s="14">
        <f t="shared" si="141"/>
        <v>2.2708641912150958E-12</v>
      </c>
      <c r="Q194" s="22">
        <f t="shared" si="162"/>
        <v>4.2330868906469593E-12</v>
      </c>
      <c r="R194" s="62">
        <f t="shared" si="109"/>
        <v>293.33333333333752</v>
      </c>
      <c r="S194" s="62">
        <f ca="1">AVERAGE(OFFSET($R$3,0,0,'Données projet'!$E$9+1,1))-AVERAGE(OFFSET($H$3,0,0,'Données projet'!$E$9+1,1))</f>
        <v>181.48161394994878</v>
      </c>
      <c r="T194" s="62">
        <f t="shared" si="142"/>
        <v>141.1874974464024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340.81036749486179</v>
      </c>
      <c r="AO194" s="62">
        <f t="shared" si="144"/>
        <v>208.88199836488013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257.96727373333601</v>
      </c>
      <c r="BJ194" s="62">
        <f t="shared" si="146"/>
        <v>194.52809733694494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6.9621671436106591E-2</v>
      </c>
      <c r="BR194" s="23">
        <f>EXP(-LN(2)/2)*BR193+(1-EXP(-LN(2)/2))/(LN(2)/2)*BL194*BO194*VLOOKUP('Données projet'!$B$11,Paramètres!$A$1:$I$89,3,0)*0.475*44/12</f>
        <v>8.3185756834710947E-24</v>
      </c>
      <c r="BS194" s="24">
        <f t="shared" si="169"/>
        <v>6.9621671436106591E-2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292.83612296867898</v>
      </c>
      <c r="CE194" s="62">
        <f t="shared" si="148"/>
        <v>180.48047802041276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1.6546596071455514E-23</v>
      </c>
      <c r="CN194" s="24">
        <f t="shared" si="172"/>
        <v>1.6546596071455514E-23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-6.4733285398688169E-14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192.93829651668403</v>
      </c>
      <c r="CZ194" s="62">
        <f t="shared" si="150"/>
        <v>76.592736352376903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-3.813056537183002E-14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66.964554307546564</v>
      </c>
      <c r="DU194" s="62">
        <f t="shared" si="152"/>
        <v>21.162700178818568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-5.4978954722173515E-14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146.90952320473599</v>
      </c>
      <c r="EP194" s="62">
        <f t="shared" si="154"/>
        <v>56.347130462109817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-5.6843418860808015E-14</v>
      </c>
      <c r="FF194" s="18">
        <f>FE194*VLOOKUP('Données projet'!$B$16,Paramètres!$A$1:$I$89,3,0)*VLOOKUP('Données projet'!$B$16,Paramètres!$A$1:$I$89,5,0)</f>
        <v>-6.1186256061773749E-14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176.21892815766847</v>
      </c>
      <c r="FK194" s="62">
        <f t="shared" si="156"/>
        <v>69.239647548491234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-9.0449248091317723E-14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70.834027458412379</v>
      </c>
      <c r="GF194" s="62">
        <f t="shared" si="158"/>
        <v>74.346987922112362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7.2747965486571586E-24</v>
      </c>
      <c r="GO194" s="23">
        <f t="shared" si="187"/>
        <v>7.2747965486571586E-24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-1.1368683772161603E-13</v>
      </c>
      <c r="GV194" s="18">
        <f>GU194*VLOOKUP('Données projet'!$B$18,Paramètres!$A$1:$I$89,3,0)*VLOOKUP('Données projet'!$B$18,Paramètres!$A$1:$I$89,5,0)</f>
        <v>-8.8675733422860506E-14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99.222094917553648</v>
      </c>
      <c r="HA194" s="62">
        <f t="shared" si="160"/>
        <v>98.371477396766352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1.5136110234637168E-24</v>
      </c>
      <c r="HJ194" s="24">
        <f t="shared" si="190"/>
        <v>1.5136110234637168E-24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1.5961632016114892E-13</v>
      </c>
      <c r="P195" s="14">
        <f t="shared" si="141"/>
        <v>2.2708641912150958E-12</v>
      </c>
      <c r="Q195" s="22">
        <f t="shared" si="162"/>
        <v>4.2330868906469593E-12</v>
      </c>
      <c r="R195" s="62">
        <f t="shared" ref="R195:R203" si="191">Q195+(I195+J195)*44/12</f>
        <v>293.33333333333752</v>
      </c>
      <c r="S195" s="62">
        <f ca="1">AVERAGE(OFFSET($R$3,0,0,'Données projet'!$E$9+1,1))-AVERAGE(OFFSET($H$3,0,0,'Données projet'!$E$9+1,1))</f>
        <v>181.48161394994878</v>
      </c>
      <c r="T195" s="62">
        <f t="shared" si="142"/>
        <v>141.1874974464024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340.81036749486179</v>
      </c>
      <c r="AO195" s="62">
        <f t="shared" si="144"/>
        <v>208.88199836488013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257.96727373333601</v>
      </c>
      <c r="BJ195" s="62">
        <f t="shared" si="146"/>
        <v>194.52809733694494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6.7717863169441672E-2</v>
      </c>
      <c r="BR195" s="23">
        <f>EXP(-LN(2)/2)*BR194+(1-EXP(-LN(2)/2))/(LN(2)/2)*BL195*BO195*VLOOKUP('Données projet'!$B$11,Paramètres!$A$1:$I$89,3,0)*0.475*44/12</f>
        <v>5.8821212755959304E-24</v>
      </c>
      <c r="BS195" s="24">
        <f t="shared" si="169"/>
        <v>6.7717863169441672E-2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292.83612296867898</v>
      </c>
      <c r="CE195" s="62">
        <f t="shared" si="148"/>
        <v>180.48047802041276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1.1700210287680881E-23</v>
      </c>
      <c r="CN195" s="24">
        <f t="shared" si="172"/>
        <v>1.1700210287680881E-23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-6.4733285398688169E-14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192.93829651668403</v>
      </c>
      <c r="CZ195" s="62">
        <f t="shared" si="150"/>
        <v>76.592736352376903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-3.813056537183002E-14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66.964554307546564</v>
      </c>
      <c r="DU195" s="62">
        <f t="shared" si="152"/>
        <v>21.162700178818568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-5.4978954722173515E-14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146.90952320473599</v>
      </c>
      <c r="EP195" s="62">
        <f t="shared" si="154"/>
        <v>56.347130462109817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-5.6843418860808015E-14</v>
      </c>
      <c r="FF195" s="18">
        <f>FE195*VLOOKUP('Données projet'!$B$16,Paramètres!$A$1:$I$89,3,0)*VLOOKUP('Données projet'!$B$16,Paramètres!$A$1:$I$89,5,0)</f>
        <v>-6.1186256061773749E-14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176.21892815766847</v>
      </c>
      <c r="FK195" s="62">
        <f t="shared" si="156"/>
        <v>69.239647548491234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-9.0449248091317723E-14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70.834027458412379</v>
      </c>
      <c r="GF195" s="62">
        <f t="shared" si="158"/>
        <v>74.346987922112362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5.1440579713079686E-24</v>
      </c>
      <c r="GO195" s="23">
        <f t="shared" si="187"/>
        <v>5.1440579713079686E-24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-1.1368683772161603E-13</v>
      </c>
      <c r="GV195" s="18">
        <f>GU195*VLOOKUP('Données projet'!$B$18,Paramètres!$A$1:$I$89,3,0)*VLOOKUP('Données projet'!$B$18,Paramètres!$A$1:$I$89,5,0)</f>
        <v>-8.8675733422860506E-14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99.222094917553648</v>
      </c>
      <c r="HA195" s="62">
        <f t="shared" si="160"/>
        <v>98.371477396766352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1.0702846187699047E-24</v>
      </c>
      <c r="HJ195" s="24">
        <f t="shared" si="190"/>
        <v>1.0702846187699047E-24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1.5961632016114892E-13</v>
      </c>
      <c r="P196" s="14">
        <f t="shared" si="141"/>
        <v>2.2708641912150958E-12</v>
      </c>
      <c r="Q196" s="22">
        <f t="shared" si="162"/>
        <v>4.2330868906469593E-12</v>
      </c>
      <c r="R196" s="62">
        <f t="shared" si="191"/>
        <v>293.33333333333752</v>
      </c>
      <c r="S196" s="62">
        <f ca="1">AVERAGE(OFFSET($R$3,0,0,'Données projet'!$E$9+1,1))-AVERAGE(OFFSET($H$3,0,0,'Données projet'!$E$9+1,1))</f>
        <v>181.48161394994878</v>
      </c>
      <c r="T196" s="62">
        <f t="shared" si="142"/>
        <v>141.1874974464024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340.81036749486179</v>
      </c>
      <c r="AO196" s="62">
        <f t="shared" si="144"/>
        <v>208.88199836488013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257.96727373333601</v>
      </c>
      <c r="BJ196" s="62">
        <f t="shared" si="146"/>
        <v>194.52809733694494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6.5866114639945642E-2</v>
      </c>
      <c r="BR196" s="23">
        <f>EXP(-LN(2)/2)*BR195+(1-EXP(-LN(2)/2))/(LN(2)/2)*BL196*BO196*VLOOKUP('Données projet'!$B$11,Paramètres!$A$1:$I$89,3,0)*0.475*44/12</f>
        <v>4.1592878417355473E-24</v>
      </c>
      <c r="BS196" s="24">
        <f t="shared" si="169"/>
        <v>6.5866114639945642E-2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292.83612296867898</v>
      </c>
      <c r="CE196" s="62">
        <f t="shared" si="148"/>
        <v>180.48047802041276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8.2732980357277568E-24</v>
      </c>
      <c r="CN196" s="24">
        <f t="shared" si="172"/>
        <v>8.2732980357277568E-24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-6.4733285398688169E-14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192.93829651668403</v>
      </c>
      <c r="CZ196" s="62">
        <f t="shared" si="150"/>
        <v>76.592736352376903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-3.813056537183002E-14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66.964554307546564</v>
      </c>
      <c r="DU196" s="62">
        <f t="shared" si="152"/>
        <v>21.162700178818568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-5.4978954722173515E-14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146.90952320473599</v>
      </c>
      <c r="EP196" s="62">
        <f t="shared" si="154"/>
        <v>56.347130462109817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-5.6843418860808015E-14</v>
      </c>
      <c r="FF196" s="18">
        <f>FE196*VLOOKUP('Données projet'!$B$16,Paramètres!$A$1:$I$89,3,0)*VLOOKUP('Données projet'!$B$16,Paramètres!$A$1:$I$89,5,0)</f>
        <v>-6.1186256061773749E-14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176.21892815766847</v>
      </c>
      <c r="FK196" s="62">
        <f t="shared" si="156"/>
        <v>69.239647548491234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-9.0449248091317723E-14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70.834027458412379</v>
      </c>
      <c r="GF196" s="62">
        <f t="shared" si="158"/>
        <v>74.346987922112362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3.6373982743285793E-24</v>
      </c>
      <c r="GO196" s="23">
        <f t="shared" si="187"/>
        <v>3.6373982743285793E-24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-1.1368683772161603E-13</v>
      </c>
      <c r="GV196" s="18">
        <f>GU196*VLOOKUP('Données projet'!$B$18,Paramètres!$A$1:$I$89,3,0)*VLOOKUP('Données projet'!$B$18,Paramètres!$A$1:$I$89,5,0)</f>
        <v>-8.8675733422860506E-14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99.222094917553648</v>
      </c>
      <c r="HA196" s="62">
        <f t="shared" si="160"/>
        <v>98.371477396766352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7.5680551173185841E-25</v>
      </c>
      <c r="HJ196" s="24">
        <f t="shared" si="190"/>
        <v>7.5680551173185841E-25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1.5961632016114892E-13</v>
      </c>
      <c r="P197" s="14">
        <f t="shared" ref="P197:P203" si="203">EXP(-1.0587+0.8836*LN(O197)+0.284)</f>
        <v>2.2708641912150958E-12</v>
      </c>
      <c r="Q197" s="22">
        <f t="shared" si="162"/>
        <v>4.2330868906469593E-12</v>
      </c>
      <c r="R197" s="62">
        <f t="shared" si="191"/>
        <v>293.33333333333752</v>
      </c>
      <c r="S197" s="62">
        <f ca="1">AVERAGE(OFFSET($R$3,0,0,'Données projet'!$E$9+1,1))-AVERAGE(OFFSET($H$3,0,0,'Données projet'!$E$9+1,1))</f>
        <v>181.48161394994878</v>
      </c>
      <c r="T197" s="62">
        <f t="shared" ref="T197:T203" si="204">$T$3</f>
        <v>141.1874974464024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340.81036749486179</v>
      </c>
      <c r="AO197" s="62">
        <f t="shared" ref="AO197:AO203" si="205">$AO$3</f>
        <v>208.88199836488013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257.96727373333601</v>
      </c>
      <c r="BJ197" s="62">
        <f t="shared" ref="BJ197:BJ203" si="206">$BJ$3</f>
        <v>194.52809733694494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6.4065002271367896E-2</v>
      </c>
      <c r="BR197" s="23">
        <f>EXP(-LN(2)/2)*BR196+(1-EXP(-LN(2)/2))/(LN(2)/2)*BL197*BO197*VLOOKUP('Données projet'!$B$11,Paramètres!$A$1:$I$89,3,0)*0.475*44/12</f>
        <v>2.9410606377979652E-24</v>
      </c>
      <c r="BS197" s="24">
        <f t="shared" si="169"/>
        <v>6.4065002271367896E-2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292.83612296867898</v>
      </c>
      <c r="CE197" s="62">
        <f t="shared" ref="CE197:CE203" si="207">$CE$3</f>
        <v>180.48047802041276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5.8501051438404405E-24</v>
      </c>
      <c r="CN197" s="24">
        <f t="shared" si="172"/>
        <v>5.8501051438404405E-24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-6.4733285398688169E-14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192.93829651668403</v>
      </c>
      <c r="CZ197" s="62">
        <f t="shared" ref="CZ197:CZ203" si="208">$CZ$3</f>
        <v>76.592736352376903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-3.813056537183002E-14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66.964554307546564</v>
      </c>
      <c r="DU197" s="62">
        <f t="shared" ref="DU197:DU203" si="209">$DU$3</f>
        <v>21.162700178818568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-5.4978954722173515E-14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146.90952320473599</v>
      </c>
      <c r="EP197" s="62">
        <f t="shared" ref="EP197:EP203" si="210">$EP$3</f>
        <v>56.347130462109817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-5.6843418860808015E-14</v>
      </c>
      <c r="FF197" s="18">
        <f>FE197*VLOOKUP('Données projet'!$B$16,Paramètres!$A$1:$I$89,3,0)*VLOOKUP('Données projet'!$B$16,Paramètres!$A$1:$I$89,5,0)</f>
        <v>-6.1186256061773749E-14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176.21892815766847</v>
      </c>
      <c r="FK197" s="62">
        <f t="shared" ref="FK197:FK203" si="211">$FK$3</f>
        <v>69.239647548491234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-9.0449248091317723E-14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70.834027458412379</v>
      </c>
      <c r="GF197" s="62">
        <f t="shared" ref="GF197:GF203" si="212">$GF$3</f>
        <v>74.346987922112362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2.5720289856539843E-24</v>
      </c>
      <c r="GO197" s="23">
        <f t="shared" si="187"/>
        <v>2.5720289856539843E-24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-1.1368683772161603E-13</v>
      </c>
      <c r="GV197" s="18">
        <f>GU197*VLOOKUP('Données projet'!$B$18,Paramètres!$A$1:$I$89,3,0)*VLOOKUP('Données projet'!$B$18,Paramètres!$A$1:$I$89,5,0)</f>
        <v>-8.8675733422860506E-14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99.222094917553648</v>
      </c>
      <c r="HA197" s="62">
        <f t="shared" ref="HA197:HA203" si="213">$HA$3</f>
        <v>98.371477396766352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5.3514230938495233E-25</v>
      </c>
      <c r="HJ197" s="24">
        <f t="shared" si="190"/>
        <v>5.3514230938495233E-25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1.5961632016114892E-13</v>
      </c>
      <c r="P198" s="14">
        <f t="shared" si="203"/>
        <v>2.2708641912150958E-12</v>
      </c>
      <c r="Q198" s="22">
        <f t="shared" si="162"/>
        <v>4.2330868906469593E-12</v>
      </c>
      <c r="R198" s="62">
        <f t="shared" si="191"/>
        <v>293.33333333333752</v>
      </c>
      <c r="S198" s="62">
        <f ca="1">AVERAGE(OFFSET($R$3,0,0,'Données projet'!$E$9+1,1))-AVERAGE(OFFSET($H$3,0,0,'Données projet'!$E$9+1,1))</f>
        <v>181.48161394994878</v>
      </c>
      <c r="T198" s="62">
        <f t="shared" si="204"/>
        <v>141.1874974464024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340.81036749486179</v>
      </c>
      <c r="AO198" s="62">
        <f t="shared" si="205"/>
        <v>208.88199836488013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257.96727373333601</v>
      </c>
      <c r="BJ198" s="62">
        <f t="shared" si="206"/>
        <v>194.52809733694494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6.2313141415225294E-2</v>
      </c>
      <c r="BR198" s="23">
        <f>EXP(-LN(2)/2)*BR197+(1-EXP(-LN(2)/2))/(LN(2)/2)*BL198*BO198*VLOOKUP('Données projet'!$B$11,Paramètres!$A$1:$I$89,3,0)*0.475*44/12</f>
        <v>2.0796439208677737E-24</v>
      </c>
      <c r="BS198" s="24">
        <f t="shared" si="169"/>
        <v>6.2313141415225294E-2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292.83612296867898</v>
      </c>
      <c r="CE198" s="62">
        <f t="shared" si="207"/>
        <v>180.48047802041276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4.1366490178638784E-24</v>
      </c>
      <c r="CN198" s="24">
        <f t="shared" si="172"/>
        <v>4.1366490178638784E-24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-6.4733285398688169E-14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192.93829651668403</v>
      </c>
      <c r="CZ198" s="62">
        <f t="shared" si="208"/>
        <v>76.592736352376903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-3.813056537183002E-14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66.964554307546564</v>
      </c>
      <c r="DU198" s="62">
        <f t="shared" si="209"/>
        <v>21.162700178818568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-5.4978954722173515E-14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146.90952320473599</v>
      </c>
      <c r="EP198" s="62">
        <f t="shared" si="210"/>
        <v>56.347130462109817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-5.6843418860808015E-14</v>
      </c>
      <c r="FF198" s="18">
        <f>FE198*VLOOKUP('Données projet'!$B$16,Paramètres!$A$1:$I$89,3,0)*VLOOKUP('Données projet'!$B$16,Paramètres!$A$1:$I$89,5,0)</f>
        <v>-6.1186256061773749E-14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176.21892815766847</v>
      </c>
      <c r="FK198" s="62">
        <f t="shared" si="211"/>
        <v>69.239647548491234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-9.0449248091317723E-14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70.834027458412379</v>
      </c>
      <c r="GF198" s="62">
        <f t="shared" si="212"/>
        <v>74.346987922112362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1.8186991371642896E-24</v>
      </c>
      <c r="GO198" s="23">
        <f t="shared" si="187"/>
        <v>1.8186991371642896E-24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-1.1368683772161603E-13</v>
      </c>
      <c r="GV198" s="18">
        <f>GU198*VLOOKUP('Données projet'!$B$18,Paramètres!$A$1:$I$89,3,0)*VLOOKUP('Données projet'!$B$18,Paramètres!$A$1:$I$89,5,0)</f>
        <v>-8.8675733422860506E-14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99.222094917553648</v>
      </c>
      <c r="HA198" s="62">
        <f t="shared" si="213"/>
        <v>98.371477396766352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3.7840275586592921E-25</v>
      </c>
      <c r="HJ198" s="24">
        <f t="shared" si="190"/>
        <v>3.7840275586592921E-25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1.5961632016114892E-13</v>
      </c>
      <c r="P199" s="14">
        <f t="shared" si="203"/>
        <v>2.2708641912150958E-12</v>
      </c>
      <c r="Q199" s="22">
        <f t="shared" si="162"/>
        <v>4.2330868906469593E-12</v>
      </c>
      <c r="R199" s="62">
        <f t="shared" si="191"/>
        <v>293.33333333333752</v>
      </c>
      <c r="S199" s="62">
        <f ca="1">AVERAGE(OFFSET($R$3,0,0,'Données projet'!$E$9+1,1))-AVERAGE(OFFSET($H$3,0,0,'Données projet'!$E$9+1,1))</f>
        <v>181.48161394994878</v>
      </c>
      <c r="T199" s="62">
        <f t="shared" si="204"/>
        <v>141.1874974464024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340.81036749486179</v>
      </c>
      <c r="AO199" s="62">
        <f t="shared" si="205"/>
        <v>208.88199836488013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257.96727373333601</v>
      </c>
      <c r="BJ199" s="62">
        <f t="shared" si="206"/>
        <v>194.52809733694494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6.0609185286320269E-2</v>
      </c>
      <c r="BR199" s="23">
        <f>EXP(-LN(2)/2)*BR198+(1-EXP(-LN(2)/2))/(LN(2)/2)*BL199*BO199*VLOOKUP('Données projet'!$B$11,Paramètres!$A$1:$I$89,3,0)*0.475*44/12</f>
        <v>1.4705303188989826E-24</v>
      </c>
      <c r="BS199" s="24">
        <f t="shared" si="169"/>
        <v>6.0609185286320269E-2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292.83612296867898</v>
      </c>
      <c r="CE199" s="62">
        <f t="shared" si="207"/>
        <v>180.48047802041276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2.9250525719202202E-24</v>
      </c>
      <c r="CN199" s="24">
        <f t="shared" si="172"/>
        <v>2.9250525719202202E-24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-6.4733285398688169E-14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192.93829651668403</v>
      </c>
      <c r="CZ199" s="62">
        <f t="shared" si="208"/>
        <v>76.592736352376903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-3.813056537183002E-14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66.964554307546564</v>
      </c>
      <c r="DU199" s="62">
        <f t="shared" si="209"/>
        <v>21.162700178818568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-5.4978954722173515E-14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146.90952320473599</v>
      </c>
      <c r="EP199" s="62">
        <f t="shared" si="210"/>
        <v>56.347130462109817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-5.6843418860808015E-14</v>
      </c>
      <c r="FF199" s="18">
        <f>FE199*VLOOKUP('Données projet'!$B$16,Paramètres!$A$1:$I$89,3,0)*VLOOKUP('Données projet'!$B$16,Paramètres!$A$1:$I$89,5,0)</f>
        <v>-6.1186256061773749E-14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176.21892815766847</v>
      </c>
      <c r="FK199" s="62">
        <f t="shared" si="211"/>
        <v>69.239647548491234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-9.0449248091317723E-14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70.834027458412379</v>
      </c>
      <c r="GF199" s="62">
        <f t="shared" si="212"/>
        <v>74.346987922112362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1.2860144928269921E-24</v>
      </c>
      <c r="GO199" s="23">
        <f t="shared" si="187"/>
        <v>1.2860144928269921E-24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-1.1368683772161603E-13</v>
      </c>
      <c r="GV199" s="18">
        <f>GU199*VLOOKUP('Données projet'!$B$18,Paramètres!$A$1:$I$89,3,0)*VLOOKUP('Données projet'!$B$18,Paramètres!$A$1:$I$89,5,0)</f>
        <v>-8.8675733422860506E-14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99.222094917553648</v>
      </c>
      <c r="HA199" s="62">
        <f t="shared" si="213"/>
        <v>98.371477396766352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2.6757115469247616E-25</v>
      </c>
      <c r="HJ199" s="24">
        <f t="shared" si="190"/>
        <v>2.6757115469247616E-25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1.5961632016114892E-13</v>
      </c>
      <c r="P200" s="14">
        <f t="shared" si="203"/>
        <v>2.2708641912150958E-12</v>
      </c>
      <c r="Q200" s="22">
        <f t="shared" si="162"/>
        <v>4.2330868906469593E-12</v>
      </c>
      <c r="R200" s="62">
        <f t="shared" si="191"/>
        <v>293.33333333333752</v>
      </c>
      <c r="S200" s="62">
        <f ca="1">AVERAGE(OFFSET($R$3,0,0,'Données projet'!$E$9+1,1))-AVERAGE(OFFSET($H$3,0,0,'Données projet'!$E$9+1,1))</f>
        <v>181.48161394994878</v>
      </c>
      <c r="T200" s="62">
        <f t="shared" si="204"/>
        <v>141.1874974464024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340.81036749486179</v>
      </c>
      <c r="AO200" s="62">
        <f t="shared" si="205"/>
        <v>208.88199836488013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257.96727373333601</v>
      </c>
      <c r="BJ200" s="62">
        <f t="shared" si="206"/>
        <v>194.52809733694494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5.8951823927367308E-2</v>
      </c>
      <c r="BR200" s="23">
        <f>EXP(-LN(2)/2)*BR199+(1-EXP(-LN(2)/2))/(LN(2)/2)*BL200*BO200*VLOOKUP('Données projet'!$B$11,Paramètres!$A$1:$I$89,3,0)*0.475*44/12</f>
        <v>1.0398219604338868E-24</v>
      </c>
      <c r="BS200" s="24">
        <f t="shared" si="169"/>
        <v>5.8951823927367308E-2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292.83612296867898</v>
      </c>
      <c r="CE200" s="62">
        <f t="shared" si="207"/>
        <v>180.48047802041276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2.0683245089319392E-24</v>
      </c>
      <c r="CN200" s="24">
        <f t="shared" si="172"/>
        <v>2.0683245089319392E-24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-6.4733285398688169E-14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192.93829651668403</v>
      </c>
      <c r="CZ200" s="62">
        <f t="shared" si="208"/>
        <v>76.592736352376903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-3.813056537183002E-14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66.964554307546564</v>
      </c>
      <c r="DU200" s="62">
        <f t="shared" si="209"/>
        <v>21.162700178818568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-5.4978954722173515E-14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146.90952320473599</v>
      </c>
      <c r="EP200" s="62">
        <f t="shared" si="210"/>
        <v>56.347130462109817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-5.6843418860808015E-14</v>
      </c>
      <c r="FF200" s="18">
        <f>FE200*VLOOKUP('Données projet'!$B$16,Paramètres!$A$1:$I$89,3,0)*VLOOKUP('Données projet'!$B$16,Paramètres!$A$1:$I$89,5,0)</f>
        <v>-6.1186256061773749E-14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176.21892815766847</v>
      </c>
      <c r="FK200" s="62">
        <f t="shared" si="211"/>
        <v>69.239647548491234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-9.0449248091317723E-14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70.834027458412379</v>
      </c>
      <c r="GF200" s="62">
        <f t="shared" si="212"/>
        <v>74.346987922112362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9.0934956858214482E-25</v>
      </c>
      <c r="GO200" s="23">
        <f t="shared" si="187"/>
        <v>9.0934956858214482E-25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-1.1368683772161603E-13</v>
      </c>
      <c r="GV200" s="18">
        <f>GU200*VLOOKUP('Données projet'!$B$18,Paramètres!$A$1:$I$89,3,0)*VLOOKUP('Données projet'!$B$18,Paramètres!$A$1:$I$89,5,0)</f>
        <v>-8.8675733422860506E-14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99.222094917553648</v>
      </c>
      <c r="HA200" s="62">
        <f t="shared" si="213"/>
        <v>98.371477396766352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1.892013779329646E-25</v>
      </c>
      <c r="HJ200" s="24">
        <f t="shared" si="190"/>
        <v>1.892013779329646E-25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1.5961632016114892E-13</v>
      </c>
      <c r="P201" s="14">
        <f t="shared" si="203"/>
        <v>2.2708641912150958E-12</v>
      </c>
      <c r="Q201" s="22">
        <f t="shared" si="162"/>
        <v>4.2330868906469593E-12</v>
      </c>
      <c r="R201" s="62">
        <f t="shared" si="191"/>
        <v>293.33333333333752</v>
      </c>
      <c r="S201" s="62">
        <f ca="1">AVERAGE(OFFSET($R$3,0,0,'Données projet'!$E$9+1,1))-AVERAGE(OFFSET($H$3,0,0,'Données projet'!$E$9+1,1))</f>
        <v>181.48161394994878</v>
      </c>
      <c r="T201" s="62">
        <f t="shared" si="204"/>
        <v>141.1874974464024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340.81036749486179</v>
      </c>
      <c r="AO201" s="62">
        <f t="shared" si="205"/>
        <v>208.88199836488013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257.96727373333601</v>
      </c>
      <c r="BJ201" s="62">
        <f t="shared" si="206"/>
        <v>194.52809733694494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5.7339783201931768E-2</v>
      </c>
      <c r="BR201" s="23">
        <f>EXP(-LN(2)/2)*BR200+(1-EXP(-LN(2)/2))/(LN(2)/2)*BL201*BO201*VLOOKUP('Données projet'!$B$11,Paramètres!$A$1:$I$89,3,0)*0.475*44/12</f>
        <v>7.3526515944949131E-25</v>
      </c>
      <c r="BS201" s="24">
        <f t="shared" si="169"/>
        <v>5.7339783201931768E-2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292.83612296867898</v>
      </c>
      <c r="CE201" s="62">
        <f t="shared" si="207"/>
        <v>180.48047802041276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1.4625262859601101E-24</v>
      </c>
      <c r="CN201" s="24">
        <f t="shared" si="172"/>
        <v>1.4625262859601101E-24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-6.4733285398688169E-14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192.93829651668403</v>
      </c>
      <c r="CZ201" s="62">
        <f t="shared" si="208"/>
        <v>76.592736352376903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-3.813056537183002E-14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66.964554307546564</v>
      </c>
      <c r="DU201" s="62">
        <f t="shared" si="209"/>
        <v>21.162700178818568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-5.4978954722173515E-14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146.90952320473599</v>
      </c>
      <c r="EP201" s="62">
        <f t="shared" si="210"/>
        <v>56.347130462109817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-5.6843418860808015E-14</v>
      </c>
      <c r="FF201" s="18">
        <f>FE201*VLOOKUP('Données projet'!$B$16,Paramètres!$A$1:$I$89,3,0)*VLOOKUP('Données projet'!$B$16,Paramètres!$A$1:$I$89,5,0)</f>
        <v>-6.1186256061773749E-14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176.21892815766847</v>
      </c>
      <c r="FK201" s="62">
        <f t="shared" si="211"/>
        <v>69.239647548491234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-9.0449248091317723E-14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70.834027458412379</v>
      </c>
      <c r="GF201" s="62">
        <f t="shared" si="212"/>
        <v>74.346987922112362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6.4300724641349607E-25</v>
      </c>
      <c r="GO201" s="23">
        <f t="shared" si="187"/>
        <v>6.4300724641349607E-25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-1.1368683772161603E-13</v>
      </c>
      <c r="GV201" s="18">
        <f>GU201*VLOOKUP('Données projet'!$B$18,Paramètres!$A$1:$I$89,3,0)*VLOOKUP('Données projet'!$B$18,Paramètres!$A$1:$I$89,5,0)</f>
        <v>-8.8675733422860506E-14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99.222094917553648</v>
      </c>
      <c r="HA201" s="62">
        <f t="shared" si="213"/>
        <v>98.371477396766352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1.3378557734623808E-25</v>
      </c>
      <c r="HJ201" s="24">
        <f t="shared" si="190"/>
        <v>1.3378557734623808E-25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1.5961632016114892E-13</v>
      </c>
      <c r="P202" s="14">
        <f t="shared" si="203"/>
        <v>2.2708641912150958E-12</v>
      </c>
      <c r="Q202" s="22">
        <f t="shared" si="162"/>
        <v>4.2330868906469593E-12</v>
      </c>
      <c r="R202" s="62">
        <f t="shared" si="191"/>
        <v>293.33333333333752</v>
      </c>
      <c r="S202" s="62">
        <f ca="1">AVERAGE(OFFSET($R$3,0,0,'Données projet'!$E$9+1,1))-AVERAGE(OFFSET($H$3,0,0,'Données projet'!$E$9+1,1))</f>
        <v>181.48161394994878</v>
      </c>
      <c r="T202" s="62">
        <f t="shared" si="204"/>
        <v>141.1874974464024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340.81036749486179</v>
      </c>
      <c r="AO202" s="62">
        <f t="shared" si="205"/>
        <v>208.88199836488013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257.96727373333601</v>
      </c>
      <c r="BJ202" s="62">
        <f t="shared" si="206"/>
        <v>194.52809733694494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5.57718238149068E-2</v>
      </c>
      <c r="BR202" s="23">
        <f>EXP(-LN(2)/2)*BR201+(1-EXP(-LN(2)/2))/(LN(2)/2)*BL202*BO202*VLOOKUP('Données projet'!$B$11,Paramètres!$A$1:$I$89,3,0)*0.475*44/12</f>
        <v>5.1991098021694342E-25</v>
      </c>
      <c r="BS202" s="24">
        <f t="shared" si="169"/>
        <v>5.57718238149068E-2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292.83612296867898</v>
      </c>
      <c r="CE202" s="62">
        <f t="shared" si="207"/>
        <v>180.48047802041276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1.0341622544659696E-24</v>
      </c>
      <c r="CN202" s="24">
        <f t="shared" si="172"/>
        <v>1.0341622544659696E-24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-6.4733285398688169E-14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192.93829651668403</v>
      </c>
      <c r="CZ202" s="62">
        <f t="shared" si="208"/>
        <v>76.592736352376903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-3.813056537183002E-14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66.964554307546564</v>
      </c>
      <c r="DU202" s="62">
        <f t="shared" si="209"/>
        <v>21.162700178818568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-5.4978954722173515E-14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146.90952320473599</v>
      </c>
      <c r="EP202" s="62">
        <f t="shared" si="210"/>
        <v>56.347130462109817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-5.6843418860808015E-14</v>
      </c>
      <c r="FF202" s="18">
        <f>FE202*VLOOKUP('Données projet'!$B$16,Paramètres!$A$1:$I$89,3,0)*VLOOKUP('Données projet'!$B$16,Paramètres!$A$1:$I$89,5,0)</f>
        <v>-6.1186256061773749E-14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176.21892815766847</v>
      </c>
      <c r="FK202" s="62">
        <f t="shared" si="211"/>
        <v>69.239647548491234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-9.0449248091317723E-14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70.834027458412379</v>
      </c>
      <c r="GF202" s="62">
        <f t="shared" si="212"/>
        <v>74.346987922112362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4.5467478429107241E-25</v>
      </c>
      <c r="GO202" s="23">
        <f t="shared" si="187"/>
        <v>4.5467478429107241E-25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-1.1368683772161603E-13</v>
      </c>
      <c r="GV202" s="18">
        <f>GU202*VLOOKUP('Données projet'!$B$18,Paramètres!$A$1:$I$89,3,0)*VLOOKUP('Données projet'!$B$18,Paramètres!$A$1:$I$89,5,0)</f>
        <v>-8.8675733422860506E-14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99.222094917553648</v>
      </c>
      <c r="HA202" s="62">
        <f t="shared" si="213"/>
        <v>98.371477396766352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9.4600688966482302E-26</v>
      </c>
      <c r="HJ202" s="24">
        <f t="shared" si="190"/>
        <v>9.4600688966482302E-26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1.5961632016114892E-13</v>
      </c>
      <c r="P203" s="14">
        <f t="shared" si="203"/>
        <v>2.2708641912150958E-12</v>
      </c>
      <c r="Q203" s="22">
        <f t="shared" si="162"/>
        <v>4.2330868906469593E-12</v>
      </c>
      <c r="R203" s="62">
        <f t="shared" si="191"/>
        <v>293.33333333333752</v>
      </c>
      <c r="S203" s="62">
        <f ca="1">AVERAGE(OFFSET($R$3,0,0,'Données projet'!$E$9+1,1))-AVERAGE(OFFSET($H$3,0,0,'Données projet'!$E$9+1,1))</f>
        <v>181.48161394994878</v>
      </c>
      <c r="T203" s="62">
        <f t="shared" si="204"/>
        <v>141.1874974464024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340.81036749486179</v>
      </c>
      <c r="AO203" s="62">
        <f t="shared" si="205"/>
        <v>208.88199836488013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257.96727373333601</v>
      </c>
      <c r="BJ203" s="62">
        <f t="shared" si="206"/>
        <v>194.52809733694494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5.4246740359775426E-2</v>
      </c>
      <c r="BR203" s="23">
        <f>EXP(-LN(2)/2)*BR202+(1-EXP(-LN(2)/2))/(LN(2)/2)*BL203*BO203*VLOOKUP('Données projet'!$B$11,Paramètres!$A$1:$I$89,3,0)*0.475*44/12</f>
        <v>3.6763257972474565E-25</v>
      </c>
      <c r="BS203" s="24">
        <f t="shared" si="169"/>
        <v>5.4246740359775426E-2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292.83612296867898</v>
      </c>
      <c r="CE203" s="62">
        <f t="shared" si="207"/>
        <v>180.48047802041276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7.3126314298005506E-25</v>
      </c>
      <c r="CN203" s="24">
        <f t="shared" si="172"/>
        <v>7.3126314298005506E-25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-6.4733285398688169E-14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192.93829651668403</v>
      </c>
      <c r="CZ203" s="62">
        <f t="shared" si="208"/>
        <v>76.592736352376903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-3.813056537183002E-14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66.964554307546564</v>
      </c>
      <c r="DU203" s="62">
        <f t="shared" si="209"/>
        <v>21.162700178818568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-5.4978954722173515E-14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146.90952320473599</v>
      </c>
      <c r="EP203" s="62">
        <f t="shared" si="210"/>
        <v>56.347130462109817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-5.6843418860808015E-14</v>
      </c>
      <c r="FF203" s="18">
        <f>FE203*VLOOKUP('Données projet'!$B$16,Paramètres!$A$1:$I$89,3,0)*VLOOKUP('Données projet'!$B$16,Paramètres!$A$1:$I$89,5,0)</f>
        <v>-6.1186256061773749E-14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176.21892815766847</v>
      </c>
      <c r="FK203" s="62">
        <f t="shared" si="211"/>
        <v>69.239647548491234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-9.0449248091317723E-14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70.834027458412379</v>
      </c>
      <c r="GF203" s="62">
        <f t="shared" si="212"/>
        <v>74.346987922112362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3.2150362320674803E-25</v>
      </c>
      <c r="GO203" s="23">
        <f t="shared" si="187"/>
        <v>3.2150362320674803E-25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-1.1368683772161603E-13</v>
      </c>
      <c r="GV203" s="18">
        <f>GU203*VLOOKUP('Données projet'!$B$18,Paramètres!$A$1:$I$89,3,0)*VLOOKUP('Données projet'!$B$18,Paramètres!$A$1:$I$89,5,0)</f>
        <v>-8.8675733422860506E-14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99.222094917553648</v>
      </c>
      <c r="HA203" s="62">
        <f t="shared" si="213"/>
        <v>98.371477396766352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6.6892788673119041E-26</v>
      </c>
      <c r="HJ203" s="24">
        <f t="shared" si="190"/>
        <v>6.6892788673119041E-26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1.1921598380198544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1.244502252163008</v>
      </c>
      <c r="BV205" s="88">
        <f>EXP(LN('Données projet'!B114)/'Données projet'!A114)</f>
        <v>1.2392705892426346</v>
      </c>
      <c r="CQ205" s="88">
        <f>EXP(LN('Données projet'!B140)/'Données projet'!A140)</f>
        <v>1.1457367676485573</v>
      </c>
      <c r="DL205" s="88">
        <f>EXP(LN('Données projet'!B166)/'Données projet'!A166)</f>
        <v>1.1457367676485573</v>
      </c>
      <c r="EG205" s="88">
        <f>EXP(LN('Données projet'!B192)/'Données projet'!A192)</f>
        <v>1.1457367676485573</v>
      </c>
      <c r="FB205" s="88">
        <f>EXP(LN('Données projet'!B218)/'Données projet'!A218)</f>
        <v>1.1457367676485573</v>
      </c>
      <c r="FW205" s="88">
        <f>EXP(LN('Données projet'!B244)/'Données projet'!A244)</f>
        <v>1.1554831727638066</v>
      </c>
      <c r="GR205" s="88">
        <f>EXP(LN('Données projet'!B270)/'Données projet'!A270)</f>
        <v>1.2426005929945116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7" workbookViewId="0">
      <selection activeCell="C37" sqref="C37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P6" sqref="P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1.849815</v>
      </c>
      <c r="C6" s="156">
        <f ca="1">IF(OR('Données projet'!B9="",'Données projet'!C9="",'Données projet'!C9=0%),0,Calculateur!S3)</f>
        <v>181.48161394994878</v>
      </c>
      <c r="D6" s="156">
        <f>IF(OR('Données projet'!B9="",'Données projet'!C9="",'Données projet'!C9=0%),0,Calculateur!T3)</f>
        <v>141.1874974464024</v>
      </c>
      <c r="E6" s="156">
        <f ca="1">MIN(C6,D6)</f>
        <v>141.1874974464024</v>
      </c>
      <c r="F6" s="156">
        <f ca="1">E6*B6</f>
        <v>261.17075058881687</v>
      </c>
      <c r="G6" s="156">
        <f ca="1">F6*(100%-'Données projet'!$C$24)*(100%-'Données projet'!$C$25)*(100%-'Données projet'!$C$26)*(100%-'Données projet'!$C$27)</f>
        <v>235.05367552993519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235.05367552993519</v>
      </c>
      <c r="M6" s="25">
        <f ca="1">L6/B6</f>
        <v>127.06874770176218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1.4186700000000001</v>
      </c>
      <c r="C7" s="156">
        <f ca="1">IF(OR('Données projet'!B10="",'Données projet'!C10="",'Données projet'!C10=0%),0,Calculateur!AN3)</f>
        <v>340.81036749486179</v>
      </c>
      <c r="D7" s="156">
        <f>IF(OR('Données projet'!B10="",'Données projet'!C10="",'Données projet'!C10=0%),0,Calculateur!AO3)</f>
        <v>208.88199836488013</v>
      </c>
      <c r="E7" s="156">
        <f t="shared" ref="E7:E15" ca="1" si="0">MIN(C7,D7)</f>
        <v>208.88199836488013</v>
      </c>
      <c r="F7" s="156">
        <f t="shared" ref="F7:F15" ca="1" si="1">E7*B7</f>
        <v>296.33462462030451</v>
      </c>
      <c r="G7" s="156">
        <f ca="1">F7*(100%-'Données projet'!$C$24)*(100%-'Données projet'!$C$25)*(100%-'Données projet'!$C$26)*(100%-'Données projet'!$C$27)</f>
        <v>266.70116215827409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21.989385000000002</v>
      </c>
      <c r="K7" s="160">
        <f>J7*(100%-'Données projet'!$C$24)*(100%-'Données projet'!$C$25)*(100%-'Données projet'!$C$26)*(100%-'Données projet'!$C$27)</f>
        <v>19.790446500000002</v>
      </c>
      <c r="L7" s="161">
        <f t="shared" ref="L7:L15" ca="1" si="2">G7+I7+K7</f>
        <v>286.49160865827412</v>
      </c>
      <c r="M7" s="25">
        <f ca="1">L7/B7</f>
        <v>201.94379852839216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0.74992499999999995</v>
      </c>
      <c r="C8" s="156">
        <f ca="1">IF(OR('Données projet'!B11="",'Données projet'!C11="",'Données projet'!C11=0%),0,Calculateur!BI3)</f>
        <v>257.96727373333601</v>
      </c>
      <c r="D8" s="156">
        <f>IF(OR('Données projet'!B11="",'Données projet'!C11="",'Données projet'!C11=0%),0,Calculateur!BJ3)</f>
        <v>194.52809733694494</v>
      </c>
      <c r="E8" s="156">
        <f t="shared" ca="1" si="0"/>
        <v>194.52809733694494</v>
      </c>
      <c r="F8" s="156">
        <f t="shared" ca="1" si="1"/>
        <v>145.88148339540842</v>
      </c>
      <c r="G8" s="156">
        <f ca="1">F8*(100%-'Données projet'!$C$24)*(100%-'Données projet'!$C$25)*(100%-'Données projet'!$C$26)*(100%-'Données projet'!$C$27)</f>
        <v>131.29333505586757</v>
      </c>
      <c r="H8" s="164">
        <f>IF(OR('Données projet'!B11="",'Données projet'!C11="",'Données projet'!C11=0%),0,AVERAGE(Calculateur!$BS$3:$BS$33)*B8)</f>
        <v>2.1117278180380437</v>
      </c>
      <c r="I8" s="158">
        <f>H8*(100%-'Données projet'!$C$24)*(100%-'Données projet'!$C$25)*(100%-'Données projet'!$C$26)*(100%-'Données projet'!$C$27)</f>
        <v>1.9005550362342394</v>
      </c>
      <c r="J8" s="159">
        <f>IF(OR('Données projet'!B11="",'Données projet'!C11="",'Données projet'!C11=0%),0,SUM(Calculateur!$BL$3:$BL$33)*VLOOKUP('Données projet'!$B$11,Paramètres!$A$1:$I$89,9,0)*B8)</f>
        <v>21.605339249999997</v>
      </c>
      <c r="K8" s="160">
        <f>J8*(100%-'Données projet'!$C$24)*(100%-'Données projet'!$C$25)*(100%-'Données projet'!$C$26)*(100%-'Données projet'!$C$27)</f>
        <v>19.444805324999997</v>
      </c>
      <c r="L8" s="161">
        <f t="shared" ca="1" si="2"/>
        <v>152.63869541710181</v>
      </c>
      <c r="M8" s="25">
        <f ca="1">L8/B8</f>
        <v>203.53861441757752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sessile</v>
      </c>
      <c r="B9" s="163">
        <f>'Données projet'!D12</f>
        <v>0.36432000000000003</v>
      </c>
      <c r="C9" s="156">
        <f ca="1">IF(OR('Données projet'!B12="",'Données projet'!C12="",'Données projet'!C12=0%),0,Calculateur!CD3)</f>
        <v>292.83612296867898</v>
      </c>
      <c r="D9" s="156">
        <f>IF(OR('Données projet'!B12="",'Données projet'!C12="",'Données projet'!C12=0%),0,Calculateur!CE3)</f>
        <v>180.48047802041276</v>
      </c>
      <c r="E9" s="156">
        <f t="shared" ca="1" si="0"/>
        <v>180.48047802041276</v>
      </c>
      <c r="F9" s="156">
        <f t="shared" ca="1" si="1"/>
        <v>65.752647752396783</v>
      </c>
      <c r="G9" s="156">
        <f ca="1">F9*(100%-'Données projet'!$C$24)*(100%-'Données projet'!$C$25)*(100%-'Données projet'!$C$26)*(100%-'Données projet'!$C$27)</f>
        <v>59.177382977157109</v>
      </c>
      <c r="H9" s="164">
        <f>IF(OR('Données projet'!B12="",'Données projet'!C12="",'Données projet'!C12=0%),0,AVERAGE(Calculateur!$CN$3:$CN$33)*B9)</f>
        <v>1.3211460212137132</v>
      </c>
      <c r="I9" s="158">
        <f>H9*(100%-'Données projet'!$C$24)*(100%-'Données projet'!$C$25)*(100%-'Données projet'!$C$26)*(100%-'Données projet'!$C$27)</f>
        <v>1.1890314190923419</v>
      </c>
      <c r="J9" s="159">
        <f>IF(OR('Données projet'!B12="",'Données projet'!C12="",'Données projet'!C12=0%),0,SUM(Calculateur!$CG$3:$CG$33)*VLOOKUP('Données projet'!$B$12,Paramètres!$A$1:$I$89,9,0)*B9)</f>
        <v>5.6469600000000009</v>
      </c>
      <c r="K9" s="160">
        <f>J9*(100%-'Données projet'!$C$24)*(100%-'Données projet'!$C$25)*(100%-'Données projet'!$C$26)*(100%-'Données projet'!$C$27)</f>
        <v>5.0822640000000012</v>
      </c>
      <c r="L9" s="161">
        <f t="shared" ca="1" si="2"/>
        <v>65.448678396249448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vert</v>
      </c>
      <c r="B10" s="163">
        <f>'Données projet'!D13</f>
        <v>0.198495</v>
      </c>
      <c r="C10" s="156">
        <f ca="1">IF(OR('Données projet'!B13="",'Données projet'!C13="",'Données projet'!C13=0%),0,Calculateur!CY3)</f>
        <v>192.93829651668403</v>
      </c>
      <c r="D10" s="156">
        <f>IF(OR('Données projet'!B13="",'Données projet'!C13="",'Données projet'!C13=0%),0,Calculateur!CZ3)</f>
        <v>76.592736352376903</v>
      </c>
      <c r="E10" s="156">
        <f t="shared" ca="1" si="0"/>
        <v>76.592736352376903</v>
      </c>
      <c r="F10" s="156">
        <f t="shared" ca="1" si="1"/>
        <v>15.203275202265054</v>
      </c>
      <c r="G10" s="156">
        <f ca="1">F10*(100%-'Données projet'!$C$24)*(100%-'Données projet'!$C$25)*(100%-'Données projet'!$C$26)*(100%-'Données projet'!$C$27)</f>
        <v>13.682947682038549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13.682947682038549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Tilleul</v>
      </c>
      <c r="B11" s="163">
        <f>'Données projet'!D14</f>
        <v>3.3165E-2</v>
      </c>
      <c r="C11" s="156">
        <f ca="1">IF(OR('Données projet'!B14="",'Données projet'!C14="",'Données projet'!C14=0%),0,Calculateur!DT3)</f>
        <v>66.964554307546564</v>
      </c>
      <c r="D11" s="156">
        <f>IF(OR('Données projet'!B14="",'Données projet'!C14="",'Données projet'!C14=0%),0,Calculateur!DU3)</f>
        <v>21.162700178818568</v>
      </c>
      <c r="E11" s="156">
        <f t="shared" ca="1" si="0"/>
        <v>21.162700178818568</v>
      </c>
      <c r="F11" s="156">
        <f t="shared" ca="1" si="1"/>
        <v>0.70186095143051785</v>
      </c>
      <c r="G11" s="156">
        <f ca="1">F11*(100%-'Données projet'!$C$24)*(100%-'Données projet'!$C$25)*(100%-'Données projet'!$C$26)*(100%-'Données projet'!$C$27)</f>
        <v>0.63167485628746611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0.63167485628746611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Alisier torminal</v>
      </c>
      <c r="B12" s="163">
        <f>'Données projet'!D15</f>
        <v>3.3165E-2</v>
      </c>
      <c r="C12" s="156">
        <f ca="1">IF(OR('Données projet'!B15="",'Données projet'!C15="",'Données projet'!C15=0%),0,Calculateur!EO3)</f>
        <v>146.90952320473599</v>
      </c>
      <c r="D12" s="156">
        <f>IF(OR('Données projet'!B15="",'Données projet'!C15="",'Données projet'!C15=0%),0,Calculateur!EP3)</f>
        <v>56.347130462109817</v>
      </c>
      <c r="E12" s="156">
        <f t="shared" ca="1" si="0"/>
        <v>56.347130462109817</v>
      </c>
      <c r="F12" s="156">
        <f t="shared" ca="1" si="1"/>
        <v>1.8687525817758721</v>
      </c>
      <c r="G12" s="156">
        <f ca="1">F12*(100%-'Données projet'!$C$24)*(100%-'Données projet'!$C$25)*(100%-'Données projet'!$C$26)*(100%-'Données projet'!$C$27)</f>
        <v>1.6818773235982849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1.6818773235982849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Cormier</v>
      </c>
      <c r="B13" s="163">
        <f>'Données projet'!D16</f>
        <v>3.3165E-2</v>
      </c>
      <c r="C13" s="156">
        <f ca="1">IF(OR('Données projet'!B16="",'Données projet'!C16="",'Données projet'!C16=0%),0,Calculateur!FJ3)</f>
        <v>176.21892815766847</v>
      </c>
      <c r="D13" s="156">
        <f>IF(OR('Données projet'!B16="",'Données projet'!C16="",'Données projet'!C16=0%),0,Calculateur!FK3)</f>
        <v>69.239647548491234</v>
      </c>
      <c r="E13" s="156">
        <f t="shared" ca="1" si="0"/>
        <v>69.239647548491234</v>
      </c>
      <c r="F13" s="156">
        <f t="shared" ca="1" si="1"/>
        <v>2.2963329109457118</v>
      </c>
      <c r="G13" s="156">
        <f ca="1">F13*(100%-'Données projet'!$C$24)*(100%-'Données projet'!$C$25)*(100%-'Données projet'!$C$26)*(100%-'Données projet'!$C$27)</f>
        <v>2.0666996198511405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2.0666996198511405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Erable plane</v>
      </c>
      <c r="B14" s="163">
        <f>'Données projet'!D17</f>
        <v>0.19899</v>
      </c>
      <c r="C14" s="156">
        <f ca="1">IF(OR('Données projet'!B17="",'Données projet'!C17="",'Données projet'!C17=0%),0,Calculateur!GE3)</f>
        <v>70.834027458412379</v>
      </c>
      <c r="D14" s="156">
        <f>IF(OR('Données projet'!B17="",'Données projet'!C17="",'Données projet'!C17=0%),0,Calculateur!GF3)</f>
        <v>74.346987922112362</v>
      </c>
      <c r="E14" s="156">
        <f t="shared" ca="1" si="0"/>
        <v>70.834027458412379</v>
      </c>
      <c r="F14" s="156">
        <f t="shared" ca="1" si="1"/>
        <v>14.095263123949479</v>
      </c>
      <c r="G14" s="156">
        <f ca="1">F14*(100%-'Données projet'!$C$24)*(100%-'Données projet'!$C$25)*(100%-'Données projet'!$C$26)*(100%-'Données projet'!$C$27)</f>
        <v>12.685736811554532</v>
      </c>
      <c r="H14" s="164">
        <f>IF(OR('Données projet'!B17="",'Données projet'!C17="",'Données projet'!C17=0%),0,AVERAGE(Calculateur!$GO$3:$GO$33)*B14)</f>
        <v>0.31725702453761651</v>
      </c>
      <c r="I14" s="158">
        <f>H14*(100%-'Données projet'!$C$24)*(100%-'Données projet'!$C$25)*(100%-'Données projet'!$C$26)*(100%-'Données projet'!$C$27)</f>
        <v>0.28553132208385484</v>
      </c>
      <c r="J14" s="159">
        <f>IF(OR('Données projet'!B17="",'Données projet'!C17="",'Données projet'!C17=0%),0,SUM(Calculateur!$GH$3:$GH$33)*VLOOKUP('Données projet'!$B$17,Paramètres!$A$1:$I$89,9,0)*B14)</f>
        <v>1.5421724999999999</v>
      </c>
      <c r="K14" s="160">
        <f>J14*(100%-'Données projet'!$C$24)*(100%-'Données projet'!$C$25)*(100%-'Données projet'!$C$26)*(100%-'Données projet'!$C$27)</f>
        <v>1.3879552500000001</v>
      </c>
      <c r="L14" s="161">
        <f t="shared" ca="1" si="2"/>
        <v>14.359223383638387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Merisier</v>
      </c>
      <c r="B15" s="166">
        <f>'Données projet'!D18</f>
        <v>6.633E-2</v>
      </c>
      <c r="C15" s="167">
        <f ca="1">IF(OR('Données projet'!B18="",'Données projet'!C18="",'Données projet'!C18=0%),0,Calculateur!GZ3)</f>
        <v>99.222094917553648</v>
      </c>
      <c r="D15" s="167">
        <f>IF(OR('Données projet'!B18="",'Données projet'!C18="",'Données projet'!C18=0%),0,Calculateur!HA3)</f>
        <v>98.371477396766352</v>
      </c>
      <c r="E15" s="167">
        <f t="shared" ca="1" si="0"/>
        <v>98.371477396766352</v>
      </c>
      <c r="F15" s="168">
        <f t="shared" ca="1" si="1"/>
        <v>6.5249800957275124</v>
      </c>
      <c r="G15" s="168">
        <f ca="1">F15*(100%-'Données projet'!$C$24)*(100%-'Données projet'!$C$25)*(100%-'Données projet'!$C$26)*(100%-'Données projet'!$C$27)</f>
        <v>5.8724820861547613</v>
      </c>
      <c r="H15" s="169">
        <f>IF(OR('Données projet'!B18="",'Données projet'!C18="",'Données projet'!C18=0%),0,AVERAGE(Calculateur!$HJ$3:$HJ$33)*B15)</f>
        <v>0.17480481720818658</v>
      </c>
      <c r="I15" s="170">
        <f>H15*(100%-'Données projet'!$C$24)*(100%-'Données projet'!$C$25)*(100%-'Données projet'!$C$26)*(100%-'Données projet'!$C$27)</f>
        <v>0.15732433548736793</v>
      </c>
      <c r="J15" s="171">
        <f>IF(OR('Données projet'!B18="",'Données projet'!C18="",'Données projet'!C18=0%),0,SUM(Calculateur!$HC$3:$HC$33)*VLOOKUP('Données projet'!$B$18,Paramètres!$A$1:$I$89,9,0)*B15)</f>
        <v>0.58038750000000006</v>
      </c>
      <c r="K15" s="172">
        <f>J15*(100%-'Données projet'!$C$24)*(100%-'Données projet'!$C$25)*(100%-'Données projet'!$C$26)*(100%-'Données projet'!$C$27)</f>
        <v>0.52234875000000003</v>
      </c>
      <c r="L15" s="173">
        <f t="shared" ca="1" si="2"/>
        <v>6.5521551716421289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809.82997122302083</v>
      </c>
      <c r="G16" s="175">
        <f t="shared" ca="1" si="3"/>
        <v>728.84697410071863</v>
      </c>
      <c r="H16" s="176">
        <f t="shared" si="3"/>
        <v>3.9249356809975597</v>
      </c>
      <c r="I16" s="176">
        <f t="shared" si="3"/>
        <v>3.5324421128978045</v>
      </c>
      <c r="J16" s="177">
        <f t="shared" si="3"/>
        <v>51.364244249999999</v>
      </c>
      <c r="K16" s="177">
        <f t="shared" si="3"/>
        <v>46.227819824999997</v>
      </c>
      <c r="L16" s="178">
        <f t="shared" ca="1" si="3"/>
        <v>778.60723603861652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Tilleul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Cormier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Erable plane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Merisier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90" zoomScaleNormal="90" workbookViewId="0">
      <selection activeCell="T33" sqref="T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1329.2453080510377</v>
      </c>
      <c r="U10" s="190">
        <f>'Données projet'!D9</f>
        <v>1.849815</v>
      </c>
      <c r="V10" s="189">
        <f>U10*T10</f>
        <v>2458.8579095124301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835.58111934600015</v>
      </c>
      <c r="U11" s="190">
        <f>'Données projet'!D10</f>
        <v>1.4186700000000001</v>
      </c>
      <c r="V11" s="189">
        <f t="shared" ref="V11" si="0">U11*T11</f>
        <v>1185.4138665825901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2017.0518617039431</v>
      </c>
      <c r="U12" s="190">
        <f>'Données projet'!D11</f>
        <v>0.74992499999999995</v>
      </c>
      <c r="V12" s="189">
        <f t="shared" ref="V12:V19" si="1">U12*T12</f>
        <v>1512.6376173883295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sessile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910.11277300185668</v>
      </c>
      <c r="U13" s="190">
        <f>'Données projet'!D12</f>
        <v>0.36432000000000003</v>
      </c>
      <c r="V13" s="189">
        <f t="shared" si="1"/>
        <v>331.57228546003648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372.2305674265192</v>
      </c>
      <c r="U14" s="190">
        <f>'Données projet'!D13</f>
        <v>0.198495</v>
      </c>
      <c r="V14" s="189">
        <f t="shared" si="1"/>
        <v>73.885906481326927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Tilleul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372.2305674265192</v>
      </c>
      <c r="U15" s="190">
        <f>'Données projet'!D14</f>
        <v>3.3165E-2</v>
      </c>
      <c r="V15" s="189">
        <f t="shared" si="1"/>
        <v>12.34502676870051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372.2305674265192</v>
      </c>
      <c r="U16" s="190">
        <f>'Données projet'!D15</f>
        <v>3.3165E-2</v>
      </c>
      <c r="V16" s="189">
        <f t="shared" si="1"/>
        <v>12.34502676870051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60.000000000000057</v>
      </c>
      <c r="O17" s="25"/>
      <c r="P17" s="25"/>
      <c r="Q17" s="265"/>
      <c r="R17" s="25"/>
      <c r="S17" s="185" t="str">
        <f>B231</f>
        <v>Cormier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372.2305674265192</v>
      </c>
      <c r="U17" s="190">
        <f>'Données projet'!D16</f>
        <v>3.3165E-2</v>
      </c>
      <c r="V17" s="189">
        <f t="shared" si="1"/>
        <v>12.34502676870051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>Erable plane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600.14744719025998</v>
      </c>
      <c r="U18" s="190">
        <f>'Données projet'!D17</f>
        <v>0.19899</v>
      </c>
      <c r="V18" s="189">
        <f t="shared" si="1"/>
        <v>119.42334051638983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1200.0000000000011</v>
      </c>
      <c r="O19" s="25"/>
      <c r="P19" s="5"/>
      <c r="Q19" s="266"/>
      <c r="R19" s="5"/>
      <c r="S19" s="185" t="str">
        <f>B293</f>
        <v>Merisier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1428.3297384021148</v>
      </c>
      <c r="U19" s="190">
        <f>'Données projet'!D18</f>
        <v>6.633E-2</v>
      </c>
      <c r="V19" s="189">
        <f t="shared" si="1"/>
        <v>94.741111548212274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7687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600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-42784.786622687621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600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423.4567091875951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182</v>
      </c>
      <c r="C25" s="206">
        <v>15</v>
      </c>
      <c r="D25" s="194">
        <f t="shared" si="2"/>
        <v>2730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-43208.243331875216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100</v>
      </c>
      <c r="C27" s="206">
        <v>18</v>
      </c>
      <c r="D27" s="194">
        <f t="shared" si="2"/>
        <v>1800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79</v>
      </c>
      <c r="C29" s="206">
        <v>18</v>
      </c>
      <c r="D29" s="194">
        <f t="shared" si="2"/>
        <v>1422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57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</v>
      </c>
      <c r="C31" s="206">
        <v>18</v>
      </c>
      <c r="D31" s="194">
        <f t="shared" si="2"/>
        <v>1422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64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71</v>
      </c>
      <c r="B33" s="193">
        <f>'Données projet'!D46</f>
        <v>91</v>
      </c>
      <c r="C33" s="206">
        <v>20</v>
      </c>
      <c r="D33" s="194">
        <f t="shared" si="2"/>
        <v>1820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79</v>
      </c>
      <c r="B35" s="193">
        <f>'Données projet'!D48</f>
        <v>88</v>
      </c>
      <c r="C35" s="206">
        <v>20</v>
      </c>
      <c r="D35" s="194">
        <f t="shared" si="2"/>
        <v>1760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87</v>
      </c>
      <c r="B37" s="193">
        <f>'Données projet'!D50</f>
        <v>89</v>
      </c>
      <c r="C37" s="206">
        <v>25</v>
      </c>
      <c r="D37" s="194">
        <f t="shared" si="2"/>
        <v>2225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88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94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95</v>
      </c>
      <c r="B40" s="193">
        <f>'Données projet'!D53</f>
        <v>269</v>
      </c>
      <c r="C40" s="206">
        <v>30</v>
      </c>
      <c r="D40" s="194">
        <f t="shared" si="2"/>
        <v>8070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96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105</v>
      </c>
      <c r="B42" s="193">
        <f>'Données projet'!D55</f>
        <v>357</v>
      </c>
      <c r="C42" s="206">
        <v>50</v>
      </c>
      <c r="D42" s="194">
        <f t="shared" si="2"/>
        <v>17850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04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04">
        <v>12</v>
      </c>
      <c r="D85" s="191">
        <f>B85*C85</f>
        <v>192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04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04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04">
        <v>17</v>
      </c>
      <c r="D88" s="191">
        <f t="shared" si="6"/>
        <v>697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04">
        <v>17</v>
      </c>
      <c r="D89" s="191">
        <f t="shared" si="6"/>
        <v>697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04">
        <v>17</v>
      </c>
      <c r="D90" s="191">
        <f t="shared" si="6"/>
        <v>901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04">
        <v>20</v>
      </c>
      <c r="D91" s="191">
        <f t="shared" si="6"/>
        <v>1060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04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04">
        <v>30</v>
      </c>
      <c r="D93" s="191">
        <f t="shared" si="6"/>
        <v>1950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04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567</v>
      </c>
      <c r="C95" s="204">
        <v>60</v>
      </c>
      <c r="D95" s="191">
        <f t="shared" si="6"/>
        <v>34020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04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04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04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04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4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04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04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04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04">
        <v>20</v>
      </c>
      <c r="D125" s="191">
        <f t="shared" si="8"/>
        <v>560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04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04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04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04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04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04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04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04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04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04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0</v>
      </c>
      <c r="C147" s="204">
        <v>4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>
        <v>8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13</v>
      </c>
      <c r="C149" s="204">
        <v>10</v>
      </c>
      <c r="D149" s="194">
        <f t="shared" si="10"/>
        <v>130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14</v>
      </c>
      <c r="C150" s="204">
        <v>10</v>
      </c>
      <c r="D150" s="194">
        <f t="shared" si="10"/>
        <v>140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14</v>
      </c>
      <c r="C151" s="204">
        <v>10</v>
      </c>
      <c r="D151" s="194">
        <f t="shared" si="10"/>
        <v>140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14</v>
      </c>
      <c r="C152" s="204">
        <v>10</v>
      </c>
      <c r="D152" s="194">
        <f t="shared" si="10"/>
        <v>140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14</v>
      </c>
      <c r="C153" s="204">
        <v>15</v>
      </c>
      <c r="D153" s="194">
        <f t="shared" si="10"/>
        <v>210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14</v>
      </c>
      <c r="C154" s="204">
        <v>15</v>
      </c>
      <c r="D154" s="194">
        <f t="shared" si="10"/>
        <v>210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7">
        <f>'Données projet'!D148</f>
        <v>14</v>
      </c>
      <c r="C155" s="204">
        <v>15</v>
      </c>
      <c r="D155" s="194">
        <f t="shared" si="10"/>
        <v>210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14</v>
      </c>
      <c r="C156" s="204">
        <v>20</v>
      </c>
      <c r="D156" s="194">
        <f t="shared" si="10"/>
        <v>280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7">
        <f>'Données projet'!D150</f>
        <v>14</v>
      </c>
      <c r="C157" s="204">
        <v>20</v>
      </c>
      <c r="D157" s="194">
        <f t="shared" si="10"/>
        <v>280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7">
        <f>'Données projet'!D151</f>
        <v>14</v>
      </c>
      <c r="C158" s="204">
        <v>20</v>
      </c>
      <c r="D158" s="194">
        <f t="shared" si="10"/>
        <v>280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14</v>
      </c>
      <c r="C159" s="204">
        <v>20</v>
      </c>
      <c r="D159" s="194">
        <f t="shared" si="10"/>
        <v>280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14</v>
      </c>
      <c r="C160" s="204">
        <v>20</v>
      </c>
      <c r="D160" s="194">
        <f t="shared" si="10"/>
        <v>280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7">
        <f>'Données projet'!D154</f>
        <v>14</v>
      </c>
      <c r="C161" s="204">
        <v>30</v>
      </c>
      <c r="D161" s="194">
        <f t="shared" si="10"/>
        <v>420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7">
        <f>'Données projet'!D155</f>
        <v>13</v>
      </c>
      <c r="C162" s="204">
        <v>30</v>
      </c>
      <c r="D162" s="194">
        <f t="shared" si="10"/>
        <v>390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7">
        <f>'Données projet'!D156</f>
        <v>13</v>
      </c>
      <c r="C163" s="204">
        <v>40</v>
      </c>
      <c r="D163" s="194">
        <f t="shared" si="10"/>
        <v>520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7">
        <f>'Données projet'!D157</f>
        <v>13</v>
      </c>
      <c r="C164" s="204">
        <v>50</v>
      </c>
      <c r="D164" s="194">
        <f t="shared" si="10"/>
        <v>650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7">
        <f>'Données projet'!D158</f>
        <v>13</v>
      </c>
      <c r="C165" s="204">
        <v>70</v>
      </c>
      <c r="D165" s="194">
        <f t="shared" si="10"/>
        <v>910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222</v>
      </c>
      <c r="C166" s="204">
        <v>150</v>
      </c>
      <c r="D166" s="194">
        <f t="shared" si="10"/>
        <v>33300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Tilleul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0</v>
      </c>
      <c r="C178" s="204">
        <v>4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0</v>
      </c>
      <c r="C179" s="204">
        <v>8</v>
      </c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13</v>
      </c>
      <c r="C180" s="204">
        <v>10</v>
      </c>
      <c r="D180" s="191">
        <f t="shared" si="11"/>
        <v>130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14</v>
      </c>
      <c r="C181" s="204">
        <v>10</v>
      </c>
      <c r="D181" s="191">
        <f t="shared" si="11"/>
        <v>140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14</v>
      </c>
      <c r="C182" s="204">
        <v>10</v>
      </c>
      <c r="D182" s="191">
        <f t="shared" si="11"/>
        <v>140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14</v>
      </c>
      <c r="C183" s="204">
        <v>10</v>
      </c>
      <c r="D183" s="191">
        <f t="shared" si="11"/>
        <v>140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14</v>
      </c>
      <c r="C184" s="204">
        <v>15</v>
      </c>
      <c r="D184" s="191">
        <f t="shared" si="11"/>
        <v>210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14</v>
      </c>
      <c r="C185" s="204">
        <v>15</v>
      </c>
      <c r="D185" s="191">
        <f t="shared" si="11"/>
        <v>210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14</v>
      </c>
      <c r="C186" s="204">
        <v>15</v>
      </c>
      <c r="D186" s="191">
        <f t="shared" si="11"/>
        <v>210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14</v>
      </c>
      <c r="C187" s="204">
        <v>20</v>
      </c>
      <c r="D187" s="191">
        <f t="shared" si="11"/>
        <v>280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14</v>
      </c>
      <c r="C188" s="204">
        <v>20</v>
      </c>
      <c r="D188" s="191">
        <f t="shared" si="11"/>
        <v>280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14</v>
      </c>
      <c r="C189" s="204">
        <v>20</v>
      </c>
      <c r="D189" s="191">
        <f t="shared" si="11"/>
        <v>280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14</v>
      </c>
      <c r="C190" s="204">
        <v>20</v>
      </c>
      <c r="D190" s="191">
        <f t="shared" si="11"/>
        <v>280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14</v>
      </c>
      <c r="C191" s="204">
        <v>20</v>
      </c>
      <c r="D191" s="191">
        <f t="shared" si="11"/>
        <v>280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95</v>
      </c>
      <c r="B192" s="193">
        <f>'Données projet'!D180</f>
        <v>14</v>
      </c>
      <c r="C192" s="204">
        <v>30</v>
      </c>
      <c r="D192" s="191">
        <f t="shared" si="11"/>
        <v>420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100</v>
      </c>
      <c r="B193" s="193">
        <f>'Données projet'!D181</f>
        <v>13</v>
      </c>
      <c r="C193" s="204">
        <v>30</v>
      </c>
      <c r="D193" s="191">
        <f t="shared" si="11"/>
        <v>390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105</v>
      </c>
      <c r="B194" s="193">
        <f>'Données projet'!D182</f>
        <v>13</v>
      </c>
      <c r="C194" s="204">
        <v>40</v>
      </c>
      <c r="D194" s="191">
        <f t="shared" si="11"/>
        <v>520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110</v>
      </c>
      <c r="B195" s="193">
        <f>'Données projet'!D183</f>
        <v>13</v>
      </c>
      <c r="C195" s="204">
        <v>50</v>
      </c>
      <c r="D195" s="191">
        <f t="shared" si="11"/>
        <v>650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115</v>
      </c>
      <c r="B196" s="193">
        <f>'Données projet'!D184</f>
        <v>13</v>
      </c>
      <c r="C196" s="204">
        <v>70</v>
      </c>
      <c r="D196" s="191">
        <f t="shared" si="11"/>
        <v>910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222</v>
      </c>
      <c r="C197" s="204">
        <v>150</v>
      </c>
      <c r="D197" s="191">
        <f t="shared" si="11"/>
        <v>33300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25</v>
      </c>
      <c r="B209" s="193">
        <f>'Données projet'!D192</f>
        <v>0</v>
      </c>
      <c r="C209" s="204">
        <v>4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30</v>
      </c>
      <c r="B210" s="193">
        <f>'Données projet'!D193</f>
        <v>0</v>
      </c>
      <c r="C210" s="204">
        <v>8</v>
      </c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35</v>
      </c>
      <c r="B211" s="193">
        <f>'Données projet'!D194</f>
        <v>13</v>
      </c>
      <c r="C211" s="204">
        <v>10</v>
      </c>
      <c r="D211" s="191">
        <f t="shared" si="12"/>
        <v>130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40</v>
      </c>
      <c r="B212" s="193">
        <f>'Données projet'!D195</f>
        <v>14</v>
      </c>
      <c r="C212" s="204">
        <v>10</v>
      </c>
      <c r="D212" s="191">
        <f t="shared" si="12"/>
        <v>140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45</v>
      </c>
      <c r="B213" s="193">
        <f>'Données projet'!D196</f>
        <v>14</v>
      </c>
      <c r="C213" s="204">
        <v>10</v>
      </c>
      <c r="D213" s="191">
        <f t="shared" si="12"/>
        <v>140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50</v>
      </c>
      <c r="B214" s="193">
        <f>'Données projet'!D197</f>
        <v>14</v>
      </c>
      <c r="C214" s="204">
        <v>10</v>
      </c>
      <c r="D214" s="191">
        <f t="shared" si="12"/>
        <v>140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55</v>
      </c>
      <c r="B215" s="193">
        <f>'Données projet'!D198</f>
        <v>14</v>
      </c>
      <c r="C215" s="204">
        <v>15</v>
      </c>
      <c r="D215" s="191">
        <f t="shared" si="12"/>
        <v>210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60</v>
      </c>
      <c r="B216" s="193">
        <f>'Données projet'!D199</f>
        <v>14</v>
      </c>
      <c r="C216" s="204">
        <v>15</v>
      </c>
      <c r="D216" s="191">
        <f t="shared" si="12"/>
        <v>210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65</v>
      </c>
      <c r="B217" s="193">
        <f>'Données projet'!D200</f>
        <v>14</v>
      </c>
      <c r="C217" s="204">
        <v>15</v>
      </c>
      <c r="D217" s="191">
        <f t="shared" si="12"/>
        <v>210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70</v>
      </c>
      <c r="B218" s="193">
        <f>'Données projet'!D201</f>
        <v>14</v>
      </c>
      <c r="C218" s="204">
        <v>20</v>
      </c>
      <c r="D218" s="191">
        <f t="shared" si="12"/>
        <v>280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75</v>
      </c>
      <c r="B219" s="193">
        <f>'Données projet'!D202</f>
        <v>14</v>
      </c>
      <c r="C219" s="204">
        <v>20</v>
      </c>
      <c r="D219" s="191">
        <f t="shared" si="12"/>
        <v>280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80</v>
      </c>
      <c r="B220" s="193">
        <f>'Données projet'!D203</f>
        <v>14</v>
      </c>
      <c r="C220" s="204">
        <v>20</v>
      </c>
      <c r="D220" s="191">
        <f t="shared" si="12"/>
        <v>280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85</v>
      </c>
      <c r="B221" s="193">
        <f>'Données projet'!D204</f>
        <v>14</v>
      </c>
      <c r="C221" s="204">
        <v>20</v>
      </c>
      <c r="D221" s="191">
        <f t="shared" si="12"/>
        <v>280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90</v>
      </c>
      <c r="B222" s="193">
        <f>'Données projet'!D205</f>
        <v>14</v>
      </c>
      <c r="C222" s="204">
        <v>20</v>
      </c>
      <c r="D222" s="191">
        <f t="shared" si="12"/>
        <v>280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95</v>
      </c>
      <c r="B223" s="193">
        <f>'Données projet'!D206</f>
        <v>14</v>
      </c>
      <c r="C223" s="204">
        <v>30</v>
      </c>
      <c r="D223" s="191">
        <f t="shared" si="12"/>
        <v>420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100</v>
      </c>
      <c r="B224" s="193">
        <f>'Données projet'!D207</f>
        <v>13</v>
      </c>
      <c r="C224" s="204">
        <v>30</v>
      </c>
      <c r="D224" s="191">
        <f t="shared" si="12"/>
        <v>390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105</v>
      </c>
      <c r="B225" s="193">
        <f>'Données projet'!D208</f>
        <v>13</v>
      </c>
      <c r="C225" s="204">
        <v>40</v>
      </c>
      <c r="D225" s="191">
        <f t="shared" si="12"/>
        <v>520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110</v>
      </c>
      <c r="B226" s="193">
        <f>'Données projet'!D209</f>
        <v>13</v>
      </c>
      <c r="C226" s="204">
        <v>50</v>
      </c>
      <c r="D226" s="191">
        <f t="shared" si="12"/>
        <v>650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115</v>
      </c>
      <c r="B227" s="193">
        <f>'Données projet'!D210</f>
        <v>13</v>
      </c>
      <c r="C227" s="204">
        <v>70</v>
      </c>
      <c r="D227" s="191">
        <f t="shared" si="12"/>
        <v>910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120</v>
      </c>
      <c r="B228" s="193">
        <f>'Données projet'!D211</f>
        <v>222</v>
      </c>
      <c r="C228" s="204">
        <v>150</v>
      </c>
      <c r="D228" s="191">
        <f t="shared" si="12"/>
        <v>33300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Cormier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25</v>
      </c>
      <c r="B240" s="193">
        <f>'Données projet'!D218</f>
        <v>0</v>
      </c>
      <c r="C240" s="204">
        <v>4</v>
      </c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30</v>
      </c>
      <c r="B241" s="193">
        <f>'Données projet'!D219</f>
        <v>0</v>
      </c>
      <c r="C241" s="204">
        <v>8</v>
      </c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35</v>
      </c>
      <c r="B242" s="193">
        <f>'Données projet'!D220</f>
        <v>13</v>
      </c>
      <c r="C242" s="204">
        <v>10</v>
      </c>
      <c r="D242" s="191">
        <f t="shared" si="13"/>
        <v>130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40</v>
      </c>
      <c r="B243" s="193">
        <f>'Données projet'!D221</f>
        <v>14</v>
      </c>
      <c r="C243" s="204">
        <v>10</v>
      </c>
      <c r="D243" s="191">
        <f t="shared" si="13"/>
        <v>140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45</v>
      </c>
      <c r="B244" s="193">
        <f>'Données projet'!D222</f>
        <v>14</v>
      </c>
      <c r="C244" s="204">
        <v>10</v>
      </c>
      <c r="D244" s="191">
        <f t="shared" si="13"/>
        <v>140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50</v>
      </c>
      <c r="B245" s="193">
        <f>'Données projet'!D223</f>
        <v>14</v>
      </c>
      <c r="C245" s="204">
        <v>10</v>
      </c>
      <c r="D245" s="191">
        <f t="shared" si="13"/>
        <v>140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55</v>
      </c>
      <c r="B246" s="193">
        <f>'Données projet'!D224</f>
        <v>14</v>
      </c>
      <c r="C246" s="204">
        <v>15</v>
      </c>
      <c r="D246" s="191">
        <f t="shared" si="13"/>
        <v>210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60</v>
      </c>
      <c r="B247" s="193">
        <f>'Données projet'!D225</f>
        <v>14</v>
      </c>
      <c r="C247" s="204">
        <v>15</v>
      </c>
      <c r="D247" s="191">
        <f t="shared" si="13"/>
        <v>210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65</v>
      </c>
      <c r="B248" s="193">
        <f>'Données projet'!D226</f>
        <v>14</v>
      </c>
      <c r="C248" s="204">
        <v>15</v>
      </c>
      <c r="D248" s="191">
        <f t="shared" si="13"/>
        <v>210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70</v>
      </c>
      <c r="B249" s="193">
        <f>'Données projet'!D227</f>
        <v>14</v>
      </c>
      <c r="C249" s="204">
        <v>20</v>
      </c>
      <c r="D249" s="191">
        <f t="shared" si="13"/>
        <v>280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75</v>
      </c>
      <c r="B250" s="193">
        <f>'Données projet'!D228</f>
        <v>14</v>
      </c>
      <c r="C250" s="204">
        <v>20</v>
      </c>
      <c r="D250" s="191">
        <f t="shared" si="13"/>
        <v>280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80</v>
      </c>
      <c r="B251" s="193">
        <f>'Données projet'!D229</f>
        <v>14</v>
      </c>
      <c r="C251" s="204">
        <v>20</v>
      </c>
      <c r="D251" s="191">
        <f t="shared" si="13"/>
        <v>280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85</v>
      </c>
      <c r="B252" s="193">
        <f>'Données projet'!D230</f>
        <v>14</v>
      </c>
      <c r="C252" s="204">
        <v>20</v>
      </c>
      <c r="D252" s="191">
        <f t="shared" si="13"/>
        <v>280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90</v>
      </c>
      <c r="B253" s="193">
        <f>'Données projet'!D231</f>
        <v>14</v>
      </c>
      <c r="C253" s="204">
        <v>20</v>
      </c>
      <c r="D253" s="191">
        <f t="shared" si="13"/>
        <v>280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95</v>
      </c>
      <c r="B254" s="193">
        <f>'Données projet'!D232</f>
        <v>14</v>
      </c>
      <c r="C254" s="204">
        <v>30</v>
      </c>
      <c r="D254" s="191">
        <f t="shared" si="13"/>
        <v>420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100</v>
      </c>
      <c r="B255" s="193">
        <f>'Données projet'!D233</f>
        <v>13</v>
      </c>
      <c r="C255" s="204">
        <v>30</v>
      </c>
      <c r="D255" s="191">
        <f t="shared" si="13"/>
        <v>390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105</v>
      </c>
      <c r="B256" s="193">
        <f>'Données projet'!D234</f>
        <v>13</v>
      </c>
      <c r="C256" s="204">
        <v>40</v>
      </c>
      <c r="D256" s="191">
        <f t="shared" si="13"/>
        <v>520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110</v>
      </c>
      <c r="B257" s="193">
        <f>'Données projet'!D235</f>
        <v>13</v>
      </c>
      <c r="C257" s="204">
        <v>50</v>
      </c>
      <c r="D257" s="191">
        <f t="shared" si="13"/>
        <v>650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115</v>
      </c>
      <c r="B258" s="193">
        <f>'Données projet'!D236</f>
        <v>13</v>
      </c>
      <c r="C258" s="204">
        <v>70</v>
      </c>
      <c r="D258" s="191">
        <f t="shared" si="13"/>
        <v>910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120</v>
      </c>
      <c r="B259" s="193">
        <f>'Données projet'!D237</f>
        <v>222</v>
      </c>
      <c r="C259" s="204">
        <v>150</v>
      </c>
      <c r="D259" s="191">
        <f t="shared" si="13"/>
        <v>33300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Erable plane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20</v>
      </c>
      <c r="B271" s="193">
        <f>'Données projet'!D244</f>
        <v>3</v>
      </c>
      <c r="C271" s="204">
        <v>4</v>
      </c>
      <c r="D271" s="191">
        <f>B271*C271</f>
        <v>12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25</v>
      </c>
      <c r="B272" s="193">
        <f>'Données projet'!D245</f>
        <v>14</v>
      </c>
      <c r="C272" s="204">
        <v>8</v>
      </c>
      <c r="D272" s="191">
        <f t="shared" ref="D272:D290" si="14">B272*C272</f>
        <v>112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30</v>
      </c>
      <c r="B273" s="193">
        <f>'Données projet'!D246</f>
        <v>14</v>
      </c>
      <c r="C273" s="204">
        <v>10</v>
      </c>
      <c r="D273" s="191">
        <f t="shared" si="14"/>
        <v>140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35</v>
      </c>
      <c r="B274" s="193">
        <f>'Données projet'!D247</f>
        <v>14</v>
      </c>
      <c r="C274" s="204">
        <v>10</v>
      </c>
      <c r="D274" s="191">
        <f t="shared" si="14"/>
        <v>140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40</v>
      </c>
      <c r="B275" s="193">
        <f>'Données projet'!D248</f>
        <v>14</v>
      </c>
      <c r="C275" s="204">
        <v>10</v>
      </c>
      <c r="D275" s="191">
        <f t="shared" si="14"/>
        <v>140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45</v>
      </c>
      <c r="B276" s="193">
        <f>'Données projet'!D249</f>
        <v>14</v>
      </c>
      <c r="C276" s="204">
        <v>20</v>
      </c>
      <c r="D276" s="191">
        <f t="shared" ref="D276:D289" si="15">B276*C276</f>
        <v>280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50</v>
      </c>
      <c r="B277" s="193">
        <f>'Données projet'!D250</f>
        <v>11</v>
      </c>
      <c r="C277" s="204">
        <v>20</v>
      </c>
      <c r="D277" s="191">
        <f t="shared" si="15"/>
        <v>220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55</v>
      </c>
      <c r="B278" s="193">
        <f>'Données projet'!D251</f>
        <v>9</v>
      </c>
      <c r="C278" s="204">
        <v>30</v>
      </c>
      <c r="D278" s="191">
        <f t="shared" si="15"/>
        <v>270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60</v>
      </c>
      <c r="B279" s="193">
        <f>'Données projet'!D252</f>
        <v>7</v>
      </c>
      <c r="C279" s="204">
        <v>30</v>
      </c>
      <c r="D279" s="191">
        <f t="shared" si="15"/>
        <v>210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65</v>
      </c>
      <c r="B280" s="193">
        <f>'Données projet'!D253</f>
        <v>6</v>
      </c>
      <c r="C280" s="204">
        <v>40</v>
      </c>
      <c r="D280" s="191">
        <f t="shared" si="15"/>
        <v>240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5</v>
      </c>
      <c r="C281" s="204">
        <v>50</v>
      </c>
      <c r="D281" s="191">
        <f t="shared" si="15"/>
        <v>250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75</v>
      </c>
      <c r="B282" s="193">
        <f>'Données projet'!D255</f>
        <v>4</v>
      </c>
      <c r="C282" s="204">
        <v>70</v>
      </c>
      <c r="D282" s="191">
        <f t="shared" si="15"/>
        <v>280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80</v>
      </c>
      <c r="B283" s="193">
        <f>'Données projet'!D256</f>
        <v>159</v>
      </c>
      <c r="C283" s="204">
        <v>70</v>
      </c>
      <c r="D283" s="191">
        <f t="shared" si="15"/>
        <v>11130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4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4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4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4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4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4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4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Merisier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15</v>
      </c>
      <c r="B302" s="193">
        <f>'Données projet'!D270</f>
        <v>2</v>
      </c>
      <c r="C302" s="204">
        <v>4</v>
      </c>
      <c r="D302" s="194">
        <f>B302*C302</f>
        <v>8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20</v>
      </c>
      <c r="B303" s="193">
        <f>'Données projet'!D271</f>
        <v>16</v>
      </c>
      <c r="C303" s="204">
        <v>8</v>
      </c>
      <c r="D303" s="194">
        <f t="shared" ref="D303:D321" si="16">B303*C303</f>
        <v>128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25</v>
      </c>
      <c r="B304" s="193">
        <f>'Données projet'!D272</f>
        <v>17</v>
      </c>
      <c r="C304" s="204">
        <v>10</v>
      </c>
      <c r="D304" s="194">
        <f t="shared" si="16"/>
        <v>170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31</v>
      </c>
      <c r="B305" s="193">
        <f>'Données projet'!D273</f>
        <v>23</v>
      </c>
      <c r="C305" s="204">
        <v>10</v>
      </c>
      <c r="D305" s="194">
        <f t="shared" si="16"/>
        <v>230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37</v>
      </c>
      <c r="B306" s="193">
        <f>'Données projet'!D274</f>
        <v>23</v>
      </c>
      <c r="C306" s="204">
        <v>30</v>
      </c>
      <c r="D306" s="194">
        <f t="shared" si="16"/>
        <v>690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44</v>
      </c>
      <c r="B307" s="193">
        <f>'Données projet'!D275</f>
        <v>28</v>
      </c>
      <c r="C307" s="204">
        <v>40</v>
      </c>
      <c r="D307" s="194">
        <f t="shared" si="16"/>
        <v>1120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52</v>
      </c>
      <c r="B308" s="193">
        <f>'Données projet'!D276</f>
        <v>31</v>
      </c>
      <c r="C308" s="204">
        <v>50</v>
      </c>
      <c r="D308" s="194">
        <f t="shared" si="16"/>
        <v>1550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60</v>
      </c>
      <c r="B309" s="193">
        <f>'Données projet'!D277</f>
        <v>30</v>
      </c>
      <c r="C309" s="204">
        <v>70</v>
      </c>
      <c r="D309" s="194">
        <f t="shared" si="16"/>
        <v>2100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69</v>
      </c>
      <c r="B310" s="193">
        <f>'Données projet'!D278</f>
        <v>210</v>
      </c>
      <c r="C310" s="204">
        <v>70</v>
      </c>
      <c r="D310" s="194">
        <f t="shared" si="16"/>
        <v>14700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2025-02-12T15:49:55Z</dcterms:modified>
</cp:coreProperties>
</file>